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TAMI\2023\2. PP\4. PBPD\MoM\C. BP KURANG  DR INVESTASI (PP DIATAS 5 TH)\AGUSTUS\POMPA JATENGLAND\"/>
    </mc:Choice>
  </mc:AlternateContent>
  <xr:revisionPtr revIDLastSave="0" documentId="13_ncr:1_{CB381659-674D-4D3A-A89E-FD1300571E32}" xr6:coauthVersionLast="47" xr6:coauthVersionMax="47" xr10:uidLastSave="{00000000-0000-0000-0000-000000000000}"/>
  <bookViews>
    <workbookView xWindow="-120" yWindow="-120" windowWidth="24240" windowHeight="13140" tabRatio="859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[14]graf2!$D$14:$L$14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[14]graf2!$D$8:$L$8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[14]graf2!$D$12:$L$12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[14]graf2!$D$8:$L$8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[14]graf2!$D$10:$L$10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[14]graf2!$D$14:$L$14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[16]x!$H$9:$H$47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[16]x!$B$100:$B$101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[17]MEMO!$A$1:$B$65536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[18]JAN09!#REF!</definedName>
    <definedName name="ad" localSheetId="7">[18]JAN09!#REF!</definedName>
    <definedName name="ad">[18]JAN09!#REF!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[18]JAN09!#REF!</definedName>
    <definedName name="an" localSheetId="7">[18]JAN09!#REF!</definedName>
    <definedName name="an">[18]JAN09!#REF!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7">[20]JAN09!#REF!</definedName>
    <definedName name="and">[20]JAN09!#REF!</definedName>
    <definedName name="andrea" localSheetId="6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[21]Area_Data!$C$7:$Y$29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[22]Usulan!#REF!</definedName>
    <definedName name="ba" localSheetId="7">[22]Usulan!#REF!</definedName>
    <definedName name="ba" localSheetId="5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'[23]FORM-B'!#REF!</definedName>
    <definedName name="BAR" localSheetId="7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'[23]FORM-B'!#REF!</definedName>
    <definedName name="Baru_19" localSheetId="7">'[23]FORM-B'!#REF!</definedName>
    <definedName name="Baru_19" localSheetId="5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'[25]BiLuOp(14)'!$B$1:$G$49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[28]MENU1!$D$4:$T$15</definedName>
    <definedName name="BULAN" localSheetId="5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[18]JAN09!#REF!</definedName>
    <definedName name="csa" localSheetId="7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[31]item!$C$2:$C$550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[32]Sheet5!#REF!</definedName>
    <definedName name="DAWDFAFD" localSheetId="7">[32]Sheet5!#REF!</definedName>
    <definedName name="DAWDFAFD">[32]Sheet5!#REF!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 localSheetId="10">[48]Format!$AA$1:$AG$1</definedName>
    <definedName name="hari">[49]Format!$AA$1:$AG$1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[51]DTU!$B$2:$D$48</definedName>
    <definedName name="input" localSheetId="6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[18]JAN09!#REF!</definedName>
    <definedName name="ips" localSheetId="5">[18]JAN09!#REF!</definedName>
    <definedName name="ips">[18]JAN09!#REF!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'[53]W-NAD'!#REF!</definedName>
    <definedName name="JAJA" localSheetId="7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[22]Usulan!#REF!</definedName>
    <definedName name="KK" localSheetId="7">[22]Usulan!#REF!</definedName>
    <definedName name="KK">[22]Usulan!#REF!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INDEX([45]PDL!$B$1:$B$3,IFERROR(MATCH([45]KKO!$D$15,[45]PDL!$A$1:$A$2,),3))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[60]PMT!#REF!</definedName>
    <definedName name="l" localSheetId="7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[63]INPBA!$F$2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'[61]FORM-B'!#REF!</definedName>
    <definedName name="M_19" localSheetId="7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[68]Cover!$B$7</definedName>
    <definedName name="NEGO" localSheetId="6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[45]KKO!#REF!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>[18]JAN09!#REF!</definedName>
    <definedName name="POPUI" localSheetId="5">#REF!</definedName>
    <definedName name="POPUI">#REF!</definedName>
    <definedName name="pos_anggaran">[57]data!$G$2:$G$54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[32]Sheet5!#REF!</definedName>
    <definedName name="PRINT_AR01" localSheetId="7">[32]Sheet5!#REF!</definedName>
    <definedName name="PRINT_AR01">[32]Sheet5!#REF!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RAB!$A$1:$K$90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[32]Sheet5!#REF!</definedName>
    <definedName name="PRINT2" localSheetId="7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[71]JURNAL!#REF!</definedName>
    <definedName name="PUR" localSheetId="7">[71]JURNAL!#REF!</definedName>
    <definedName name="PUR">[71]JURNAL!#REF!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[18]JAN09!#REF!</definedName>
    <definedName name="rafi" localSheetId="7">[18]JAN09!#REF!</definedName>
    <definedName name="rafi" localSheetId="5">[18]JAN09!#REF!</definedName>
    <definedName name="rafi">[18]JAN09!#REF!</definedName>
    <definedName name="raja" localSheetId="6">[18]JAN09!#REF!</definedName>
    <definedName name="raja" localSheetId="7">[18]JAN09!#REF!</definedName>
    <definedName name="raja">[18]JAN09!#REF!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[72]JAN07!#REF!</definedName>
    <definedName name="rtyu" localSheetId="7">[72]JAN07!#REF!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[51]DTU!$B$2:$D$48</definedName>
    <definedName name="sdffA" localSheetId="6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'[82]master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[84]Sheet1!$E$2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 localSheetId="10">[86]bantu!$M$5:$X$5</definedName>
    <definedName name="Tahun">[87]bantu!$M$5:$X$5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[63]INPBA!$F$2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[69]Valuation!$I$61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[24]Kamus!$L$1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'[88]Rekap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[89]Usulan!#REF!</definedName>
    <definedName name="usul" localSheetId="7">[89]Usulan!#REF!</definedName>
    <definedName name="usul" localSheetId="5">[89]Usulan!#REF!</definedName>
    <definedName name="usul">[89]Usulan!#REF!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[20]JAN09!#REF!</definedName>
    <definedName name="WATES" localSheetId="7">[20]JAN09!#REF!</definedName>
    <definedName name="WATES">[20]JAN09!#REF!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[72]JAN07!#REF!</definedName>
    <definedName name="xs" localSheetId="7">[72]JAN07!#REF!</definedName>
    <definedName name="xs" localSheetId="5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4" l="1"/>
  <c r="F49" i="11"/>
  <c r="D16" i="60" l="1"/>
  <c r="F65" i="11"/>
  <c r="F64" i="11"/>
  <c r="F63" i="11"/>
  <c r="F62" i="11"/>
  <c r="F61" i="11"/>
  <c r="F60" i="11"/>
  <c r="F59" i="11"/>
  <c r="G17" i="11" l="1"/>
  <c r="F38" i="11" l="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2" i="11"/>
  <c r="D20" i="11"/>
  <c r="H20" i="11" s="1"/>
  <c r="E20" i="11"/>
  <c r="G20" i="11"/>
  <c r="D21" i="11"/>
  <c r="J21" i="11" s="1"/>
  <c r="E21" i="11"/>
  <c r="G21" i="11"/>
  <c r="D22" i="11"/>
  <c r="I22" i="11" s="1"/>
  <c r="E22" i="11"/>
  <c r="G22" i="11"/>
  <c r="D23" i="11"/>
  <c r="J23" i="11" s="1"/>
  <c r="E23" i="11"/>
  <c r="G23" i="11"/>
  <c r="J24" i="11"/>
  <c r="E24" i="11"/>
  <c r="G24" i="11"/>
  <c r="J25" i="11"/>
  <c r="E25" i="11"/>
  <c r="G25" i="11"/>
  <c r="I26" i="11"/>
  <c r="E26" i="11"/>
  <c r="G26" i="11"/>
  <c r="J27" i="11"/>
  <c r="E27" i="11"/>
  <c r="G27" i="11"/>
  <c r="J28" i="11"/>
  <c r="E28" i="11"/>
  <c r="G28" i="11"/>
  <c r="J29" i="11"/>
  <c r="E29" i="11"/>
  <c r="G29" i="11"/>
  <c r="J30" i="11"/>
  <c r="E30" i="11"/>
  <c r="G30" i="11"/>
  <c r="H31" i="11"/>
  <c r="E31" i="11"/>
  <c r="G31" i="11"/>
  <c r="J32" i="11"/>
  <c r="E32" i="11"/>
  <c r="G32" i="11"/>
  <c r="J33" i="11"/>
  <c r="E33" i="11"/>
  <c r="G33" i="11"/>
  <c r="H34" i="11"/>
  <c r="E34" i="11"/>
  <c r="G34" i="11"/>
  <c r="H35" i="11"/>
  <c r="E35" i="11"/>
  <c r="G35" i="11"/>
  <c r="J36" i="11"/>
  <c r="E36" i="11"/>
  <c r="G36" i="11"/>
  <c r="J37" i="11"/>
  <c r="E37" i="11"/>
  <c r="G37" i="11"/>
  <c r="H38" i="11"/>
  <c r="E38" i="11"/>
  <c r="G38" i="11"/>
  <c r="H39" i="11"/>
  <c r="J40" i="11"/>
  <c r="D18" i="11"/>
  <c r="H18" i="11" s="1"/>
  <c r="E18" i="11"/>
  <c r="G18" i="11"/>
  <c r="D19" i="11"/>
  <c r="H19" i="11" s="1"/>
  <c r="E19" i="11"/>
  <c r="G19" i="11"/>
  <c r="D15" i="11"/>
  <c r="J15" i="11" s="1"/>
  <c r="E15" i="11"/>
  <c r="G15" i="11"/>
  <c r="D16" i="11"/>
  <c r="J16" i="11" s="1"/>
  <c r="E16" i="11"/>
  <c r="G16" i="11"/>
  <c r="D58" i="11"/>
  <c r="J58" i="11" s="1"/>
  <c r="E58" i="11"/>
  <c r="G58" i="11"/>
  <c r="D59" i="11"/>
  <c r="J59" i="11" s="1"/>
  <c r="E59" i="11"/>
  <c r="G59" i="11"/>
  <c r="D60" i="11"/>
  <c r="H60" i="11" s="1"/>
  <c r="E60" i="11"/>
  <c r="G60" i="11"/>
  <c r="D61" i="11"/>
  <c r="H61" i="11" s="1"/>
  <c r="E61" i="11"/>
  <c r="G61" i="11"/>
  <c r="D62" i="11"/>
  <c r="J62" i="11" s="1"/>
  <c r="E62" i="11"/>
  <c r="G62" i="11"/>
  <c r="D63" i="11"/>
  <c r="J63" i="11" s="1"/>
  <c r="E63" i="11"/>
  <c r="G63" i="11"/>
  <c r="D64" i="11"/>
  <c r="H64" i="11" s="1"/>
  <c r="E64" i="11"/>
  <c r="G64" i="11"/>
  <c r="D65" i="11"/>
  <c r="H65" i="11" s="1"/>
  <c r="E65" i="11"/>
  <c r="G65" i="11"/>
  <c r="D66" i="11"/>
  <c r="H66" i="11" s="1"/>
  <c r="E66" i="11"/>
  <c r="G66" i="11"/>
  <c r="D67" i="11"/>
  <c r="J67" i="11" s="1"/>
  <c r="E67" i="11"/>
  <c r="G67" i="11"/>
  <c r="F56" i="11"/>
  <c r="F55" i="11"/>
  <c r="F54" i="11"/>
  <c r="F53" i="11"/>
  <c r="F52" i="11"/>
  <c r="F48" i="11"/>
  <c r="F47" i="11"/>
  <c r="F46" i="11"/>
  <c r="F45" i="11"/>
  <c r="F44" i="11"/>
  <c r="G6" i="11"/>
  <c r="D17" i="11"/>
  <c r="H17" i="11" s="1"/>
  <c r="E17" i="11"/>
  <c r="D42" i="11"/>
  <c r="J42" i="11" s="1"/>
  <c r="E42" i="11"/>
  <c r="G42" i="11"/>
  <c r="D43" i="11"/>
  <c r="H43" i="11" s="1"/>
  <c r="E43" i="11"/>
  <c r="G43" i="11"/>
  <c r="D44" i="11"/>
  <c r="E44" i="11"/>
  <c r="G44" i="11"/>
  <c r="D45" i="11"/>
  <c r="J45" i="11" s="1"/>
  <c r="E45" i="11"/>
  <c r="G45" i="11"/>
  <c r="D46" i="11"/>
  <c r="J46" i="11" s="1"/>
  <c r="E46" i="11"/>
  <c r="G46" i="11"/>
  <c r="D47" i="11"/>
  <c r="E47" i="11"/>
  <c r="G47" i="11"/>
  <c r="D48" i="11"/>
  <c r="H48" i="11" s="1"/>
  <c r="E48" i="11"/>
  <c r="G48" i="11"/>
  <c r="D49" i="11"/>
  <c r="E49" i="11"/>
  <c r="G49" i="11"/>
  <c r="D51" i="11"/>
  <c r="J51" i="11" s="1"/>
  <c r="E51" i="11"/>
  <c r="G51" i="11"/>
  <c r="D52" i="11"/>
  <c r="H52" i="11" s="1"/>
  <c r="E52" i="11"/>
  <c r="G52" i="11"/>
  <c r="D53" i="11"/>
  <c r="H53" i="11" s="1"/>
  <c r="E53" i="11"/>
  <c r="G53" i="11"/>
  <c r="D54" i="11"/>
  <c r="H54" i="11" s="1"/>
  <c r="E54" i="11"/>
  <c r="G54" i="11"/>
  <c r="D55" i="11"/>
  <c r="J55" i="11" s="1"/>
  <c r="E55" i="11"/>
  <c r="G55" i="11"/>
  <c r="D56" i="11"/>
  <c r="H56" i="11" s="1"/>
  <c r="E56" i="11"/>
  <c r="G56" i="11"/>
  <c r="D57" i="11"/>
  <c r="J57" i="11" s="1"/>
  <c r="E57" i="11"/>
  <c r="G57" i="11"/>
  <c r="D68" i="11"/>
  <c r="J68" i="11" s="1"/>
  <c r="E68" i="11"/>
  <c r="G68" i="11"/>
  <c r="D69" i="11"/>
  <c r="J69" i="11" s="1"/>
  <c r="E69" i="11"/>
  <c r="G69" i="11"/>
  <c r="J49" i="11" l="1"/>
  <c r="J22" i="11"/>
  <c r="I35" i="11"/>
  <c r="J34" i="11"/>
  <c r="J35" i="11"/>
  <c r="I34" i="11"/>
  <c r="I30" i="11"/>
  <c r="J26" i="11"/>
  <c r="J20" i="11"/>
  <c r="I38" i="11"/>
  <c r="H26" i="11"/>
  <c r="J39" i="11"/>
  <c r="J38" i="11"/>
  <c r="H30" i="11"/>
  <c r="I20" i="11"/>
  <c r="J31" i="11"/>
  <c r="H27" i="11"/>
  <c r="I24" i="11"/>
  <c r="I23" i="11"/>
  <c r="I39" i="11"/>
  <c r="I31" i="11"/>
  <c r="I27" i="11"/>
  <c r="H22" i="11"/>
  <c r="H40" i="11"/>
  <c r="H36" i="11"/>
  <c r="H32" i="11"/>
  <c r="H28" i="11"/>
  <c r="H23" i="11"/>
  <c r="I28" i="11"/>
  <c r="H24" i="11"/>
  <c r="K24" i="11" s="1"/>
  <c r="I40" i="11"/>
  <c r="I36" i="11"/>
  <c r="I32" i="11"/>
  <c r="I29" i="11"/>
  <c r="I21" i="11"/>
  <c r="H37" i="11"/>
  <c r="H33" i="11"/>
  <c r="H29" i="11"/>
  <c r="H25" i="11"/>
  <c r="H21" i="11"/>
  <c r="I37" i="11"/>
  <c r="I33" i="11"/>
  <c r="I25" i="11"/>
  <c r="J19" i="11"/>
  <c r="I19" i="11"/>
  <c r="J18" i="11"/>
  <c r="I18" i="11"/>
  <c r="I15" i="11"/>
  <c r="H15" i="11"/>
  <c r="I16" i="11"/>
  <c r="H16" i="11"/>
  <c r="I64" i="11"/>
  <c r="I60" i="11"/>
  <c r="I62" i="11"/>
  <c r="I58" i="11"/>
  <c r="I67" i="11"/>
  <c r="H67" i="11"/>
  <c r="I66" i="11"/>
  <c r="I65" i="11"/>
  <c r="J64" i="11"/>
  <c r="H62" i="11"/>
  <c r="I61" i="11"/>
  <c r="J60" i="11"/>
  <c r="H58" i="11"/>
  <c r="I63" i="11"/>
  <c r="I59" i="11"/>
  <c r="J66" i="11"/>
  <c r="J65" i="11"/>
  <c r="H63" i="11"/>
  <c r="J61" i="11"/>
  <c r="H59" i="11"/>
  <c r="H44" i="11"/>
  <c r="H47" i="11"/>
  <c r="J54" i="11"/>
  <c r="I49" i="11"/>
  <c r="I68" i="11"/>
  <c r="I54" i="11"/>
  <c r="I52" i="11"/>
  <c r="H49" i="11"/>
  <c r="J48" i="11"/>
  <c r="J47" i="11"/>
  <c r="J52" i="11"/>
  <c r="J17" i="11"/>
  <c r="H68" i="11"/>
  <c r="I45" i="11"/>
  <c r="H45" i="11"/>
  <c r="J44" i="11"/>
  <c r="J43" i="11"/>
  <c r="I43" i="11"/>
  <c r="J53" i="11"/>
  <c r="I17" i="11"/>
  <c r="J56" i="11"/>
  <c r="I47" i="11"/>
  <c r="I55" i="11"/>
  <c r="H69" i="11"/>
  <c r="H57" i="11"/>
  <c r="I56" i="11"/>
  <c r="H55" i="11"/>
  <c r="H51" i="11"/>
  <c r="H46" i="11"/>
  <c r="H42" i="11"/>
  <c r="I69" i="11"/>
  <c r="I57" i="11"/>
  <c r="I51" i="11"/>
  <c r="I46" i="11"/>
  <c r="I42" i="11"/>
  <c r="I53" i="11"/>
  <c r="I48" i="11"/>
  <c r="I44" i="11"/>
  <c r="D14" i="11"/>
  <c r="J14" i="11" s="1"/>
  <c r="E14" i="11"/>
  <c r="G14" i="11"/>
  <c r="K19" i="60"/>
  <c r="D19" i="60"/>
  <c r="K54" i="11" l="1"/>
  <c r="K64" i="11"/>
  <c r="K29" i="11"/>
  <c r="K39" i="11"/>
  <c r="K26" i="11"/>
  <c r="K31" i="11"/>
  <c r="K30" i="11"/>
  <c r="K34" i="11"/>
  <c r="K27" i="11"/>
  <c r="K23" i="11"/>
  <c r="K22" i="11"/>
  <c r="K38" i="11"/>
  <c r="K35" i="11"/>
  <c r="K20" i="11"/>
  <c r="K36" i="11"/>
  <c r="K28" i="11"/>
  <c r="K32" i="11"/>
  <c r="K40" i="11"/>
  <c r="K33" i="11"/>
  <c r="K21" i="11"/>
  <c r="K37" i="11"/>
  <c r="K25" i="11"/>
  <c r="K19" i="11"/>
  <c r="K18" i="11"/>
  <c r="K16" i="11"/>
  <c r="K15" i="11"/>
  <c r="K67" i="11"/>
  <c r="K63" i="11"/>
  <c r="K60" i="11"/>
  <c r="K66" i="11"/>
  <c r="K62" i="11"/>
  <c r="K61" i="11"/>
  <c r="K65" i="11"/>
  <c r="K59" i="11"/>
  <c r="K58" i="11"/>
  <c r="K55" i="11"/>
  <c r="K68" i="11"/>
  <c r="K17" i="11"/>
  <c r="K49" i="11"/>
  <c r="K43" i="11"/>
  <c r="K45" i="11"/>
  <c r="K52" i="11"/>
  <c r="K56" i="11"/>
  <c r="K47" i="11"/>
  <c r="K53" i="11"/>
  <c r="K48" i="11"/>
  <c r="K44" i="11"/>
  <c r="K51" i="11"/>
  <c r="K57" i="11"/>
  <c r="K69" i="11"/>
  <c r="K42" i="11"/>
  <c r="K46" i="11"/>
  <c r="H14" i="1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K6" i="60" l="1"/>
  <c r="D22" i="59" l="1"/>
  <c r="K8" i="60" s="1"/>
  <c r="D19" i="59"/>
  <c r="D8" i="60" s="1"/>
  <c r="D18" i="59"/>
  <c r="D7" i="60" s="1"/>
  <c r="D21" i="59"/>
  <c r="K7" i="60" s="1"/>
  <c r="K18" i="60"/>
  <c r="K17" i="60"/>
  <c r="D17" i="60"/>
  <c r="D18" i="60"/>
  <c r="D20" i="60" s="1"/>
  <c r="K9" i="60" l="1"/>
  <c r="K16" i="60" s="1"/>
  <c r="D6" i="60"/>
  <c r="D9" i="60" s="1"/>
  <c r="K20" i="60" l="1"/>
  <c r="A16" i="11" l="1"/>
  <c r="D5" i="60" l="1"/>
  <c r="K5" i="60" s="1"/>
  <c r="F3" i="54" l="1"/>
  <c r="D8" i="59" l="1"/>
  <c r="C8" i="54" l="1"/>
  <c r="D9" i="59"/>
  <c r="K7" i="54" s="1"/>
  <c r="H8" i="54" l="1"/>
  <c r="I8" i="54"/>
  <c r="H7" i="54"/>
  <c r="I7" i="54"/>
  <c r="A15" i="11" l="1"/>
  <c r="D70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70" i="11"/>
  <c r="D71" i="11"/>
  <c r="H71" i="11" s="1"/>
  <c r="E71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N636" i="10" s="1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N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N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N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N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N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/>
  <c r="O809" i="10"/>
  <c r="P809" i="10" s="1"/>
  <c r="J810" i="10"/>
  <c r="L810" i="10" s="1"/>
  <c r="N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N837" i="10" s="1"/>
  <c r="K837" i="10"/>
  <c r="M837" i="10" s="1"/>
  <c r="O837" i="10"/>
  <c r="P837" i="10" s="1"/>
  <c r="J838" i="10"/>
  <c r="L838" i="10" s="1"/>
  <c r="K838" i="10"/>
  <c r="M838" i="10" s="1"/>
  <c r="O838" i="10"/>
  <c r="P838" i="10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N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O855" i="10"/>
  <c r="P855" i="10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N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N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/>
  <c r="O1121" i="10"/>
  <c r="P1121" i="10" s="1"/>
  <c r="J1122" i="10"/>
  <c r="L1122" i="10" s="1"/>
  <c r="N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N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N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 s="1"/>
  <c r="J1229" i="10"/>
  <c r="L1229" i="10" s="1"/>
  <c r="N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N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/>
  <c r="J1269" i="10"/>
  <c r="L1269" i="10" s="1"/>
  <c r="K1269" i="10"/>
  <c r="M1269" i="10" s="1"/>
  <c r="N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/>
  <c r="O1276" i="10"/>
  <c r="P1276" i="10" s="1"/>
  <c r="J1277" i="10"/>
  <c r="L1277" i="10" s="1"/>
  <c r="N1277" i="10" s="1"/>
  <c r="K1277" i="10"/>
  <c r="M1277" i="10" s="1"/>
  <c r="O1277" i="10"/>
  <c r="P1277" i="10" s="1"/>
  <c r="J1278" i="10"/>
  <c r="L1278" i="10" s="1"/>
  <c r="K1278" i="10"/>
  <c r="M1278" i="10"/>
  <c r="N1278" i="10" s="1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N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/>
  <c r="J1303" i="10"/>
  <c r="L1303" i="10" s="1"/>
  <c r="K1303" i="10"/>
  <c r="M1303" i="10" s="1"/>
  <c r="N1303" i="10" s="1"/>
  <c r="O1303" i="10"/>
  <c r="P1303" i="10" s="1"/>
  <c r="J1304" i="10"/>
  <c r="L1304" i="10" s="1"/>
  <c r="N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/>
  <c r="K1312" i="10"/>
  <c r="M1312" i="10" s="1"/>
  <c r="O1312" i="10"/>
  <c r="P1312" i="10" s="1"/>
  <c r="J1313" i="10"/>
  <c r="L1313" i="10" s="1"/>
  <c r="K1313" i="10"/>
  <c r="M1313" i="10" s="1"/>
  <c r="N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N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K1348" i="10"/>
  <c r="M1348" i="10" s="1"/>
  <c r="N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/>
  <c r="N1360" i="10" s="1"/>
  <c r="K1360" i="10"/>
  <c r="M1360" i="10" s="1"/>
  <c r="O1360" i="10"/>
  <c r="P1360" i="10" s="1"/>
  <c r="J1361" i="10"/>
  <c r="L1361" i="10" s="1"/>
  <c r="K1361" i="10"/>
  <c r="M1361" i="10" s="1"/>
  <c r="N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N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N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N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/>
  <c r="O1374" i="10"/>
  <c r="P1374" i="10" s="1"/>
  <c r="J1375" i="10"/>
  <c r="L1375" i="10" s="1"/>
  <c r="N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N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/>
  <c r="O1430" i="10"/>
  <c r="P1430" i="10" s="1"/>
  <c r="J1431" i="10"/>
  <c r="L1431" i="10" s="1"/>
  <c r="K1431" i="10"/>
  <c r="O1431" i="10"/>
  <c r="P1431" i="10" s="1"/>
  <c r="J1432" i="10"/>
  <c r="L1432" i="10" s="1"/>
  <c r="K1432" i="10"/>
  <c r="O1432" i="10"/>
  <c r="P1432" i="10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1046" i="10"/>
  <c r="N1054" i="10"/>
  <c r="N739" i="10"/>
  <c r="N1113" i="10"/>
  <c r="N874" i="10"/>
  <c r="N1073" i="10"/>
  <c r="N122" i="10"/>
  <c r="N886" i="10"/>
  <c r="N857" i="10"/>
  <c r="N1081" i="10"/>
  <c r="N1070" i="10"/>
  <c r="N828" i="10"/>
  <c r="N700" i="10"/>
  <c r="N1130" i="10"/>
  <c r="N775" i="10"/>
  <c r="N1050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1040" i="10"/>
  <c r="N940" i="10"/>
  <c r="N1085" i="10"/>
  <c r="N1077" i="10"/>
  <c r="N1053" i="10"/>
  <c r="N104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O7" i="10"/>
  <c r="P188" i="10"/>
  <c r="G9" i="39"/>
  <c r="G6" i="39"/>
  <c r="C2" i="41"/>
  <c r="J7" i="10"/>
  <c r="L232" i="10" s="1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71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78" i="11"/>
  <c r="I1220" i="10"/>
  <c r="I1219" i="10"/>
  <c r="I9" i="10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 s="1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K14" i="29"/>
  <c r="N1359" i="10"/>
  <c r="N1209" i="10"/>
  <c r="N1208" i="10"/>
  <c r="N1060" i="10"/>
  <c r="N1003" i="10"/>
  <c r="N1370" i="10"/>
  <c r="N1091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N1210" i="10"/>
  <c r="N1306" i="10"/>
  <c r="P202" i="10"/>
  <c r="N1262" i="10"/>
  <c r="N1252" i="10"/>
  <c r="N1245" i="10"/>
  <c r="N1238" i="10"/>
  <c r="L70" i="10"/>
  <c r="N70" i="10" s="1"/>
  <c r="L9" i="10"/>
  <c r="N1386" i="10"/>
  <c r="N1346" i="10"/>
  <c r="N1326" i="10"/>
  <c r="N1276" i="10"/>
  <c r="N1260" i="10"/>
  <c r="N1218" i="10"/>
  <c r="N1185" i="10"/>
  <c r="N1139" i="10"/>
  <c r="N1454" i="10"/>
  <c r="N1319" i="10"/>
  <c r="L86" i="10"/>
  <c r="N86" i="10" s="1"/>
  <c r="L45" i="10"/>
  <c r="L29" i="10"/>
  <c r="N29" i="10" s="1"/>
  <c r="L117" i="10"/>
  <c r="N117" i="10" s="1"/>
  <c r="L91" i="10"/>
  <c r="N91" i="10" s="1"/>
  <c r="N1237" i="10"/>
  <c r="N1211" i="10"/>
  <c r="N1164" i="10"/>
  <c r="N1145" i="10"/>
  <c r="N1144" i="10"/>
  <c r="N1041" i="10"/>
  <c r="N972" i="10"/>
  <c r="N851" i="10"/>
  <c r="N842" i="10"/>
  <c r="N1318" i="10"/>
  <c r="N1268" i="10"/>
  <c r="N1254" i="10"/>
  <c r="N1163" i="10"/>
  <c r="N1111" i="10"/>
  <c r="N1086" i="10"/>
  <c r="N1048" i="10"/>
  <c r="N1012" i="10"/>
  <c r="N903" i="10"/>
  <c r="N871" i="10"/>
  <c r="N862" i="10"/>
  <c r="N860" i="10"/>
  <c r="N827" i="10"/>
  <c r="N818" i="10"/>
  <c r="N817" i="10"/>
  <c r="N812" i="10"/>
  <c r="N1112" i="10"/>
  <c r="N1079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90" i="10"/>
  <c r="N1071" i="10"/>
  <c r="N1056" i="10"/>
  <c r="N997" i="10"/>
  <c r="N1214" i="10"/>
  <c r="N1207" i="10"/>
  <c r="N1186" i="10"/>
  <c r="N1166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 s="1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 s="1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407" i="10"/>
  <c r="N1121" i="10"/>
  <c r="N1297" i="10"/>
  <c r="N1173" i="10"/>
  <c r="N1272" i="10"/>
  <c r="N1223" i="10"/>
  <c r="N1129" i="10"/>
  <c r="N1128" i="10"/>
  <c r="N1109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63" i="10"/>
  <c r="N1002" i="10"/>
  <c r="N1302" i="10"/>
  <c r="N1257" i="10"/>
  <c r="N1249" i="10"/>
  <c r="N1240" i="10"/>
  <c r="N1174" i="10"/>
  <c r="N1160" i="10"/>
  <c r="N1159" i="10"/>
  <c r="N1115" i="10"/>
  <c r="N1035" i="10"/>
  <c r="N1034" i="10"/>
  <c r="N994" i="10"/>
  <c r="P10" i="10"/>
  <c r="P203" i="10"/>
  <c r="P198" i="10"/>
  <c r="P201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1431" i="10"/>
  <c r="N1431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44" i="10"/>
  <c r="M231" i="10"/>
  <c r="N1374" i="10" l="1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70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6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C310" i="29"/>
  <c r="D310" i="29" s="1"/>
  <c r="E310" i="29" s="1"/>
  <c r="C294" i="29"/>
  <c r="D294" i="29" s="1"/>
  <c r="E294" i="29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C306" i="29"/>
  <c r="D306" i="29" s="1"/>
  <c r="F306" i="29" s="1"/>
  <c r="N1435" i="10"/>
  <c r="C274" i="29"/>
  <c r="D274" i="29" s="1"/>
  <c r="E274" i="29" s="1"/>
  <c r="C313" i="29"/>
  <c r="D313" i="29" s="1"/>
  <c r="C232" i="29"/>
  <c r="D232" i="29" s="1"/>
  <c r="E232" i="29" s="1"/>
  <c r="C229" i="29"/>
  <c r="D229" i="29" s="1"/>
  <c r="E229" i="29" s="1"/>
  <c r="C292" i="29"/>
  <c r="D292" i="29" s="1"/>
  <c r="E292" i="29" s="1"/>
  <c r="C256" i="29"/>
  <c r="D256" i="29" s="1"/>
  <c r="E256" i="29" s="1"/>
  <c r="C288" i="29"/>
  <c r="D288" i="29" s="1"/>
  <c r="F288" i="29" s="1"/>
  <c r="C321" i="29"/>
  <c r="D321" i="29" s="1"/>
  <c r="F321" i="29" s="1"/>
  <c r="C285" i="29"/>
  <c r="D285" i="29" s="1"/>
  <c r="F285" i="29" s="1"/>
  <c r="C247" i="29"/>
  <c r="D247" i="29" s="1"/>
  <c r="F247" i="29" s="1"/>
  <c r="C233" i="29"/>
  <c r="D233" i="29" s="1"/>
  <c r="E233" i="29" s="1"/>
  <c r="C303" i="29"/>
  <c r="D303" i="29" s="1"/>
  <c r="E303" i="29" s="1"/>
  <c r="C300" i="29"/>
  <c r="D300" i="29" s="1"/>
  <c r="F300" i="29" s="1"/>
  <c r="C271" i="29"/>
  <c r="D271" i="29" s="1"/>
  <c r="E271" i="29" s="1"/>
  <c r="C239" i="29"/>
  <c r="D239" i="29" s="1"/>
  <c r="C249" i="29"/>
  <c r="D249" i="29" s="1"/>
  <c r="E249" i="29" s="1"/>
  <c r="C280" i="29"/>
  <c r="D280" i="29" s="1"/>
  <c r="F280" i="29" s="1"/>
  <c r="C308" i="29"/>
  <c r="D308" i="29" s="1"/>
  <c r="E308" i="29" s="1"/>
  <c r="C311" i="29"/>
  <c r="D311" i="29" s="1"/>
  <c r="F311" i="29" s="1"/>
  <c r="C281" i="29"/>
  <c r="D281" i="29" s="1"/>
  <c r="F281" i="29" s="1"/>
  <c r="C244" i="29"/>
  <c r="D244" i="29" s="1"/>
  <c r="E244" i="29" s="1"/>
  <c r="C273" i="29"/>
  <c r="D273" i="29" s="1"/>
  <c r="F273" i="29" s="1"/>
  <c r="C304" i="29"/>
  <c r="D304" i="29" s="1"/>
  <c r="E304" i="29" s="1"/>
  <c r="C240" i="29"/>
  <c r="D240" i="29" s="1"/>
  <c r="E240" i="29" s="1"/>
  <c r="C254" i="29"/>
  <c r="D254" i="29" s="1"/>
  <c r="E254" i="29" s="1"/>
  <c r="C245" i="29"/>
  <c r="D245" i="29" s="1"/>
  <c r="F245" i="29" s="1"/>
  <c r="C260" i="29"/>
  <c r="D260" i="29" s="1"/>
  <c r="F260" i="29" s="1"/>
  <c r="C283" i="29"/>
  <c r="D283" i="29" s="1"/>
  <c r="E283" i="29" s="1"/>
  <c r="C279" i="29"/>
  <c r="D279" i="29" s="1"/>
  <c r="E279" i="29" s="1"/>
  <c r="C289" i="29"/>
  <c r="D289" i="29" s="1"/>
  <c r="E289" i="29" s="1"/>
  <c r="C305" i="29"/>
  <c r="D305" i="29" s="1"/>
  <c r="E305" i="29" s="1"/>
  <c r="C309" i="29"/>
  <c r="D309" i="29" s="1"/>
  <c r="F309" i="29" s="1"/>
  <c r="C227" i="29"/>
  <c r="D227" i="29" s="1"/>
  <c r="F227" i="29" s="1"/>
  <c r="C284" i="29"/>
  <c r="D284" i="29" s="1"/>
  <c r="E284" i="29" s="1"/>
  <c r="C265" i="29"/>
  <c r="D265" i="29" s="1"/>
  <c r="F265" i="29" s="1"/>
  <c r="C318" i="29"/>
  <c r="D318" i="29" s="1"/>
  <c r="E318" i="29" s="1"/>
  <c r="C267" i="29"/>
  <c r="D267" i="29" s="1"/>
  <c r="F267" i="29" s="1"/>
  <c r="C266" i="29"/>
  <c r="D266" i="29" s="1"/>
  <c r="E266" i="29" s="1"/>
  <c r="C282" i="29"/>
  <c r="D282" i="29" s="1"/>
  <c r="F282" i="29" s="1"/>
  <c r="C290" i="29"/>
  <c r="D290" i="29" s="1"/>
  <c r="E290" i="29" s="1"/>
  <c r="C243" i="29"/>
  <c r="D243" i="29" s="1"/>
  <c r="F243" i="29" s="1"/>
  <c r="C268" i="29"/>
  <c r="D268" i="29" s="1"/>
  <c r="F268" i="29" s="1"/>
  <c r="C234" i="29"/>
  <c r="D234" i="29" s="1"/>
  <c r="E234" i="29" s="1"/>
  <c r="C253" i="29"/>
  <c r="D253" i="29" s="1"/>
  <c r="E253" i="29" s="1"/>
  <c r="C277" i="29"/>
  <c r="D277" i="29" s="1"/>
  <c r="F277" i="29" s="1"/>
  <c r="C302" i="29"/>
  <c r="D302" i="29" s="1"/>
  <c r="E302" i="29" s="1"/>
  <c r="C286" i="29"/>
  <c r="D286" i="29" s="1"/>
  <c r="E286" i="29" s="1"/>
  <c r="C315" i="29"/>
  <c r="D315" i="29" s="1"/>
  <c r="E315" i="29" s="1"/>
  <c r="C314" i="29"/>
  <c r="D314" i="29" s="1"/>
  <c r="E314" i="29" s="1"/>
  <c r="N9" i="10"/>
  <c r="C228" i="29"/>
  <c r="D228" i="29" s="1"/>
  <c r="E228" i="29" s="1"/>
  <c r="C252" i="29"/>
  <c r="D252" i="29" s="1"/>
  <c r="F252" i="29" s="1"/>
  <c r="C296" i="29"/>
  <c r="D296" i="29" s="1"/>
  <c r="C299" i="29"/>
  <c r="D299" i="29" s="1"/>
  <c r="F299" i="29" s="1"/>
  <c r="C316" i="29"/>
  <c r="D316" i="29" s="1"/>
  <c r="E316" i="29" s="1"/>
  <c r="C275" i="29"/>
  <c r="D275" i="29" s="1"/>
  <c r="E275" i="29" s="1"/>
  <c r="C317" i="29"/>
  <c r="D317" i="29" s="1"/>
  <c r="E317" i="29" s="1"/>
  <c r="C250" i="29"/>
  <c r="D250" i="29" s="1"/>
  <c r="E250" i="29" s="1"/>
  <c r="C261" i="29"/>
  <c r="D261" i="29" s="1"/>
  <c r="F261" i="29" s="1"/>
  <c r="C278" i="29"/>
  <c r="D278" i="29" s="1"/>
  <c r="E278" i="29" s="1"/>
  <c r="C235" i="29"/>
  <c r="D235" i="29" s="1"/>
  <c r="E235" i="29" s="1"/>
  <c r="C264" i="29"/>
  <c r="D264" i="29" s="1"/>
  <c r="F264" i="29" s="1"/>
  <c r="C270" i="29"/>
  <c r="D270" i="29" s="1"/>
  <c r="E270" i="29" s="1"/>
  <c r="C287" i="29"/>
  <c r="D287" i="29" s="1"/>
  <c r="E287" i="29" s="1"/>
  <c r="C236" i="29"/>
  <c r="D236" i="29" s="1"/>
  <c r="F236" i="29" s="1"/>
  <c r="C298" i="29"/>
  <c r="D298" i="29" s="1"/>
  <c r="E298" i="29" s="1"/>
  <c r="C293" i="29"/>
  <c r="D293" i="29" s="1"/>
  <c r="E293" i="29" s="1"/>
  <c r="C263" i="29"/>
  <c r="D263" i="29" s="1"/>
  <c r="E263" i="29" s="1"/>
  <c r="C246" i="29"/>
  <c r="D246" i="29" s="1"/>
  <c r="E246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C324" i="29" s="1"/>
  <c r="D324" i="29" s="1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71" i="11"/>
  <c r="I71" i="11"/>
  <c r="A10" i="54" l="1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F229" i="29"/>
  <c r="F254" i="29"/>
  <c r="E313" i="29"/>
  <c r="E296" i="29"/>
  <c r="E321" i="29"/>
  <c r="E280" i="29"/>
  <c r="E288" i="29"/>
  <c r="E306" i="29"/>
  <c r="E267" i="29"/>
  <c r="F287" i="29"/>
  <c r="E243" i="29"/>
  <c r="F234" i="29"/>
  <c r="E247" i="29"/>
  <c r="E300" i="29"/>
  <c r="F302" i="29"/>
  <c r="E311" i="29"/>
  <c r="F284" i="29"/>
  <c r="F310" i="29"/>
  <c r="F266" i="29"/>
  <c r="E245" i="29"/>
  <c r="F274" i="29"/>
  <c r="F294" i="29"/>
  <c r="F244" i="29"/>
  <c r="E285" i="29"/>
  <c r="E324" i="29"/>
  <c r="F289" i="29"/>
  <c r="E299" i="29"/>
  <c r="F303" i="29"/>
  <c r="E239" i="29"/>
  <c r="E268" i="29"/>
  <c r="E277" i="29"/>
  <c r="E273" i="29"/>
  <c r="E236" i="29"/>
  <c r="F308" i="29"/>
  <c r="E227" i="29"/>
  <c r="E265" i="29"/>
  <c r="F279" i="29"/>
  <c r="F246" i="29"/>
  <c r="F293" i="29"/>
  <c r="F253" i="29"/>
  <c r="E264" i="29"/>
  <c r="F286" i="29"/>
  <c r="E261" i="29"/>
  <c r="E260" i="29"/>
  <c r="F270" i="29"/>
  <c r="F249" i="29"/>
  <c r="F304" i="29"/>
  <c r="F305" i="29"/>
  <c r="E282" i="29"/>
  <c r="E276" i="29"/>
  <c r="F256" i="29"/>
  <c r="E251" i="29"/>
  <c r="F250" i="29"/>
  <c r="F263" i="29"/>
  <c r="F275" i="29"/>
  <c r="F298" i="29"/>
  <c r="E309" i="29"/>
  <c r="F240" i="29"/>
  <c r="F283" i="29"/>
  <c r="F271" i="29"/>
  <c r="F278" i="29"/>
  <c r="E252" i="29"/>
  <c r="E281" i="29"/>
  <c r="F232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F235" i="29"/>
  <c r="F224" i="29"/>
  <c r="E8" i="54"/>
  <c r="L8" i="54" s="1"/>
  <c r="M8" i="54" s="1"/>
  <c r="I9" i="54"/>
  <c r="H9" i="54"/>
  <c r="C10" i="54"/>
  <c r="D9" i="54"/>
  <c r="K36" i="39"/>
  <c r="K71" i="11"/>
  <c r="F57" i="39" l="1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73" i="11"/>
  <c r="H74" i="11" s="1"/>
  <c r="I73" i="11"/>
  <c r="I74" i="11" s="1"/>
  <c r="F337" i="29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E350" i="29"/>
  <c r="F350" i="29"/>
  <c r="F341" i="29"/>
  <c r="E341" i="29"/>
  <c r="E327" i="29"/>
  <c r="E338" i="29"/>
  <c r="E335" i="29"/>
  <c r="E355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2" i="29" l="1"/>
  <c r="F314" i="29"/>
  <c r="F317" i="29"/>
  <c r="F65" i="39"/>
  <c r="F318" i="29"/>
  <c r="F353" i="29"/>
  <c r="F324" i="29"/>
  <c r="F327" i="29"/>
  <c r="F315" i="29"/>
  <c r="F340" i="29"/>
  <c r="F336" i="29"/>
  <c r="F334" i="29"/>
  <c r="F59" i="39"/>
  <c r="F62" i="39"/>
  <c r="F230" i="29"/>
  <c r="F296" i="29"/>
  <c r="F355" i="29"/>
  <c r="F291" i="29"/>
  <c r="F313" i="29"/>
  <c r="F228" i="29"/>
  <c r="F290" i="29"/>
  <c r="F361" i="29"/>
  <c r="F36" i="39"/>
  <c r="F226" i="29"/>
  <c r="F239" i="29"/>
  <c r="F346" i="29"/>
  <c r="F351" i="29"/>
  <c r="F323" i="29"/>
  <c r="A12" i="54"/>
  <c r="O11" i="54"/>
  <c r="F347" i="29"/>
  <c r="F233" i="29"/>
  <c r="F312" i="29"/>
  <c r="H75" i="11"/>
  <c r="I75" i="11"/>
  <c r="F364" i="29"/>
  <c r="F69" i="39"/>
  <c r="F72" i="39"/>
  <c r="F367" i="29"/>
  <c r="J70" i="11"/>
  <c r="K70" i="11" s="1"/>
  <c r="K73" i="11" s="1"/>
  <c r="K74" i="11" s="1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I16" i="29" s="1"/>
  <c r="F16" i="29"/>
  <c r="F17" i="39"/>
  <c r="C16" i="39"/>
  <c r="D16" i="39" s="1"/>
  <c r="J16" i="39" s="1"/>
  <c r="F16" i="39"/>
  <c r="C17" i="39"/>
  <c r="G17" i="39" s="1"/>
  <c r="A13" i="54"/>
  <c r="O12" i="54"/>
  <c r="B16" i="29"/>
  <c r="E16" i="29" s="1"/>
  <c r="C17" i="29"/>
  <c r="F18" i="29"/>
  <c r="F17" i="29"/>
  <c r="C18" i="29"/>
  <c r="J73" i="11"/>
  <c r="J74" i="11" s="1"/>
  <c r="K75" i="11"/>
  <c r="B76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J16" i="29" l="1"/>
  <c r="G16" i="29"/>
  <c r="H16" i="29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D10" i="5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75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K35" i="39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E1053" i="41"/>
  <c r="E976" i="41"/>
  <c r="E1291" i="41"/>
  <c r="E982" i="41"/>
  <c r="E1049" i="41"/>
  <c r="E934" i="41"/>
  <c r="E1237" i="41"/>
  <c r="E1121" i="41"/>
  <c r="E1006" i="41"/>
  <c r="E121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F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F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F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F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F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07" i="41" l="1"/>
  <c r="F782" i="41"/>
  <c r="F804" i="41"/>
  <c r="F808" i="41"/>
  <c r="F843" i="41"/>
  <c r="F814" i="41"/>
  <c r="F817" i="41"/>
  <c r="F805" i="41"/>
  <c r="F830" i="41"/>
  <c r="F826" i="41"/>
  <c r="F824" i="41"/>
  <c r="K16" i="29"/>
  <c r="F720" i="41"/>
  <c r="F786" i="41"/>
  <c r="F845" i="41"/>
  <c r="F781" i="41"/>
  <c r="K16" i="39"/>
  <c r="F803" i="41"/>
  <c r="F718" i="41"/>
  <c r="F780" i="41"/>
  <c r="F852" i="41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F7" i="54"/>
  <c r="D11" i="5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7" i="39" l="1"/>
  <c r="O15" i="54"/>
  <c r="A16" i="54"/>
  <c r="K28" i="39"/>
  <c r="K24" i="39"/>
  <c r="F12" i="41"/>
  <c r="G24" i="54"/>
  <c r="G29" i="54"/>
  <c r="G8" i="54"/>
  <c r="J8" i="54" s="1"/>
  <c r="N8" i="54" s="1"/>
  <c r="P8" i="54" s="1"/>
  <c r="G9" i="54"/>
  <c r="J9" i="54" s="1"/>
  <c r="N9" i="54" s="1"/>
  <c r="P9" i="54" s="1"/>
  <c r="G10" i="54"/>
  <c r="J10" i="54" s="1"/>
  <c r="N10" i="54" s="1"/>
  <c r="P10" i="54" s="1"/>
  <c r="G11" i="54"/>
  <c r="J11" i="54" s="1"/>
  <c r="N11" i="54" s="1"/>
  <c r="P11" i="54" s="1"/>
  <c r="G23" i="54"/>
  <c r="G26" i="54"/>
  <c r="G12" i="54"/>
  <c r="J12" i="54" s="1"/>
  <c r="N12" i="54" s="1"/>
  <c r="P12" i="54" s="1"/>
  <c r="G13" i="54"/>
  <c r="J13" i="54" s="1"/>
  <c r="G14" i="54"/>
  <c r="G15" i="54"/>
  <c r="G25" i="54"/>
  <c r="G28" i="54"/>
  <c r="G31" i="54"/>
  <c r="G7" i="54"/>
  <c r="J7" i="54" s="1"/>
  <c r="N7" i="54" s="1"/>
  <c r="P7" i="54" s="1"/>
  <c r="Q7" i="54" s="1"/>
  <c r="G20" i="54"/>
  <c r="G21" i="54"/>
  <c r="G22" i="54"/>
  <c r="G27" i="54"/>
  <c r="G32" i="54"/>
  <c r="G30" i="54"/>
  <c r="G16" i="54"/>
  <c r="G17" i="54"/>
  <c r="G18" i="54"/>
  <c r="G19" i="54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G13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J14" i="54"/>
  <c r="C16" i="54"/>
  <c r="D15" i="54"/>
  <c r="E14" i="54"/>
  <c r="N13" i="54" l="1"/>
  <c r="P13" i="54" s="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N14" i="54" s="1"/>
  <c r="P14" i="54" s="1"/>
  <c r="J15" i="54"/>
  <c r="D16" i="54"/>
  <c r="C17" i="54"/>
  <c r="S7" i="54"/>
  <c r="Q8" i="54"/>
  <c r="I13" i="41" l="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<sst xmlns="http://schemas.openxmlformats.org/spreadsheetml/2006/main" count="4757" uniqueCount="1635">
  <si>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</si>
  <si>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</si>
  <si>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</si>
  <si>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</si>
  <si>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</si>
  <si>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</si>
  <si>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</si>
  <si>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</si>
  <si>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</si>
  <si>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</si>
  <si>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</si>
  <si>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</si>
  <si>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</si>
  <si>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</si>
  <si>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</si>
  <si>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</si>
  <si>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</si>
  <si>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</si>
  <si>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</si>
  <si>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</si>
  <si>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</si>
  <si>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</si>
  <si>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</si>
  <si>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</si>
  <si>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</si>
  <si>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</si>
  <si>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</si>
  <si>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</si>
  <si>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</si>
  <si>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</si>
  <si>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</si>
  <si>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</si>
  <si>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</si>
  <si>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</si>
  <si>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</si>
  <si>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</si>
  <si>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</si>
  <si>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</si>
  <si>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</si>
  <si>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</si>
  <si>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</si>
  <si>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</si>
  <si>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</si>
  <si>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</si>
  <si>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</si>
  <si>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</si>
  <si>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</si>
  <si>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</si>
  <si>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</si>
  <si>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</si>
  <si>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</si>
  <si>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</si>
  <si>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</si>
  <si>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</si>
  <si>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</si>
  <si>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</si>
  <si>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</si>
  <si>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</si>
  <si>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</si>
  <si>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</si>
  <si>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</si>
  <si>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</si>
  <si>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</si>
  <si>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</si>
  <si>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</si>
  <si>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</si>
  <si>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</si>
  <si>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</si>
  <si>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</si>
  <si>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</si>
  <si>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</si>
  <si>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</si>
  <si>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</si>
  <si>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</si>
  <si>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</si>
  <si>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</si>
  <si>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</si>
  <si>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</si>
  <si>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</si>
  <si>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</si>
  <si>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</si>
  <si>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</si>
  <si>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</si>
  <si>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</si>
  <si>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</si>
  <si>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</si>
  <si>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</si>
  <si>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</si>
  <si>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</si>
  <si>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</si>
  <si>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</si>
  <si>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</si>
  <si>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</si>
  <si>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</si>
  <si>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</si>
  <si>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</si>
  <si>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</si>
  <si>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</si>
  <si>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</si>
  <si>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</si>
  <si>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</si>
  <si>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</si>
  <si>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</si>
  <si>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</si>
  <si>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</si>
  <si>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</si>
  <si>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</si>
  <si>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</si>
  <si>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</si>
  <si>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</si>
  <si>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</si>
  <si>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</si>
  <si>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</si>
  <si>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</si>
  <si>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</si>
  <si>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</si>
  <si>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</si>
  <si>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</si>
  <si>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</si>
  <si>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</si>
  <si>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</si>
  <si>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</si>
  <si>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</si>
  <si>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</si>
  <si>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</si>
  <si>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</si>
  <si>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</si>
  <si>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</si>
  <si>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</si>
  <si>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</si>
  <si>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</si>
  <si>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</si>
  <si>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</si>
  <si>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</si>
  <si>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</si>
  <si>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</si>
  <si>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</si>
  <si>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</si>
  <si>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</si>
  <si>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</si>
  <si>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</si>
  <si>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</si>
  <si>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</si>
  <si>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</si>
  <si>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</si>
  <si>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</si>
  <si>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</si>
  <si>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</si>
  <si>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</si>
  <si>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</si>
  <si>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</si>
  <si>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</si>
  <si>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</si>
  <si>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</si>
  <si>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</si>
  <si>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</si>
  <si>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</si>
  <si>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</si>
  <si>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</si>
  <si>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</si>
  <si>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</si>
  <si>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</si>
  <si>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</si>
  <si>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</si>
  <si>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</si>
  <si>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</si>
  <si>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</si>
  <si>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</si>
  <si>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</si>
  <si>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</si>
  <si>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</si>
  <si>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</si>
  <si>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</si>
  <si>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</si>
  <si>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</si>
  <si>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</si>
  <si>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</si>
  <si>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</si>
  <si>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</si>
  <si>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</si>
  <si>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</si>
  <si>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</si>
  <si>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</si>
  <si>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</si>
  <si>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</si>
  <si>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</si>
  <si>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</si>
  <si>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</si>
  <si>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</si>
  <si>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</si>
  <si>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</si>
  <si>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</si>
  <si>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</si>
  <si>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</si>
  <si>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</si>
  <si>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</si>
  <si>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</si>
  <si>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</si>
  <si>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</si>
  <si>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</si>
  <si>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</si>
  <si>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</si>
  <si>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</si>
  <si>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</si>
  <si>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</si>
  <si>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</si>
  <si>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</si>
  <si>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</si>
  <si>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</si>
  <si>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</si>
  <si>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</si>
  <si>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</si>
  <si>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</si>
  <si>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</si>
  <si>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</si>
  <si>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</si>
  <si>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</si>
  <si>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</si>
  <si>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</si>
  <si>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</si>
  <si>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</si>
  <si>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</si>
  <si>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</si>
  <si>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</si>
  <si>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</si>
  <si>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</si>
  <si>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</si>
  <si>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</si>
  <si>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</si>
  <si>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</si>
  <si>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</si>
  <si>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</si>
  <si>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</si>
  <si>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</si>
  <si>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</si>
  <si>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</si>
  <si>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</si>
  <si>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</si>
  <si>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</si>
  <si>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</si>
  <si>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</si>
  <si>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</si>
  <si>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</si>
  <si>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</si>
  <si>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</si>
  <si>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</si>
  <si>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</si>
  <si>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</si>
  <si>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</si>
  <si>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</si>
  <si>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</si>
  <si>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</si>
  <si>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</si>
  <si>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</si>
  <si>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</si>
  <si>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</si>
  <si>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</si>
  <si>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</si>
  <si>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</si>
  <si>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</si>
  <si>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</si>
  <si>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</si>
  <si>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</si>
  <si>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</si>
  <si>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</si>
  <si>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</si>
  <si>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</si>
  <si>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</si>
  <si>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</si>
  <si>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</si>
  <si>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</si>
  <si>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</si>
  <si>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</si>
  <si>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</si>
  <si>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</si>
  <si>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</si>
  <si>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</si>
  <si>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</si>
  <si>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</si>
  <si>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</si>
  <si>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</si>
  <si>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</si>
  <si>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</si>
  <si>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</si>
  <si>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</si>
  <si>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</si>
  <si>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</si>
  <si>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</si>
  <si>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</si>
  <si>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</si>
  <si>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</si>
  <si>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</si>
  <si>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</si>
  <si>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</si>
  <si>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</si>
  <si>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</si>
  <si>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</si>
  <si>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</si>
  <si>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</si>
  <si>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</si>
  <si>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</si>
  <si>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</si>
  <si>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</si>
  <si>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</si>
  <si>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</si>
  <si>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</si>
  <si>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</si>
  <si>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</si>
  <si>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</si>
  <si>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</si>
  <si>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</si>
  <si>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</si>
  <si>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</si>
  <si>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</si>
  <si>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</si>
  <si>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</si>
  <si>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</si>
  <si>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</si>
  <si>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</si>
  <si>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</si>
  <si>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</si>
  <si>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</si>
  <si>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</si>
  <si>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</si>
  <si>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</si>
  <si>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</si>
  <si>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</si>
  <si>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</si>
  <si>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</si>
  <si>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</si>
  <si>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</si>
  <si>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</si>
  <si>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</si>
  <si>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</si>
  <si>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</si>
  <si>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</si>
  <si>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</si>
  <si>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</si>
  <si>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</si>
  <si>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</si>
  <si>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</si>
  <si>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</si>
  <si>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</si>
  <si>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</si>
  <si>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</si>
  <si>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</si>
  <si>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</si>
  <si>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</si>
  <si>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</si>
  <si>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</si>
  <si>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</si>
  <si>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</si>
  <si>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</si>
  <si>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</si>
  <si>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</si>
  <si>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</si>
  <si>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</si>
  <si>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</si>
  <si>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</si>
  <si>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</si>
  <si>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</si>
  <si>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</si>
  <si>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</si>
  <si>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</si>
  <si>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</si>
  <si>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</si>
  <si>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</si>
  <si>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</si>
  <si>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</si>
  <si>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</si>
  <si>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</si>
  <si>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</si>
  <si>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</si>
  <si>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</si>
  <si>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</si>
  <si>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</si>
  <si>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</si>
  <si>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</si>
  <si>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</si>
  <si>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</si>
  <si>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</si>
  <si>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</si>
  <si>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</si>
  <si>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</si>
  <si>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</si>
  <si>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</si>
  <si>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</si>
  <si>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</si>
  <si>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</si>
  <si>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</si>
  <si>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</si>
  <si>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</si>
  <si>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</si>
  <si>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</si>
  <si>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</si>
  <si>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</si>
  <si>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</si>
  <si>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</si>
  <si>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</si>
  <si>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</si>
  <si>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</si>
  <si>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</si>
  <si>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</si>
  <si>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</si>
  <si>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</si>
  <si>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</si>
  <si>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</si>
  <si>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</si>
  <si>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</si>
  <si>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</si>
  <si>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</si>
  <si>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</si>
  <si>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</si>
  <si>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</si>
  <si>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</si>
  <si>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</si>
  <si>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</si>
  <si>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</si>
  <si>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</si>
  <si>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</si>
  <si>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</si>
  <si>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</si>
  <si>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</si>
  <si>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</si>
  <si>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</si>
  <si>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</si>
  <si>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</si>
  <si>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</si>
  <si>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</si>
  <si>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</si>
  <si>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</si>
  <si>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</si>
  <si>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</si>
  <si>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</si>
  <si>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</si>
  <si>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</si>
  <si>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</si>
  <si>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</si>
  <si>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</si>
  <si>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</si>
  <si>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</si>
  <si>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</si>
  <si>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</si>
  <si>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</si>
  <si>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</si>
  <si>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</si>
  <si>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</si>
  <si>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</si>
  <si>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</si>
  <si>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</si>
  <si>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</si>
  <si>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</si>
  <si>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</si>
  <si>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</si>
  <si>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</si>
  <si>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</si>
  <si>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</si>
  <si>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</si>
  <si>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</si>
  <si>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</si>
  <si>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</si>
  <si>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</si>
  <si>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</si>
  <si>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</si>
  <si>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</si>
  <si>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</si>
  <si>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</si>
  <si>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</si>
  <si>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</si>
  <si>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</si>
  <si>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</si>
  <si>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</si>
  <si>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</si>
  <si>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</si>
  <si>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</si>
  <si>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</si>
  <si>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</si>
  <si>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</si>
  <si>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</si>
  <si>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</si>
  <si>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</si>
  <si>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</si>
  <si>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</si>
  <si>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</si>
  <si>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</si>
  <si>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</si>
  <si>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</si>
  <si>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</si>
  <si>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</si>
  <si>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</si>
  <si>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</si>
  <si>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</si>
  <si>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</si>
  <si>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</si>
  <si>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</si>
  <si>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</si>
  <si>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</si>
  <si>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</si>
  <si>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</si>
  <si>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</si>
  <si>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</si>
  <si>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</si>
  <si>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</si>
  <si>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</si>
  <si>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</si>
  <si>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</si>
  <si>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</si>
  <si>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</si>
  <si>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</si>
  <si>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</si>
  <si>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</si>
  <si>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</si>
  <si>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</si>
  <si>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</si>
  <si>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</si>
  <si>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</si>
  <si>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</si>
  <si>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</si>
  <si>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</si>
  <si>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</si>
  <si>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</si>
  <si>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</si>
  <si>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</si>
  <si>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</si>
  <si>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</si>
  <si>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</si>
  <si>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</si>
  <si>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</si>
  <si>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</si>
  <si>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</si>
  <si>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</si>
  <si>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</si>
  <si>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</si>
  <si>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</si>
  <si>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</si>
  <si>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</si>
  <si>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</si>
  <si>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</si>
  <si>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</si>
  <si>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</si>
  <si>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</si>
  <si>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</si>
  <si>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</si>
  <si>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</si>
  <si>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</si>
  <si>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</si>
  <si>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</si>
  <si>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</si>
  <si>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</si>
  <si>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</si>
  <si>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</si>
  <si>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</si>
  <si>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</si>
  <si>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</si>
  <si>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</si>
  <si>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</si>
  <si>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</si>
  <si>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</si>
  <si>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</si>
  <si>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</si>
  <si>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</si>
  <si>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</si>
  <si>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</si>
  <si>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</si>
  <si>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</si>
  <si>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</si>
  <si>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</si>
  <si>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</si>
  <si>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</si>
  <si>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</si>
  <si>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</si>
  <si>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</si>
  <si>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</si>
  <si>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</si>
  <si>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</si>
  <si>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</si>
  <si>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</si>
  <si>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</si>
  <si>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</si>
  <si>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</si>
  <si>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</si>
  <si>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</si>
  <si>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</si>
  <si>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</si>
  <si>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</si>
  <si>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</si>
  <si>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</si>
  <si>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</si>
  <si>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</si>
  <si>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</si>
  <si>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</si>
  <si>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</si>
  <si>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</si>
  <si>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</si>
  <si>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</si>
  <si>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</si>
  <si>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</si>
  <si>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</si>
  <si>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</si>
  <si>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</si>
  <si>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</si>
  <si>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</si>
  <si>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</si>
  <si>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</si>
  <si>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</si>
  <si>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</si>
  <si>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</si>
  <si>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</si>
  <si>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</si>
  <si>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</si>
  <si>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</si>
  <si>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</si>
  <si>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</si>
  <si>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</si>
  <si>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</si>
  <si>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</si>
  <si>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</si>
  <si>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</si>
  <si>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</si>
  <si>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</si>
  <si>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</si>
  <si>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</si>
  <si>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</si>
  <si>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</si>
  <si>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</si>
  <si>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</si>
  <si>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</si>
  <si>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</si>
  <si>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</si>
  <si>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</si>
  <si>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</si>
  <si>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</si>
  <si>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</si>
  <si>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</si>
  <si>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</si>
  <si>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</si>
  <si>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</si>
  <si>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</si>
  <si>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</si>
  <si>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</si>
  <si>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</si>
  <si>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</si>
  <si>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</si>
  <si>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</si>
  <si>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</si>
  <si>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</si>
  <si>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</si>
  <si>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</si>
  <si>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</si>
  <si>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</si>
  <si>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</si>
  <si>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</si>
  <si>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</si>
  <si>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</si>
  <si>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</si>
  <si>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</si>
  <si>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</si>
  <si>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</si>
  <si>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</si>
  <si>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</si>
  <si>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</si>
  <si>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</si>
  <si>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</si>
  <si>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</si>
  <si>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</si>
  <si>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</si>
  <si>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</si>
  <si>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</si>
  <si>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</si>
  <si>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</si>
  <si>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</si>
  <si>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</si>
  <si>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</si>
  <si>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</si>
  <si>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</si>
  <si>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</si>
  <si>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</si>
  <si>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</si>
  <si>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</si>
  <si>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</si>
  <si>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</si>
  <si>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</si>
  <si>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</si>
  <si>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</si>
  <si>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</si>
  <si>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</si>
  <si>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</si>
  <si>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</si>
  <si>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</si>
  <si>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</si>
  <si>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</si>
  <si>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</si>
  <si>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</si>
  <si>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</si>
  <si>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</si>
  <si>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</si>
  <si>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</si>
  <si>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</si>
  <si>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</si>
  <si>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</si>
  <si>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</si>
  <si>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</si>
  <si>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</si>
  <si>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</si>
  <si>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</si>
  <si>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</si>
  <si>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</si>
  <si>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</si>
  <si>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</si>
  <si>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</si>
  <si>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</si>
  <si>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</si>
  <si>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</si>
  <si>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</si>
  <si>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</si>
  <si>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</si>
  <si>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</si>
  <si>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</si>
  <si>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</si>
  <si>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</si>
  <si>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</si>
  <si>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</si>
  <si>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</si>
  <si>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</si>
  <si>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</si>
  <si>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</si>
  <si>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</si>
  <si>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</si>
  <si>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</si>
  <si>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</si>
  <si>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</si>
  <si>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</si>
  <si>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</si>
  <si>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</si>
  <si>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</si>
  <si>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</si>
  <si>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</si>
  <si>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</si>
  <si>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</si>
  <si>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</si>
  <si>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</si>
  <si>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</si>
  <si>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</si>
  <si>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</si>
  <si>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</si>
  <si>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</si>
  <si>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</si>
  <si>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</si>
  <si>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</si>
  <si>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</si>
  <si>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</si>
  <si>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</si>
  <si>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</si>
  <si>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</si>
  <si>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</si>
  <si>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</si>
  <si>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</si>
  <si>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</si>
  <si>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</si>
  <si>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</si>
  <si>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</si>
  <si>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</si>
  <si>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</si>
  <si>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</si>
  <si>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</si>
  <si>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</si>
  <si>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</si>
  <si>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</si>
  <si>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</si>
  <si>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</si>
  <si>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</si>
  <si>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</si>
  <si>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</si>
  <si>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</si>
  <si>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</si>
  <si>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</si>
  <si>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</si>
  <si>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</si>
  <si>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</si>
  <si>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</si>
  <si>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</si>
  <si>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</si>
  <si>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</si>
  <si>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</si>
  <si>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</si>
  <si>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</si>
  <si>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</si>
  <si>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</si>
  <si>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</si>
  <si>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</si>
  <si>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</si>
  <si>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</si>
  <si>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</si>
  <si>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</si>
  <si>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</si>
  <si>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</si>
  <si>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</si>
  <si>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</si>
  <si>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</si>
  <si>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</si>
  <si>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</si>
  <si>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</si>
  <si>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</si>
  <si>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</si>
  <si>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</si>
  <si>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</si>
  <si>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</si>
  <si>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</si>
  <si>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</si>
  <si>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</si>
  <si>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</si>
  <si>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</si>
  <si>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</si>
  <si>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</si>
  <si>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</si>
  <si>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</si>
  <si>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</si>
  <si>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</si>
  <si>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</si>
  <si>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</si>
  <si>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</si>
  <si>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</si>
  <si>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</si>
  <si>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</si>
  <si>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</si>
  <si>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</si>
  <si>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</si>
  <si>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</si>
  <si>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</si>
  <si>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</si>
  <si>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</si>
  <si>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</si>
  <si>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</si>
  <si>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</si>
  <si>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</si>
  <si>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</si>
  <si>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</si>
  <si>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</si>
  <si>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</si>
  <si>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</si>
  <si>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</si>
  <si>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</si>
  <si>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</si>
  <si>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</si>
  <si>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</si>
  <si>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</si>
  <si>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</si>
  <si>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</si>
  <si>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</si>
  <si>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</si>
  <si>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</si>
  <si>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</si>
  <si>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</si>
  <si>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</si>
  <si>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</si>
  <si>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</si>
  <si>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</si>
  <si>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</si>
  <si>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</si>
  <si>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</si>
  <si>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</si>
  <si>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</si>
  <si>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</si>
  <si>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</si>
  <si>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</si>
  <si>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</si>
  <si>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</si>
  <si>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</si>
  <si>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</si>
  <si>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</si>
  <si>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</si>
  <si>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</si>
  <si>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</si>
  <si>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</si>
  <si>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</si>
  <si>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</si>
  <si>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</si>
  <si>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</si>
  <si>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</si>
  <si>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</si>
  <si>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</si>
  <si>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</si>
  <si>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</si>
  <si>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</si>
  <si>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</si>
  <si>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</si>
  <si>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</si>
  <si>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</si>
  <si>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</si>
  <si>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</si>
  <si>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</si>
  <si>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</si>
  <si>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</si>
  <si>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</si>
  <si>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</si>
  <si>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</si>
  <si>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</si>
  <si>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</si>
  <si>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</si>
  <si>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</si>
  <si>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</si>
  <si>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</si>
  <si>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</si>
  <si>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</si>
  <si>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</si>
  <si>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</si>
  <si>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</si>
  <si>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</si>
  <si>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</si>
  <si>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</si>
  <si>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</si>
  <si>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</si>
  <si>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</si>
  <si>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</si>
  <si>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</si>
  <si>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</si>
  <si>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</si>
  <si>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</si>
  <si>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</si>
  <si>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</si>
  <si>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</si>
  <si>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</si>
  <si>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</si>
  <si>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</si>
  <si>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</si>
  <si>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</si>
  <si>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</si>
  <si>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</si>
  <si>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</si>
  <si>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</si>
  <si>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</si>
  <si>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</si>
  <si>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</si>
  <si>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</si>
  <si>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</si>
  <si>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</si>
  <si>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</si>
  <si>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</si>
  <si>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</si>
  <si>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</si>
  <si>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</si>
  <si>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</si>
  <si>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</si>
  <si>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</si>
  <si>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</si>
  <si>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</si>
  <si>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</si>
  <si>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</si>
  <si>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</si>
  <si>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</si>
  <si>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</si>
  <si>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</si>
  <si>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</si>
  <si>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</si>
  <si>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</si>
  <si>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</si>
  <si>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</si>
  <si>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</si>
  <si>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</si>
  <si>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</si>
  <si>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</si>
  <si>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</si>
  <si>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</si>
  <si>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</si>
  <si>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</si>
  <si>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</si>
  <si>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</si>
  <si>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</si>
  <si>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</si>
  <si>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</si>
  <si>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</si>
  <si>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</si>
  <si>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</si>
  <si>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</si>
  <si>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</si>
  <si>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</si>
  <si>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</si>
  <si>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</si>
  <si>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</si>
  <si>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</si>
  <si>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</si>
  <si>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</si>
  <si>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</si>
  <si>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</si>
  <si>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</si>
  <si>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</si>
  <si>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</si>
  <si>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</si>
  <si>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</si>
  <si>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</si>
  <si>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</si>
  <si>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</si>
  <si>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</si>
  <si>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</si>
  <si>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</si>
  <si>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</si>
  <si>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</si>
  <si>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</si>
  <si>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</si>
  <si>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</si>
  <si>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</si>
  <si>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</si>
  <si>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</si>
  <si>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</si>
  <si>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</si>
  <si>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</si>
  <si>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</si>
  <si>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</si>
  <si>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</si>
  <si>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</si>
  <si>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</si>
  <si>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</si>
  <si>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</si>
  <si>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</si>
  <si>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</si>
  <si>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</si>
  <si>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</si>
  <si>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</si>
  <si>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</si>
  <si>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</si>
  <si>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</si>
  <si>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</si>
  <si>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</si>
  <si>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</si>
  <si>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</si>
  <si>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</si>
  <si>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</si>
  <si>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</si>
  <si>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</si>
  <si>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</si>
  <si>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</si>
  <si>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</si>
  <si>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</si>
  <si>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</si>
  <si>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</si>
  <si>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</si>
  <si>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</si>
  <si>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</si>
  <si>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</si>
  <si>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</si>
  <si>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</si>
  <si>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</si>
  <si>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</si>
  <si>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</si>
  <si>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</si>
  <si>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</si>
  <si>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</si>
  <si>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</si>
  <si>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</si>
  <si>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</si>
  <si>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</si>
  <si>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</si>
  <si>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</si>
  <si>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</si>
  <si>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</si>
  <si>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</si>
  <si>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</si>
  <si>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</si>
  <si>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</si>
  <si>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</si>
  <si>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</si>
  <si>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</si>
  <si>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</si>
  <si>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</si>
  <si>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</si>
  <si>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</si>
  <si>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</si>
  <si>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</si>
  <si>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</si>
  <si>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</si>
  <si>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</si>
  <si>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</si>
  <si>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</si>
  <si>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</si>
  <si>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</si>
  <si>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</si>
  <si>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</si>
  <si>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</si>
  <si>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</si>
  <si>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</si>
  <si>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</si>
  <si>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</si>
  <si>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</si>
  <si>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</si>
  <si>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</si>
  <si>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</si>
  <si>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</si>
  <si>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</si>
  <si>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</si>
  <si>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</si>
  <si>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</si>
  <si>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</si>
  <si>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</si>
  <si>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</si>
  <si>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</si>
  <si>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</si>
  <si>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</si>
  <si>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</si>
  <si>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</si>
  <si>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</si>
  <si>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</si>
  <si>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</si>
  <si>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</si>
  <si>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</si>
  <si>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</si>
  <si>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</si>
  <si>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</si>
  <si>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</si>
  <si>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</si>
  <si>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</si>
  <si>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</si>
  <si>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</si>
  <si>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</si>
  <si>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</si>
  <si>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</si>
  <si>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</si>
  <si>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</si>
  <si>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</si>
  <si>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</si>
  <si>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</si>
  <si>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</si>
  <si>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</si>
  <si>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</si>
  <si>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</si>
  <si>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</si>
  <si>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</si>
  <si>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</si>
  <si>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</si>
  <si>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</si>
  <si>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</si>
  <si>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</si>
  <si>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</si>
  <si>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</si>
  <si>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</si>
  <si>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</si>
  <si>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</si>
  <si>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</si>
  <si>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</si>
  <si>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</si>
  <si>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</si>
  <si>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</si>
  <si>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</si>
  <si>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</si>
  <si>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</si>
  <si>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</si>
  <si>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</si>
  <si>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</si>
  <si>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</si>
  <si>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</si>
  <si>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</si>
  <si>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</si>
  <si>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</si>
  <si>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</si>
  <si>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</si>
  <si>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</si>
  <si>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</si>
  <si>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</si>
  <si>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</si>
  <si>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</si>
  <si>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</si>
  <si>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</si>
  <si>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</si>
  <si>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</si>
  <si>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</si>
  <si>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</si>
  <si>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</si>
  <si>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</si>
  <si>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</si>
  <si>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</si>
  <si>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</si>
  <si>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</si>
  <si>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</si>
  <si>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</si>
  <si>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</si>
  <si>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</si>
  <si>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</si>
  <si>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</si>
  <si>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</si>
  <si>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</si>
  <si>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</si>
  <si>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</si>
  <si>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</si>
  <si>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</si>
  <si>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</si>
  <si>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</si>
  <si>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</si>
  <si>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</si>
  <si>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</si>
  <si>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</si>
  <si>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</si>
  <si>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</si>
  <si>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</si>
  <si>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</si>
  <si>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</si>
  <si>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</si>
  <si>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</si>
  <si>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</si>
  <si>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</si>
  <si>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</si>
  <si>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</si>
  <si>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</si>
  <si>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</si>
  <si>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</si>
  <si>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</si>
  <si>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</si>
  <si>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</si>
  <si>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</si>
  <si>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</si>
  <si>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</si>
  <si>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</si>
  <si>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</si>
  <si>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</si>
  <si>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</si>
  <si>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</si>
  <si>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</si>
  <si>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</si>
  <si>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</si>
  <si>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</si>
  <si>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</si>
  <si>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</si>
  <si>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</si>
  <si>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</si>
  <si>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</si>
  <si>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</si>
  <si>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</si>
  <si>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</si>
  <si>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</si>
  <si>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</si>
  <si>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</si>
  <si>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</si>
  <si>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</si>
  <si>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</si>
  <si>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</si>
  <si>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</si>
  <si>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</si>
  <si>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</si>
  <si>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</si>
  <si>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</si>
  <si>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</si>
  <si>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</si>
  <si>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</si>
  <si>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</si>
  <si>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</si>
  <si>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</si>
  <si>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</si>
  <si>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</si>
  <si>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</si>
  <si>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</si>
  <si>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</si>
  <si>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</si>
  <si>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</si>
  <si>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</si>
  <si>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</si>
  <si>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</si>
  <si>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</si>
  <si>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</si>
  <si>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</si>
  <si>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</si>
  <si>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</si>
  <si>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</si>
  <si>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</si>
  <si>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</si>
  <si>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</si>
  <si>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</si>
  <si>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</si>
  <si>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</si>
  <si>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</si>
  <si>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</si>
  <si>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</si>
  <si>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</si>
  <si>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</si>
  <si>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</si>
  <si>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</si>
  <si>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</si>
  <si>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</si>
  <si>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</si>
  <si>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</si>
  <si>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</si>
  <si>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</si>
  <si>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</si>
  <si>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</si>
  <si>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</si>
  <si>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</si>
  <si>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</si>
  <si>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</si>
  <si>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</si>
  <si>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</si>
  <si>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</si>
  <si>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</si>
  <si>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</si>
  <si>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</si>
  <si>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</si>
  <si>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</si>
  <si>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</si>
  <si>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</si>
  <si>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</si>
  <si>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</si>
  <si>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</si>
  <si>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</si>
  <si>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</si>
  <si>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</si>
  <si>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</si>
  <si>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</si>
  <si>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</si>
  <si>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</si>
  <si>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</si>
  <si>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</si>
  <si>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</si>
  <si>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</si>
  <si>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</si>
  <si>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</si>
  <si>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</si>
  <si>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</si>
  <si>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</si>
  <si>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</si>
  <si>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</si>
  <si>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</si>
  <si>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</si>
  <si>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</si>
  <si>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</si>
  <si>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</si>
  <si>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</si>
  <si>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</si>
  <si>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</si>
  <si>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</si>
  <si>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</si>
  <si>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</si>
  <si>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</si>
  <si>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</si>
  <si>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</si>
  <si>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</si>
  <si>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</si>
  <si>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</si>
  <si>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</si>
  <si>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</si>
  <si>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</si>
  <si>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</si>
  <si>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</si>
  <si>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</si>
  <si>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</si>
  <si>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</si>
  <si>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</si>
  <si>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</si>
  <si>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</si>
  <si>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</si>
  <si>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</si>
  <si>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</si>
  <si>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</si>
  <si>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</si>
  <si>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</si>
  <si>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</si>
  <si>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</si>
  <si>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</si>
  <si>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</si>
  <si>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</si>
  <si>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</si>
  <si>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</si>
  <si>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</si>
  <si>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</si>
  <si>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</si>
  <si>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</si>
  <si>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</si>
  <si>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</si>
  <si>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</si>
  <si>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</si>
  <si>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</si>
  <si>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</si>
  <si>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</si>
  <si>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</si>
  <si>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</si>
  <si>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</si>
  <si>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</si>
  <si>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</si>
  <si>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</si>
  <si>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</si>
  <si>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</si>
  <si>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</si>
  <si>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</si>
  <si>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</si>
  <si>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</si>
  <si>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</si>
  <si>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</si>
  <si>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</si>
  <si>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</si>
  <si>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</si>
  <si>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</si>
  <si>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</si>
  <si>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</si>
  <si>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</si>
  <si>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</si>
  <si>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</si>
  <si>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</si>
  <si>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</si>
  <si>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</si>
  <si>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</si>
  <si>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</si>
  <si>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</si>
  <si>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</si>
  <si>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</si>
  <si>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</si>
  <si>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</si>
  <si>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</si>
  <si>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</si>
  <si>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</si>
  <si>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</si>
  <si>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</si>
  <si>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</si>
  <si>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</si>
  <si>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</si>
  <si>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</si>
  <si>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</si>
  <si>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</si>
  <si>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</si>
  <si>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</si>
  <si>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</si>
  <si>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</si>
  <si>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</si>
  <si>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</si>
  <si>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</si>
  <si>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</si>
  <si>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</si>
  <si>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</si>
  <si>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</si>
  <si>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</si>
  <si>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</si>
  <si>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</si>
  <si>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</si>
  <si>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</si>
  <si>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</si>
  <si>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</si>
  <si>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</si>
  <si>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</si>
  <si>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</si>
  <si>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</si>
  <si>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</si>
  <si>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</si>
  <si>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</si>
  <si>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</si>
  <si>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</si>
  <si>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</si>
  <si>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</si>
  <si>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</si>
  <si>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</si>
  <si>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</si>
  <si>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</si>
  <si>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</si>
  <si>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</si>
  <si>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</si>
  <si>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</si>
  <si>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</si>
  <si>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</si>
  <si>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</si>
  <si>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</si>
  <si>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</si>
  <si>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</si>
  <si>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</si>
  <si>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</si>
  <si>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</si>
  <si>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</si>
  <si>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</si>
  <si>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</si>
  <si>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</si>
  <si>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</si>
  <si>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</si>
  <si>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</si>
  <si>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</si>
  <si>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</si>
  <si>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</si>
  <si>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</si>
  <si>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</si>
  <si>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</si>
  <si>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</si>
  <si>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</si>
  <si>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</si>
  <si>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</si>
  <si>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</si>
  <si>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</si>
  <si>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</si>
  <si>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</si>
  <si>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</si>
  <si>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</si>
  <si>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</si>
  <si>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</si>
  <si>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</si>
  <si>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</si>
  <si>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</si>
  <si>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</si>
  <si>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</si>
  <si>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</si>
  <si>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</si>
  <si>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</si>
  <si>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</si>
  <si>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</si>
  <si>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</si>
  <si>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</si>
  <si>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</si>
  <si>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</si>
  <si>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</si>
  <si>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</si>
  <si>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</si>
  <si>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</si>
  <si>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</si>
  <si>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</si>
  <si>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</si>
  <si>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</si>
  <si>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</si>
  <si>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</si>
  <si>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</si>
  <si>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</si>
  <si>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</si>
  <si>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</si>
  <si>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</si>
  <si>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</si>
  <si>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</si>
  <si>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</si>
  <si>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</si>
  <si>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</si>
  <si>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</si>
  <si>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</si>
  <si>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</si>
  <si>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</si>
  <si>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</si>
  <si>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</si>
  <si>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</si>
  <si>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</si>
  <si>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</si>
  <si>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</si>
  <si>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</si>
  <si>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</si>
  <si>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</si>
  <si>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</si>
  <si>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</si>
  <si>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</si>
  <si>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</si>
  <si>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</si>
  <si>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</si>
  <si>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</si>
  <si>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</si>
  <si>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</si>
  <si>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</si>
  <si>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</si>
  <si>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</si>
  <si>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</si>
  <si>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</si>
  <si>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</si>
  <si>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</si>
  <si>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</si>
  <si>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</si>
  <si>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</si>
  <si>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</si>
  <si>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</si>
  <si>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</si>
  <si>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</si>
  <si>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</si>
  <si>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</si>
  <si>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</si>
  <si>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</si>
  <si>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</si>
  <si>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</si>
  <si>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</si>
  <si>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</si>
  <si>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</si>
  <si>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</si>
  <si>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</si>
  <si>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</si>
  <si>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</si>
  <si>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</si>
  <si>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</si>
  <si>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</si>
  <si>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</si>
  <si>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</si>
  <si>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</si>
  <si>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</si>
  <si>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</si>
  <si>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</si>
  <si>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</si>
  <si>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</si>
  <si>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</si>
  <si>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</si>
  <si>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</si>
  <si>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</si>
  <si>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</si>
  <si>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</si>
  <si>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</si>
  <si>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</si>
  <si>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</si>
  <si>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</si>
  <si>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</si>
  <si>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</si>
  <si>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</si>
  <si>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</si>
  <si>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</si>
  <si>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</si>
  <si>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</si>
  <si>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</si>
  <si>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</si>
  <si>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</si>
  <si>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</si>
  <si>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</si>
  <si>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</si>
  <si>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</si>
  <si>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</si>
  <si>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</si>
  <si>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</si>
  <si>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</si>
  <si>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</si>
  <si>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KOORDINAT : -6.897822, 110.525191</t>
  </si>
  <si>
    <t xml:space="preserve">KOORDINAT : </t>
  </si>
  <si>
    <t>B2</t>
  </si>
  <si>
    <t>PENANAMAN TIANG BETON</t>
  </si>
  <si>
    <t>II</t>
  </si>
  <si>
    <t>KONSTRUKSI JTM 3 PHASE</t>
  </si>
  <si>
    <t>III</t>
  </si>
  <si>
    <t>IV</t>
  </si>
  <si>
    <t>PEMASANGAN TRAFO</t>
  </si>
  <si>
    <t>PEKERJAAN LAIN-LAIN</t>
  </si>
  <si>
    <t>CM2-11</t>
  </si>
  <si>
    <t xml:space="preserve">Jumper Wire : </t>
  </si>
  <si>
    <t xml:space="preserve">SYG 06 </t>
  </si>
  <si>
    <t>Pemasangan APP Di Tiang</t>
  </si>
  <si>
    <t>KI JATENGLAND DS BATU, KARANGTENGAH</t>
  </si>
  <si>
    <t xml:space="preserve">Pemasangan APP </t>
  </si>
  <si>
    <t>SYG 06/51/16</t>
  </si>
  <si>
    <t>POMPA AIR JATENG LAND</t>
  </si>
  <si>
    <t>ATTB</t>
  </si>
  <si>
    <t>Daya 41.500 VA</t>
  </si>
  <si>
    <t>Upah Bongkar Trafo 3ph (50/100/160/200 kVA) - hanya pasang trafo tanpa set konstruksi</t>
  </si>
  <si>
    <t>Upah Pasang Trafo 3ph (50/100/160/200 kVA) - hanya pasang trafo tanpa set konstruksi</t>
  </si>
  <si>
    <t>Trafo 3 Fasa 100 KVA 1 Tiang (G313)</t>
  </si>
  <si>
    <t>Demak, 28 Agustus 2023</t>
  </si>
  <si>
    <t>Manager ULP</t>
  </si>
  <si>
    <t>ACHMAD SUHENDRO</t>
  </si>
  <si>
    <t>Staff Teknik</t>
  </si>
  <si>
    <t>TL Teknik</t>
  </si>
  <si>
    <t>Mbag. Perencanaan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</si>
</sst>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</borders>
  <cellStyleXfs count="3389">
    <xf numFmtId="0" fontId="0" fillId="0" borderId="0"/>
    <xf numFmtId="172" fontId="41" fillId="0" borderId="0">
      <alignment horizontal="centerContinuous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63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4" fontId="35" fillId="0" borderId="0" applyFill="0" applyBorder="0" applyAlignment="0"/>
    <xf numFmtId="174" fontId="21" fillId="0" borderId="0" applyFill="0" applyBorder="0" applyAlignment="0"/>
    <xf numFmtId="175" fontId="35" fillId="0" borderId="0" applyFill="0" applyBorder="0" applyAlignment="0"/>
    <xf numFmtId="175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7" fontId="10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16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1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1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8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6" fillId="0" borderId="0" applyFont="0" applyFill="0" applyBorder="0" applyAlignment="0" applyProtection="0"/>
    <xf numFmtId="185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64" fillId="0" borderId="0"/>
    <xf numFmtId="0" fontId="64" fillId="0" borderId="0"/>
    <xf numFmtId="186" fontId="35" fillId="0" borderId="3"/>
    <xf numFmtId="186" fontId="21" fillId="0" borderId="3"/>
    <xf numFmtId="164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71" fillId="0" borderId="0">
      <protection locked="0"/>
    </xf>
    <xf numFmtId="14" fontId="63" fillId="0" borderId="0" applyFill="0" applyBorder="0" applyAlignment="0"/>
    <xf numFmtId="189" fontId="72" fillId="0" borderId="0">
      <protection locked="0"/>
    </xf>
    <xf numFmtId="0" fontId="73" fillId="0" borderId="0"/>
    <xf numFmtId="0" fontId="73" fillId="0" borderId="4"/>
    <xf numFmtId="0" fontId="73" fillId="0" borderId="4"/>
    <xf numFmtId="0" fontId="73" fillId="0" borderId="4"/>
    <xf numFmtId="0" fontId="73" fillId="0" borderId="4"/>
    <xf numFmtId="0" fontId="74" fillId="22" borderId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5" fillId="0" borderId="0" applyNumberFormat="0" applyAlignment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190" fontId="71" fillId="0" borderId="0">
      <protection locked="0"/>
    </xf>
    <xf numFmtId="0" fontId="78" fillId="0" borderId="5"/>
    <xf numFmtId="0" fontId="78" fillId="0" borderId="5"/>
    <xf numFmtId="0" fontId="78" fillId="0" borderId="5"/>
    <xf numFmtId="0" fontId="78" fillId="0" borderId="5"/>
    <xf numFmtId="0" fontId="78" fillId="0" borderId="4"/>
    <xf numFmtId="0" fontId="78" fillId="0" borderId="4"/>
    <xf numFmtId="0" fontId="78" fillId="23" borderId="4"/>
    <xf numFmtId="0" fontId="78" fillId="23" borderId="4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79" fillId="0" borderId="0" applyNumberFormat="0"/>
    <xf numFmtId="38" fontId="40" fillId="24" borderId="0" applyNumberFormat="0" applyBorder="0" applyAlignment="0" applyProtection="0"/>
    <xf numFmtId="0" fontId="80" fillId="0" borderId="6" applyNumberFormat="0" applyAlignment="0" applyProtection="0">
      <alignment horizontal="left" vertical="center"/>
    </xf>
    <xf numFmtId="0" fontId="80" fillId="0" borderId="7">
      <alignment horizontal="left" vertical="center"/>
    </xf>
    <xf numFmtId="0" fontId="80" fillId="0" borderId="7">
      <alignment horizontal="left" vertical="center"/>
    </xf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1" fontId="76" fillId="0" borderId="0">
      <protection locked="0"/>
    </xf>
    <xf numFmtId="191" fontId="76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10" fontId="40" fillId="25" borderId="3" applyNumberFormat="0" applyBorder="0" applyAlignment="0" applyProtection="0"/>
    <xf numFmtId="10" fontId="40" fillId="25" borderId="3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192" fontId="35" fillId="0" borderId="0" applyFont="0" applyFill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37" fontId="81" fillId="0" borderId="0"/>
    <xf numFmtId="193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21" fillId="0" borderId="0"/>
    <xf numFmtId="193" fontId="35" fillId="0" borderId="0"/>
    <xf numFmtId="172" fontId="82" fillId="0" borderId="0"/>
    <xf numFmtId="172" fontId="83" fillId="0" borderId="0"/>
    <xf numFmtId="172" fontId="83" fillId="0" borderId="0"/>
    <xf numFmtId="0" fontId="65" fillId="0" borderId="0"/>
    <xf numFmtId="0" fontId="111" fillId="0" borderId="0"/>
    <xf numFmtId="0" fontId="35" fillId="0" borderId="0"/>
    <xf numFmtId="0" fontId="21" fillId="0" borderId="0"/>
    <xf numFmtId="0" fontId="68" fillId="0" borderId="0"/>
    <xf numFmtId="0" fontId="35" fillId="0" borderId="0"/>
    <xf numFmtId="12" fontId="35" fillId="0" borderId="0"/>
    <xf numFmtId="12" fontId="2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4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68" fillId="0" borderId="0"/>
    <xf numFmtId="0" fontId="35" fillId="0" borderId="0"/>
    <xf numFmtId="0" fontId="11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6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22" fillId="0" borderId="0"/>
    <xf numFmtId="0" fontId="22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63" fillId="0" borderId="0">
      <alignment vertical="top"/>
    </xf>
    <xf numFmtId="0" fontId="22" fillId="0" borderId="0"/>
    <xf numFmtId="194" fontId="42" fillId="0" borderId="0"/>
    <xf numFmtId="0" fontId="111" fillId="0" borderId="0"/>
    <xf numFmtId="0" fontId="1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 applyNumberFormat="0" applyFont="0" applyFill="0" applyAlignment="0" applyProtection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 applyNumberFormat="0" applyFont="0" applyFill="0" applyAlignment="0" applyProtection="0"/>
    <xf numFmtId="0" fontId="83" fillId="0" borderId="0"/>
    <xf numFmtId="0" fontId="83" fillId="0" borderId="0"/>
    <xf numFmtId="0" fontId="21" fillId="0" borderId="0" applyNumberFormat="0" applyFont="0" applyFill="0" applyAlignment="0" applyProtection="0"/>
    <xf numFmtId="0" fontId="35" fillId="0" borderId="0"/>
    <xf numFmtId="0" fontId="111" fillId="0" borderId="0"/>
    <xf numFmtId="182" fontId="83" fillId="0" borderId="0"/>
    <xf numFmtId="0" fontId="83" fillId="0" borderId="0"/>
    <xf numFmtId="195" fontId="83" fillId="0" borderId="0"/>
    <xf numFmtId="196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5" fontId="83" fillId="0" borderId="0"/>
    <xf numFmtId="0" fontId="83" fillId="0" borderId="0"/>
    <xf numFmtId="0" fontId="35" fillId="0" borderId="0"/>
    <xf numFmtId="0" fontId="21" fillId="0" borderId="0"/>
    <xf numFmtId="182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 applyNumberFormat="0" applyFont="0" applyFill="0" applyAlignment="0" applyProtection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198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7" fontId="83" fillId="0" borderId="0"/>
    <xf numFmtId="199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2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194" fontId="42" fillId="0" borderId="0"/>
    <xf numFmtId="0" fontId="21" fillId="0" borderId="0"/>
    <xf numFmtId="0" fontId="21" fillId="0" borderId="0" applyProtection="0"/>
    <xf numFmtId="0" fontId="111" fillId="0" borderId="0"/>
    <xf numFmtId="0" fontId="111" fillId="0" borderId="0"/>
    <xf numFmtId="0" fontId="111" fillId="0" borderId="0"/>
    <xf numFmtId="0" fontId="21" fillId="0" borderId="0"/>
    <xf numFmtId="0" fontId="21" fillId="0" borderId="0" applyProtection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4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35" fillId="0" borderId="0"/>
    <xf numFmtId="0" fontId="21" fillId="0" borderId="0"/>
    <xf numFmtId="0" fontId="11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113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2" fillId="0" borderId="0"/>
    <xf numFmtId="0" fontId="112" fillId="0" borderId="0"/>
    <xf numFmtId="0" fontId="6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21" fillId="0" borderId="0"/>
    <xf numFmtId="194" fontId="42" fillId="0" borderId="0"/>
    <xf numFmtId="194" fontId="42" fillId="0" borderId="0"/>
    <xf numFmtId="0" fontId="1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176" fontId="35" fillId="0" borderId="0" applyFont="0" applyFill="0" applyBorder="0" applyAlignment="0" applyProtection="0"/>
    <xf numFmtId="176" fontId="21" fillId="0" borderId="0" applyFont="0" applyFill="0" applyBorder="0" applyAlignment="0" applyProtection="0"/>
    <xf numFmtId="200" fontId="35" fillId="0" borderId="0" applyFont="0" applyFill="0" applyBorder="0" applyAlignment="0" applyProtection="0"/>
    <xf numFmtId="200" fontId="21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3" fillId="0" borderId="0"/>
    <xf numFmtId="201" fontId="86" fillId="0" borderId="0" applyNumberFormat="0" applyFill="0" applyBorder="0" applyAlignment="0" applyProtection="0">
      <alignment horizontal="left"/>
    </xf>
    <xf numFmtId="0" fontId="87" fillId="0" borderId="14"/>
    <xf numFmtId="0" fontId="87" fillId="0" borderId="14"/>
    <xf numFmtId="0" fontId="88" fillId="0" borderId="15"/>
    <xf numFmtId="0" fontId="88" fillId="0" borderId="15"/>
    <xf numFmtId="40" fontId="89" fillId="0" borderId="0" applyBorder="0">
      <alignment horizontal="right"/>
    </xf>
    <xf numFmtId="49" fontId="63" fillId="0" borderId="0" applyFill="0" applyBorder="0" applyAlignment="0"/>
    <xf numFmtId="202" fontId="35" fillId="0" borderId="0" applyFill="0" applyBorder="0" applyAlignment="0"/>
    <xf numFmtId="202" fontId="21" fillId="0" borderId="0" applyFill="0" applyBorder="0" applyAlignment="0"/>
    <xf numFmtId="203" fontId="35" fillId="0" borderId="0" applyFill="0" applyBorder="0" applyAlignment="0"/>
    <xf numFmtId="203" fontId="21" fillId="0" borderId="0" applyFill="0" applyBorder="0" applyAlignment="0"/>
    <xf numFmtId="204" fontId="90" fillId="0" borderId="16" applyFont="0" applyBorder="0" applyAlignment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/>
    <xf numFmtId="0" fontId="9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8" fillId="0" borderId="0"/>
    <xf numFmtId="41" fontId="21" fillId="0" borderId="0" applyFont="0" applyFill="0" applyBorder="0" applyAlignment="0" applyProtection="0"/>
    <xf numFmtId="9" fontId="162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21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0" borderId="0"/>
    <xf numFmtId="41" fontId="21" fillId="0" borderId="0" applyFont="0" applyFill="0" applyBorder="0" applyAlignment="0" applyProtection="0"/>
    <xf numFmtId="0" fontId="4" fillId="0" borderId="0"/>
    <xf numFmtId="43" fontId="21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7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11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87" fillId="0" borderId="100"/>
    <xf numFmtId="0" fontId="88" fillId="0" borderId="101"/>
    <xf numFmtId="43" fontId="21" fillId="0" borderId="0" applyFont="0" applyFill="0" applyBorder="0" applyAlignment="0" applyProtection="0"/>
  </cellStyleXfs>
  <cellXfs count="715">
    <xf numFmtId="0" fontId="0" fillId="0" borderId="0" xfId="0"/>
    <xf numFmtId="0" fontId="44" fillId="0" borderId="0" xfId="1448" applyFont="1" applyAlignment="1">
      <alignment horizontal="center" wrapText="1"/>
    </xf>
    <xf numFmtId="0" fontId="43" fillId="0" borderId="0" xfId="1448" applyFont="1" applyAlignment="1">
      <alignment horizontal="left" vertical="center" wrapText="1"/>
    </xf>
    <xf numFmtId="0" fontId="53" fillId="0" borderId="0" xfId="1448" applyFont="1" applyAlignment="1">
      <alignment horizontal="center" wrapText="1"/>
    </xf>
    <xf numFmtId="3" fontId="44" fillId="0" borderId="0" xfId="1448" applyNumberFormat="1" applyFont="1" applyAlignment="1">
      <alignment horizontal="center" vertical="center" wrapText="1"/>
    </xf>
    <xf numFmtId="0" fontId="53" fillId="0" borderId="0" xfId="1448" applyFont="1" applyAlignment="1">
      <alignment wrapText="1"/>
    </xf>
    <xf numFmtId="0" fontId="54" fillId="0" borderId="0" xfId="1448" applyFont="1" applyAlignment="1">
      <alignment wrapText="1"/>
    </xf>
    <xf numFmtId="0" fontId="43" fillId="0" borderId="0" xfId="1448" applyFont="1" applyAlignment="1">
      <alignment horizontal="center" wrapText="1"/>
    </xf>
    <xf numFmtId="0" fontId="43" fillId="0" borderId="0" xfId="1448" applyFont="1" applyAlignment="1">
      <alignment horizontal="center" vertical="center" wrapText="1"/>
    </xf>
    <xf numFmtId="3" fontId="43" fillId="0" borderId="0" xfId="1448" applyNumberFormat="1" applyFont="1" applyAlignment="1">
      <alignment horizontal="center" vertical="center" wrapText="1"/>
    </xf>
    <xf numFmtId="0" fontId="43" fillId="0" borderId="18" xfId="1448" applyFont="1" applyBorder="1" applyAlignment="1">
      <alignment horizontal="center" vertical="center" wrapText="1"/>
    </xf>
    <xf numFmtId="0" fontId="44" fillId="0" borderId="0" xfId="1448" applyFont="1" applyAlignment="1">
      <alignment horizontal="center" vertical="center" wrapText="1"/>
    </xf>
    <xf numFmtId="0" fontId="53" fillId="0" borderId="0" xfId="1448" applyFont="1" applyAlignment="1">
      <alignment horizontal="center" vertical="center" wrapText="1"/>
    </xf>
    <xf numFmtId="0" fontId="56" fillId="0" borderId="18" xfId="1448" applyFont="1" applyBorder="1" applyAlignment="1">
      <alignment horizontal="center" wrapText="1"/>
    </xf>
    <xf numFmtId="0" fontId="57" fillId="0" borderId="0" xfId="1448" applyFont="1" applyAlignment="1">
      <alignment wrapText="1"/>
    </xf>
    <xf numFmtId="0" fontId="44" fillId="0" borderId="18" xfId="1448" applyFont="1" applyBorder="1" applyAlignment="1">
      <alignment horizontal="center" vertical="center" wrapText="1"/>
    </xf>
    <xf numFmtId="165" fontId="44" fillId="0" borderId="0" xfId="527" applyNumberFormat="1" applyFont="1" applyFill="1" applyBorder="1" applyAlignment="1">
      <alignment horizontal="center" wrapText="1"/>
    </xf>
    <xf numFmtId="0" fontId="44" fillId="0" borderId="18" xfId="1448" quotePrefix="1" applyFont="1" applyBorder="1" applyAlignment="1">
      <alignment horizontal="center" vertical="center" wrapText="1"/>
    </xf>
    <xf numFmtId="18" fontId="44" fillId="0" borderId="18" xfId="1448" quotePrefix="1" applyNumberFormat="1" applyFont="1" applyBorder="1" applyAlignment="1">
      <alignment horizontal="center" vertical="center" wrapText="1"/>
    </xf>
    <xf numFmtId="0" fontId="53" fillId="0" borderId="0" xfId="1448" applyFont="1" applyAlignment="1">
      <alignment vertical="top" wrapText="1"/>
    </xf>
    <xf numFmtId="165" fontId="44" fillId="0" borderId="18" xfId="1448" applyNumberFormat="1" applyFont="1" applyBorder="1" applyAlignment="1">
      <alignment horizontal="center" vertical="center" wrapText="1"/>
    </xf>
    <xf numFmtId="17" fontId="44" fillId="0" borderId="18" xfId="1448" quotePrefix="1" applyNumberFormat="1" applyFont="1" applyBorder="1" applyAlignment="1">
      <alignment horizontal="center" vertical="center" wrapText="1"/>
    </xf>
    <xf numFmtId="165" fontId="44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8" fillId="0" borderId="0" xfId="1614" applyFont="1" applyAlignment="1">
      <alignment horizontal="center" vertical="center"/>
    </xf>
    <xf numFmtId="0" fontId="43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/>
    </xf>
    <xf numFmtId="167" fontId="52" fillId="0" borderId="0" xfId="1652" applyNumberFormat="1" applyFont="1"/>
    <xf numFmtId="0" fontId="111" fillId="0" borderId="19" xfId="1614" applyBorder="1" applyAlignment="1">
      <alignment horizontal="center"/>
    </xf>
    <xf numFmtId="0" fontId="52" fillId="0" borderId="0" xfId="1614" applyFont="1" applyAlignment="1">
      <alignment horizontal="center"/>
    </xf>
    <xf numFmtId="0" fontId="52" fillId="0" borderId="0" xfId="1614" applyFont="1" applyAlignment="1">
      <alignment horizontal="center" vertical="center" wrapText="1"/>
    </xf>
    <xf numFmtId="3" fontId="44" fillId="0" borderId="0" xfId="1614" applyNumberFormat="1" applyFont="1" applyAlignment="1">
      <alignment vertical="center"/>
    </xf>
    <xf numFmtId="0" fontId="20" fillId="0" borderId="0" xfId="1614" applyFont="1" applyAlignment="1">
      <alignment horizontal="center"/>
    </xf>
    <xf numFmtId="0" fontId="44" fillId="0" borderId="20" xfId="1614" applyFont="1" applyBorder="1" applyAlignment="1">
      <alignment horizontal="center" vertical="center"/>
    </xf>
    <xf numFmtId="0" fontId="44" fillId="0" borderId="21" xfId="1614" applyFont="1" applyBorder="1" applyAlignment="1">
      <alignment horizontal="left" vertical="center" wrapText="1"/>
    </xf>
    <xf numFmtId="0" fontId="44" fillId="0" borderId="21" xfId="1614" applyFont="1" applyBorder="1" applyAlignment="1">
      <alignment horizontal="center" vertical="center" wrapText="1"/>
    </xf>
    <xf numFmtId="0" fontId="46" fillId="0" borderId="21" xfId="1614" applyFont="1" applyBorder="1" applyAlignment="1">
      <alignment horizontal="center" vertical="center"/>
    </xf>
    <xf numFmtId="3" fontId="46" fillId="0" borderId="21" xfId="1614" applyNumberFormat="1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4" fillId="0" borderId="22" xfId="1614" applyNumberFormat="1" applyFont="1" applyBorder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3" fontId="61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/>
    </xf>
    <xf numFmtId="0" fontId="49" fillId="0" borderId="23" xfId="1614" applyFont="1" applyBorder="1" applyAlignment="1">
      <alignment horizontal="center" vertical="center"/>
    </xf>
    <xf numFmtId="0" fontId="49" fillId="0" borderId="24" xfId="1614" applyFont="1" applyBorder="1" applyAlignment="1">
      <alignment horizontal="left" vertical="center"/>
    </xf>
    <xf numFmtId="0" fontId="49" fillId="0" borderId="24" xfId="1614" applyFont="1" applyBorder="1" applyAlignment="1">
      <alignment vertical="center"/>
    </xf>
    <xf numFmtId="0" fontId="20" fillId="0" borderId="24" xfId="1614" applyFont="1" applyBorder="1" applyAlignment="1">
      <alignment horizontal="center" vertical="center"/>
    </xf>
    <xf numFmtId="3" fontId="44" fillId="0" borderId="24" xfId="1614" applyNumberFormat="1" applyFont="1" applyBorder="1" applyAlignment="1">
      <alignment horizontal="center" vertical="center"/>
    </xf>
    <xf numFmtId="3" fontId="44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0" fillId="0" borderId="0" xfId="1614" applyNumberFormat="1" applyFont="1" applyAlignment="1">
      <alignment horizontal="center"/>
    </xf>
    <xf numFmtId="37" fontId="62" fillId="0" borderId="0" xfId="1614" applyNumberFormat="1" applyFont="1" applyAlignment="1">
      <alignment horizontal="center"/>
    </xf>
    <xf numFmtId="37" fontId="52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2" fillId="0" borderId="30" xfId="1614" applyNumberFormat="1" applyFont="1" applyBorder="1" applyAlignment="1">
      <alignment horizontal="center"/>
    </xf>
    <xf numFmtId="0" fontId="51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49" fillId="0" borderId="0" xfId="1614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0" fontId="49" fillId="0" borderId="0" xfId="1614" applyFont="1" applyAlignment="1">
      <alignment vertical="center"/>
    </xf>
    <xf numFmtId="0" fontId="20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8" fillId="0" borderId="0" xfId="1614" applyFont="1" applyAlignment="1">
      <alignment vertical="center"/>
    </xf>
    <xf numFmtId="0" fontId="48" fillId="0" borderId="0" xfId="1614" applyFont="1" applyAlignment="1">
      <alignment horizontal="center"/>
    </xf>
    <xf numFmtId="0" fontId="91" fillId="0" borderId="0" xfId="1614" applyFont="1" applyAlignment="1">
      <alignment horizontal="center" vertical="center" wrapText="1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37" fontId="52" fillId="0" borderId="27" xfId="1614" applyNumberFormat="1" applyFont="1" applyBorder="1" applyAlignment="1">
      <alignment horizontal="center"/>
    </xf>
    <xf numFmtId="37" fontId="62" fillId="0" borderId="32" xfId="1614" applyNumberFormat="1" applyFont="1" applyBorder="1" applyAlignment="1">
      <alignment horizontal="center"/>
    </xf>
    <xf numFmtId="0" fontId="20" fillId="0" borderId="21" xfId="1652" applyFont="1" applyBorder="1" applyAlignment="1">
      <alignment horizontal="center" vertical="center"/>
    </xf>
    <xf numFmtId="0" fontId="43" fillId="0" borderId="0" xfId="1448" applyFont="1" applyAlignment="1">
      <alignment horizontal="left" vertical="center"/>
    </xf>
    <xf numFmtId="0" fontId="53" fillId="0" borderId="0" xfId="1448" applyFont="1" applyAlignment="1">
      <alignment horizontal="left" wrapText="1"/>
    </xf>
    <xf numFmtId="3" fontId="60" fillId="0" borderId="0" xfId="1614" applyNumberFormat="1" applyFont="1" applyAlignment="1">
      <alignment horizontal="center"/>
    </xf>
    <xf numFmtId="0" fontId="52" fillId="0" borderId="0" xfId="1614" applyFont="1"/>
    <xf numFmtId="0" fontId="44" fillId="0" borderId="21" xfId="1448" applyFont="1" applyBorder="1" applyAlignment="1">
      <alignment horizontal="center" vertical="center"/>
    </xf>
    <xf numFmtId="0" fontId="44" fillId="0" borderId="21" xfId="1448" applyFont="1" applyBorder="1" applyAlignment="1">
      <alignment horizontal="left" wrapText="1"/>
    </xf>
    <xf numFmtId="0" fontId="53" fillId="0" borderId="21" xfId="1448" applyFont="1" applyBorder="1" applyAlignment="1">
      <alignment horizontal="center" wrapText="1"/>
    </xf>
    <xf numFmtId="0" fontId="44" fillId="0" borderId="21" xfId="1448" applyFont="1" applyBorder="1" applyAlignment="1">
      <alignment horizontal="center" vertical="center" wrapText="1"/>
    </xf>
    <xf numFmtId="3" fontId="44" fillId="0" borderId="21" xfId="1448" applyNumberFormat="1" applyFont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62" fillId="0" borderId="34" xfId="1614" applyFont="1" applyBorder="1" applyAlignment="1">
      <alignment vertical="center"/>
    </xf>
    <xf numFmtId="169" fontId="44" fillId="0" borderId="0" xfId="714" applyFont="1" applyFill="1" applyAlignment="1">
      <alignment horizontal="center" wrapText="1"/>
    </xf>
    <xf numFmtId="169" fontId="43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4" fillId="0" borderId="0" xfId="1448" applyFont="1" applyAlignment="1">
      <alignment vertical="center" wrapText="1"/>
    </xf>
    <xf numFmtId="169" fontId="44" fillId="0" borderId="21" xfId="715" applyNumberFormat="1" applyFont="1" applyFill="1" applyBorder="1" applyAlignment="1">
      <alignment horizontal="center" vertical="center" wrapText="1"/>
    </xf>
    <xf numFmtId="169" fontId="44" fillId="0" borderId="21" xfId="714" applyFont="1" applyFill="1" applyBorder="1" applyAlignment="1">
      <alignment horizontal="center" vertical="center" wrapText="1"/>
    </xf>
    <xf numFmtId="169" fontId="44" fillId="0" borderId="33" xfId="714" applyFont="1" applyFill="1" applyBorder="1" applyAlignment="1">
      <alignment horizontal="center" vertical="center" wrapText="1"/>
    </xf>
    <xf numFmtId="167" fontId="43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8" fillId="0" borderId="20" xfId="1652" applyFont="1" applyBorder="1" applyAlignment="1">
      <alignment horizontal="center" vertical="center"/>
    </xf>
    <xf numFmtId="0" fontId="18" fillId="0" borderId="21" xfId="1652" applyFont="1" applyBorder="1" applyAlignment="1">
      <alignment horizontal="center" vertical="center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3" fontId="43" fillId="0" borderId="0" xfId="1614" applyNumberFormat="1" applyFont="1" applyAlignment="1">
      <alignment horizontal="left" vertical="center"/>
    </xf>
    <xf numFmtId="3" fontId="43" fillId="0" borderId="3" xfId="1448" applyNumberFormat="1" applyFont="1" applyBorder="1" applyAlignment="1">
      <alignment horizontal="center" vertical="center" wrapText="1"/>
    </xf>
    <xf numFmtId="0" fontId="44" fillId="0" borderId="21" xfId="1451" applyFont="1" applyBorder="1" applyAlignment="1">
      <alignment horizontal="left" vertical="center" wrapText="1"/>
    </xf>
    <xf numFmtId="0" fontId="56" fillId="0" borderId="18" xfId="1448" quotePrefix="1" applyFont="1" applyBorder="1" applyAlignment="1">
      <alignment horizontal="center" vertical="center" wrapText="1"/>
    </xf>
    <xf numFmtId="0" fontId="48" fillId="0" borderId="0" xfId="1505" applyFont="1"/>
    <xf numFmtId="0" fontId="60" fillId="0" borderId="0" xfId="1615" applyFont="1" applyAlignment="1">
      <alignment horizontal="center"/>
    </xf>
    <xf numFmtId="0" fontId="48" fillId="0" borderId="0" xfId="1615" applyFont="1" applyAlignment="1">
      <alignment horizontal="center" vertical="center"/>
    </xf>
    <xf numFmtId="0" fontId="43" fillId="0" borderId="0" xfId="1615" applyFont="1" applyAlignment="1">
      <alignment horizontal="left" vertical="center"/>
    </xf>
    <xf numFmtId="0" fontId="43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5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167" fontId="43" fillId="0" borderId="0" xfId="1615" applyNumberFormat="1" applyFont="1" applyAlignment="1">
      <alignment horizontal="left" vertical="center"/>
    </xf>
    <xf numFmtId="167" fontId="52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4" fillId="0" borderId="35" xfId="1615" applyFont="1" applyBorder="1" applyAlignment="1">
      <alignment horizontal="center" vertical="center"/>
    </xf>
    <xf numFmtId="0" fontId="44" fillId="0" borderId="35" xfId="1615" applyFont="1" applyBorder="1" applyAlignment="1">
      <alignment horizontal="left" vertical="center" wrapText="1"/>
    </xf>
    <xf numFmtId="0" fontId="44" fillId="0" borderId="35" xfId="1615" applyFont="1" applyBorder="1" applyAlignment="1">
      <alignment horizontal="center" vertical="center" wrapText="1"/>
    </xf>
    <xf numFmtId="0" fontId="46" fillId="0" borderId="35" xfId="1615" applyFont="1" applyBorder="1" applyAlignment="1">
      <alignment horizontal="center" vertical="center"/>
    </xf>
    <xf numFmtId="0" fontId="13" fillId="0" borderId="35" xfId="1653" applyFont="1" applyBorder="1" applyAlignment="1">
      <alignment horizontal="center" vertical="center"/>
    </xf>
    <xf numFmtId="3" fontId="46" fillId="0" borderId="35" xfId="1615" applyNumberFormat="1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0" fontId="13" fillId="0" borderId="0" xfId="1615" applyFont="1" applyAlignment="1">
      <alignment horizontal="center"/>
    </xf>
    <xf numFmtId="0" fontId="52" fillId="0" borderId="21" xfId="1653" applyFont="1" applyBorder="1" applyAlignment="1">
      <alignment horizontal="center" vertical="center"/>
    </xf>
    <xf numFmtId="0" fontId="52" fillId="0" borderId="21" xfId="1653" applyFont="1" applyBorder="1" applyAlignment="1">
      <alignment vertical="center" wrapText="1"/>
    </xf>
    <xf numFmtId="0" fontId="44" fillId="0" borderId="21" xfId="1615" applyFont="1" applyBorder="1" applyAlignment="1">
      <alignment horizontal="center" vertical="center" wrapText="1"/>
    </xf>
    <xf numFmtId="0" fontId="46" fillId="0" borderId="21" xfId="1615" applyFont="1" applyBorder="1" applyAlignment="1">
      <alignment horizontal="center" vertical="center"/>
    </xf>
    <xf numFmtId="0" fontId="13" fillId="0" borderId="21" xfId="1653" applyFont="1" applyBorder="1" applyAlignment="1">
      <alignment horizontal="center" vertical="center"/>
    </xf>
    <xf numFmtId="3" fontId="46" fillId="0" borderId="21" xfId="1615" applyNumberFormat="1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0" fontId="61" fillId="0" borderId="0" xfId="1615" applyFont="1" applyAlignment="1">
      <alignment horizontal="center"/>
    </xf>
    <xf numFmtId="3" fontId="13" fillId="0" borderId="21" xfId="1653" applyNumberFormat="1" applyFont="1" applyBorder="1" applyAlignment="1">
      <alignment horizontal="center" vertical="center"/>
    </xf>
    <xf numFmtId="0" fontId="48" fillId="0" borderId="0" xfId="1615" applyFont="1" applyAlignment="1">
      <alignment vertical="center"/>
    </xf>
    <xf numFmtId="0" fontId="48" fillId="0" borderId="33" xfId="1615" applyFont="1" applyBorder="1" applyAlignment="1">
      <alignment horizontal="center" vertical="center"/>
    </xf>
    <xf numFmtId="0" fontId="48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5" fillId="0" borderId="33" xfId="1615" applyNumberFormat="1" applyFont="1" applyBorder="1" applyAlignment="1">
      <alignment horizontal="center" vertical="center"/>
    </xf>
    <xf numFmtId="0" fontId="52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0" fillId="0" borderId="0" xfId="1614" applyFont="1" applyAlignment="1">
      <alignment vertical="center"/>
    </xf>
    <xf numFmtId="0" fontId="60" fillId="0" borderId="0" xfId="1614" applyFont="1" applyAlignment="1">
      <alignment horizontal="center" vertical="center"/>
    </xf>
    <xf numFmtId="0" fontId="60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19" fillId="0" borderId="0" xfId="1614" applyFont="1" applyAlignment="1">
      <alignment horizontal="center"/>
    </xf>
    <xf numFmtId="0" fontId="91" fillId="0" borderId="0" xfId="1614" applyFont="1" applyAlignment="1">
      <alignment horizontal="center" vertical="center"/>
    </xf>
    <xf numFmtId="0" fontId="91" fillId="0" borderId="0" xfId="1614" applyFont="1" applyAlignment="1">
      <alignment vertical="center"/>
    </xf>
    <xf numFmtId="207" fontId="44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165" fontId="95" fillId="0" borderId="0" xfId="1448" applyNumberFormat="1" applyFont="1" applyAlignment="1">
      <alignment wrapText="1"/>
    </xf>
    <xf numFmtId="165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9" fontId="44" fillId="0" borderId="21" xfId="717" applyNumberFormat="1" applyFont="1" applyFill="1" applyBorder="1" applyAlignment="1" applyProtection="1">
      <alignment horizontal="center" vertical="center" wrapText="1"/>
    </xf>
    <xf numFmtId="165" fontId="44" fillId="0" borderId="21" xfId="1451" applyNumberFormat="1" applyFont="1" applyBorder="1" applyAlignment="1">
      <alignment horizontal="center" vertical="center" wrapText="1"/>
    </xf>
    <xf numFmtId="169" fontId="56" fillId="0" borderId="21" xfId="717" applyNumberFormat="1" applyFont="1" applyFill="1" applyBorder="1" applyAlignment="1" applyProtection="1">
      <alignment horizontal="center" vertical="center" wrapText="1"/>
    </xf>
    <xf numFmtId="0" fontId="44" fillId="0" borderId="21" xfId="1451" applyFont="1" applyBorder="1" applyAlignment="1">
      <alignment horizontal="center" vertical="center" wrapText="1"/>
    </xf>
    <xf numFmtId="169" fontId="44" fillId="0" borderId="21" xfId="728" applyFont="1" applyFill="1" applyBorder="1" applyAlignment="1" applyProtection="1">
      <alignment horizontal="center" vertical="center" wrapText="1"/>
    </xf>
    <xf numFmtId="3" fontId="44" fillId="0" borderId="21" xfId="1450" applyNumberFormat="1" applyFont="1" applyBorder="1" applyAlignment="1">
      <alignment horizontal="center" vertical="center" wrapText="1"/>
    </xf>
    <xf numFmtId="169" fontId="44" fillId="0" borderId="21" xfId="728" applyFont="1" applyFill="1" applyBorder="1" applyAlignment="1">
      <alignment horizontal="center" vertical="center" wrapText="1"/>
    </xf>
    <xf numFmtId="0" fontId="121" fillId="0" borderId="26" xfId="1451" applyFont="1" applyBorder="1"/>
    <xf numFmtId="0" fontId="121" fillId="0" borderId="36" xfId="1451" applyFont="1" applyBorder="1"/>
    <xf numFmtId="0" fontId="121" fillId="0" borderId="48" xfId="1451" applyFont="1" applyBorder="1"/>
    <xf numFmtId="0" fontId="121" fillId="0" borderId="28" xfId="1451" applyFont="1" applyBorder="1"/>
    <xf numFmtId="0" fontId="121" fillId="0" borderId="37" xfId="1451" applyFont="1" applyBorder="1"/>
    <xf numFmtId="0" fontId="116" fillId="0" borderId="37" xfId="1451" applyFont="1" applyBorder="1" applyAlignment="1">
      <alignment vertical="center"/>
    </xf>
    <xf numFmtId="0" fontId="121" fillId="0" borderId="34" xfId="1451" applyFont="1" applyBorder="1"/>
    <xf numFmtId="0" fontId="121" fillId="0" borderId="19" xfId="1451" applyFont="1" applyBorder="1"/>
    <xf numFmtId="0" fontId="116" fillId="0" borderId="19" xfId="1451" applyFont="1" applyBorder="1" applyAlignment="1">
      <alignment vertical="center"/>
    </xf>
    <xf numFmtId="0" fontId="116" fillId="0" borderId="19" xfId="1451" applyFont="1" applyBorder="1" applyAlignment="1">
      <alignment horizontal="center" vertical="center"/>
    </xf>
    <xf numFmtId="0" fontId="116" fillId="0" borderId="31" xfId="1451" applyFont="1" applyBorder="1" applyAlignment="1">
      <alignment vertical="center"/>
    </xf>
    <xf numFmtId="0" fontId="43" fillId="0" borderId="3" xfId="1448" applyFont="1" applyBorder="1" applyAlignment="1">
      <alignment horizontal="center" vertical="center"/>
    </xf>
    <xf numFmtId="0" fontId="43" fillId="0" borderId="3" xfId="1448" applyFont="1" applyBorder="1" applyAlignment="1">
      <alignment horizontal="left" vertical="center" wrapText="1"/>
    </xf>
    <xf numFmtId="0" fontId="43" fillId="0" borderId="3" xfId="1448" applyFont="1" applyBorder="1" applyAlignment="1">
      <alignment horizontal="center" vertical="center" wrapText="1"/>
    </xf>
    <xf numFmtId="169" fontId="43" fillId="0" borderId="3" xfId="715" applyNumberFormat="1" applyFont="1" applyFill="1" applyBorder="1" applyAlignment="1">
      <alignment horizontal="center" vertical="center" wrapText="1"/>
    </xf>
    <xf numFmtId="3" fontId="130" fillId="32" borderId="3" xfId="1448" applyNumberFormat="1" applyFont="1" applyFill="1" applyBorder="1" applyAlignment="1">
      <alignment horizontal="center" vertical="center" wrapText="1"/>
    </xf>
    <xf numFmtId="0" fontId="44" fillId="0" borderId="21" xfId="1451" applyFont="1" applyBorder="1" applyAlignment="1">
      <alignment horizontal="center" vertical="center"/>
    </xf>
    <xf numFmtId="0" fontId="136" fillId="0" borderId="21" xfId="1451" applyFont="1" applyBorder="1" applyAlignment="1">
      <alignment horizontal="left" vertical="center" wrapText="1"/>
    </xf>
    <xf numFmtId="0" fontId="44" fillId="33" borderId="21" xfId="1451" applyFont="1" applyFill="1" applyBorder="1" applyAlignment="1">
      <alignment horizontal="left" vertical="center" wrapText="1"/>
    </xf>
    <xf numFmtId="0" fontId="44" fillId="0" borderId="21" xfId="1451" applyFont="1" applyBorder="1" applyAlignment="1">
      <alignment horizontal="left" wrapText="1"/>
    </xf>
    <xf numFmtId="0" fontId="44" fillId="0" borderId="21" xfId="1450" applyFont="1" applyBorder="1" applyAlignment="1">
      <alignment horizontal="center" vertical="center"/>
    </xf>
    <xf numFmtId="0" fontId="44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167" fontId="129" fillId="0" borderId="0" xfId="523" applyFont="1" applyFill="1" applyAlignment="1">
      <alignment horizontal="left" wrapText="1"/>
    </xf>
    <xf numFmtId="0" fontId="8" fillId="0" borderId="0" xfId="2673" applyAlignment="1">
      <alignment vertical="center" wrapText="1"/>
    </xf>
    <xf numFmtId="0" fontId="8" fillId="0" borderId="0" xfId="2673" applyAlignment="1">
      <alignment horizontal="center" vertical="center" wrapText="1"/>
    </xf>
    <xf numFmtId="0" fontId="8" fillId="0" borderId="28" xfId="2673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4" fillId="0" borderId="28" xfId="2673" applyFont="1" applyBorder="1" applyAlignment="1">
      <alignment vertical="center" wrapText="1"/>
    </xf>
    <xf numFmtId="0" fontId="10" fillId="0" borderId="21" xfId="1615" applyFont="1" applyBorder="1" applyAlignment="1">
      <alignment horizontal="center" vertical="center"/>
    </xf>
    <xf numFmtId="0" fontId="121" fillId="33" borderId="0" xfId="1451" applyFont="1" applyFill="1"/>
    <xf numFmtId="0" fontId="121" fillId="33" borderId="26" xfId="1451" applyFont="1" applyFill="1" applyBorder="1"/>
    <xf numFmtId="0" fontId="121" fillId="33" borderId="36" xfId="1451" applyFont="1" applyFill="1" applyBorder="1"/>
    <xf numFmtId="0" fontId="121" fillId="33" borderId="48" xfId="1451" applyFont="1" applyFill="1" applyBorder="1"/>
    <xf numFmtId="0" fontId="121" fillId="33" borderId="28" xfId="1451" applyFont="1" applyFill="1" applyBorder="1"/>
    <xf numFmtId="0" fontId="121" fillId="33" borderId="37" xfId="1451" applyFont="1" applyFill="1" applyBorder="1"/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horizontal="center" vertical="center"/>
    </xf>
    <xf numFmtId="0" fontId="125" fillId="33" borderId="0" xfId="1451" applyFont="1" applyFill="1"/>
    <xf numFmtId="0" fontId="126" fillId="33" borderId="0" xfId="1451" applyFont="1" applyFill="1"/>
    <xf numFmtId="0" fontId="116" fillId="33" borderId="0" xfId="1451" applyFont="1" applyFill="1" applyAlignment="1">
      <alignment vertical="center"/>
    </xf>
    <xf numFmtId="0" fontId="116" fillId="33" borderId="37" xfId="1451" applyFont="1" applyFill="1" applyBorder="1" applyAlignment="1">
      <alignment vertical="center"/>
    </xf>
    <xf numFmtId="0" fontId="126" fillId="33" borderId="0" xfId="1451" applyFont="1" applyFill="1" applyAlignment="1">
      <alignment horizontal="center"/>
    </xf>
    <xf numFmtId="0" fontId="116" fillId="33" borderId="0" xfId="1451" applyFont="1" applyFill="1" applyAlignment="1">
      <alignment horizontal="center" vertical="center"/>
    </xf>
    <xf numFmtId="0" fontId="116" fillId="33" borderId="37" xfId="1451" applyFont="1" applyFill="1" applyBorder="1" applyAlignment="1">
      <alignment horizontal="center" vertical="center"/>
    </xf>
    <xf numFmtId="0" fontId="127" fillId="33" borderId="0" xfId="1451" applyFont="1" applyFill="1" applyAlignment="1">
      <alignment vertical="center"/>
    </xf>
    <xf numFmtId="0" fontId="127" fillId="33" borderId="37" xfId="1451" applyFont="1" applyFill="1" applyBorder="1" applyAlignment="1">
      <alignment vertical="center"/>
    </xf>
    <xf numFmtId="0" fontId="121" fillId="33" borderId="34" xfId="1451" applyFont="1" applyFill="1" applyBorder="1"/>
    <xf numFmtId="0" fontId="121" fillId="33" borderId="19" xfId="1451" applyFont="1" applyFill="1" applyBorder="1"/>
    <xf numFmtId="0" fontId="116" fillId="33" borderId="19" xfId="1451" applyFont="1" applyFill="1" applyBorder="1" applyAlignment="1">
      <alignment vertical="center"/>
    </xf>
    <xf numFmtId="0" fontId="116" fillId="33" borderId="19" xfId="1451" applyFont="1" applyFill="1" applyBorder="1" applyAlignment="1">
      <alignment horizontal="center" vertical="center"/>
    </xf>
    <xf numFmtId="0" fontId="116" fillId="33" borderId="31" xfId="1451" applyFont="1" applyFill="1" applyBorder="1" applyAlignment="1">
      <alignment vertical="center"/>
    </xf>
    <xf numFmtId="0" fontId="121" fillId="33" borderId="31" xfId="1451" applyFont="1" applyFill="1" applyBorder="1"/>
    <xf numFmtId="0" fontId="115" fillId="33" borderId="0" xfId="0" applyFont="1" applyFill="1" applyAlignment="1">
      <alignment horizontal="center"/>
    </xf>
    <xf numFmtId="0" fontId="115" fillId="33" borderId="26" xfId="0" applyFont="1" applyFill="1" applyBorder="1" applyAlignment="1">
      <alignment horizontal="center"/>
    </xf>
    <xf numFmtId="0" fontId="115" fillId="33" borderId="36" xfId="0" applyFont="1" applyFill="1" applyBorder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5" fillId="33" borderId="37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37" fillId="33" borderId="0" xfId="0" applyFont="1" applyFill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5" fillId="33" borderId="38" xfId="0" applyFont="1" applyFill="1" applyBorder="1" applyAlignment="1">
      <alignment horizontal="center"/>
    </xf>
    <xf numFmtId="0" fontId="92" fillId="33" borderId="40" xfId="0" applyFont="1" applyFill="1" applyBorder="1" applyAlignment="1">
      <alignment horizontal="center" vertical="center"/>
    </xf>
    <xf numFmtId="0" fontId="92" fillId="33" borderId="47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 vertical="center"/>
    </xf>
    <xf numFmtId="0" fontId="115" fillId="33" borderId="39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/>
    </xf>
    <xf numFmtId="0" fontId="92" fillId="33" borderId="68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vertical="top" wrapText="1"/>
    </xf>
    <xf numFmtId="0" fontId="115" fillId="33" borderId="39" xfId="0" applyFont="1" applyFill="1" applyBorder="1" applyAlignment="1">
      <alignment vertical="top" wrapText="1"/>
    </xf>
    <xf numFmtId="0" fontId="119" fillId="33" borderId="69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20" fillId="33" borderId="71" xfId="0" applyFont="1" applyFill="1" applyBorder="1" applyAlignment="1">
      <alignment horizontal="center" vertical="top" wrapText="1"/>
    </xf>
    <xf numFmtId="0" fontId="120" fillId="33" borderId="72" xfId="0" applyFont="1" applyFill="1" applyBorder="1" applyAlignment="1">
      <alignment horizontal="center" vertical="top" wrapText="1"/>
    </xf>
    <xf numFmtId="0" fontId="115" fillId="33" borderId="0" xfId="0" applyFont="1" applyFill="1" applyAlignment="1">
      <alignment vertical="top" wrapText="1"/>
    </xf>
    <xf numFmtId="0" fontId="115" fillId="33" borderId="37" xfId="0" applyFont="1" applyFill="1" applyBorder="1" applyAlignment="1">
      <alignment vertical="top" wrapText="1"/>
    </xf>
    <xf numFmtId="0" fontId="115" fillId="33" borderId="42" xfId="0" applyFont="1" applyFill="1" applyBorder="1" applyAlignment="1">
      <alignment horizontal="center"/>
    </xf>
    <xf numFmtId="0" fontId="115" fillId="33" borderId="43" xfId="0" applyFont="1" applyFill="1" applyBorder="1" applyAlignment="1">
      <alignment vertical="top" wrapText="1"/>
    </xf>
    <xf numFmtId="0" fontId="115" fillId="33" borderId="44" xfId="0" applyFont="1" applyFill="1" applyBorder="1" applyAlignment="1">
      <alignment vertical="top" wrapText="1"/>
    </xf>
    <xf numFmtId="0" fontId="115" fillId="33" borderId="45" xfId="0" applyFont="1" applyFill="1" applyBorder="1" applyAlignment="1">
      <alignment vertical="top" wrapText="1"/>
    </xf>
    <xf numFmtId="0" fontId="120" fillId="33" borderId="28" xfId="0" applyFont="1" applyFill="1" applyBorder="1" applyAlignment="1">
      <alignment horizontal="center"/>
    </xf>
    <xf numFmtId="0" fontId="120" fillId="33" borderId="0" xfId="0" applyFont="1" applyFill="1" applyAlignment="1">
      <alignment horizontal="center"/>
    </xf>
    <xf numFmtId="0" fontId="115" fillId="33" borderId="39" xfId="0" applyFont="1" applyFill="1" applyBorder="1" applyAlignment="1">
      <alignment horizontal="center"/>
    </xf>
    <xf numFmtId="20" fontId="115" fillId="33" borderId="39" xfId="0" applyNumberFormat="1" applyFont="1" applyFill="1" applyBorder="1" applyAlignment="1">
      <alignment horizontal="center"/>
    </xf>
    <xf numFmtId="0" fontId="115" fillId="33" borderId="42" xfId="0" applyFont="1" applyFill="1" applyBorder="1" applyAlignment="1">
      <alignment horizontal="center" vertical="center" wrapText="1"/>
    </xf>
    <xf numFmtId="0" fontId="120" fillId="33" borderId="34" xfId="0" applyFont="1" applyFill="1" applyBorder="1" applyAlignment="1">
      <alignment horizontal="center"/>
    </xf>
    <xf numFmtId="0" fontId="120" fillId="33" borderId="19" xfId="0" applyFont="1" applyFill="1" applyBorder="1" applyAlignment="1">
      <alignment horizontal="center"/>
    </xf>
    <xf numFmtId="0" fontId="115" fillId="33" borderId="19" xfId="0" applyFont="1" applyFill="1" applyBorder="1" applyAlignment="1">
      <alignment horizontal="center"/>
    </xf>
    <xf numFmtId="0" fontId="115" fillId="33" borderId="46" xfId="0" applyFont="1" applyFill="1" applyBorder="1" applyAlignment="1">
      <alignment horizontal="center"/>
    </xf>
    <xf numFmtId="0" fontId="147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3" fillId="0" borderId="21" xfId="1450" applyFont="1" applyBorder="1" applyAlignment="1">
      <alignment horizontal="center" wrapText="1"/>
    </xf>
    <xf numFmtId="0" fontId="44" fillId="0" borderId="21" xfId="1450" applyFont="1" applyBorder="1" applyAlignment="1">
      <alignment horizontal="center" vertical="center" wrapText="1"/>
    </xf>
    <xf numFmtId="3" fontId="44" fillId="0" borderId="21" xfId="1451" applyNumberFormat="1" applyFont="1" applyBorder="1" applyAlignment="1">
      <alignment horizontal="center" vertical="center" wrapText="1"/>
    </xf>
    <xf numFmtId="165" fontId="44" fillId="0" borderId="21" xfId="1450" applyNumberFormat="1" applyFont="1" applyBorder="1" applyAlignment="1">
      <alignment horizontal="center" vertical="center" wrapText="1"/>
    </xf>
    <xf numFmtId="3" fontId="44" fillId="0" borderId="0" xfId="1451" applyNumberFormat="1" applyFont="1" applyAlignment="1">
      <alignment horizontal="center" vertical="center" wrapText="1"/>
    </xf>
    <xf numFmtId="0" fontId="21" fillId="0" borderId="0" xfId="1649"/>
    <xf numFmtId="3" fontId="136" fillId="0" borderId="21" xfId="1451" applyNumberFormat="1" applyFont="1" applyBorder="1" applyAlignment="1">
      <alignment horizontal="center" vertical="center" wrapText="1"/>
    </xf>
    <xf numFmtId="3" fontId="10" fillId="0" borderId="21" xfId="1615" applyNumberFormat="1" applyFont="1" applyBorder="1" applyAlignment="1">
      <alignment horizontal="center" vertical="center"/>
    </xf>
    <xf numFmtId="0" fontId="9" fillId="0" borderId="0" xfId="2670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right" vertical="center"/>
    </xf>
    <xf numFmtId="9" fontId="146" fillId="36" borderId="0" xfId="2671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0" fontId="146" fillId="36" borderId="0" xfId="2671" applyNumberFormat="1" applyFont="1" applyFill="1" applyBorder="1" applyAlignment="1" applyProtection="1">
      <alignment horizontal="right" vertical="center"/>
    </xf>
    <xf numFmtId="169" fontId="145" fillId="36" borderId="0" xfId="2672" applyNumberFormat="1" applyFont="1" applyFill="1" applyBorder="1" applyAlignment="1" applyProtection="1">
      <alignment horizontal="right" vertical="center"/>
    </xf>
    <xf numFmtId="0" fontId="139" fillId="0" borderId="0" xfId="2670" applyFont="1" applyAlignment="1">
      <alignment horizontal="left" vertical="center"/>
    </xf>
    <xf numFmtId="0" fontId="142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2" fillId="0" borderId="0" xfId="1538"/>
    <xf numFmtId="167" fontId="112" fillId="0" borderId="0" xfId="1538" applyNumberFormat="1"/>
    <xf numFmtId="0" fontId="61" fillId="0" borderId="0" xfId="1538" applyFont="1"/>
    <xf numFmtId="0" fontId="128" fillId="0" borderId="0" xfId="1538" applyFont="1"/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1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167" fontId="0" fillId="0" borderId="3" xfId="1026" applyFont="1" applyFill="1" applyBorder="1" applyProtection="1"/>
    <xf numFmtId="167" fontId="112" fillId="0" borderId="3" xfId="1538" applyNumberFormat="1" applyBorder="1"/>
    <xf numFmtId="167" fontId="140" fillId="0" borderId="3" xfId="1026" applyFont="1" applyBorder="1" applyProtection="1"/>
    <xf numFmtId="167" fontId="0" fillId="0" borderId="3" xfId="1026" applyFont="1" applyBorder="1" applyProtection="1"/>
    <xf numFmtId="167" fontId="128" fillId="0" borderId="3" xfId="1538" applyNumberFormat="1" applyFont="1" applyBorder="1"/>
    <xf numFmtId="0" fontId="61" fillId="0" borderId="3" xfId="1538" applyFont="1" applyBorder="1"/>
    <xf numFmtId="165" fontId="112" fillId="0" borderId="3" xfId="1538" applyNumberFormat="1" applyBorder="1"/>
    <xf numFmtId="167" fontId="104" fillId="0" borderId="3" xfId="1026" applyFont="1" applyFill="1" applyBorder="1" applyProtection="1"/>
    <xf numFmtId="0" fontId="49" fillId="0" borderId="0" xfId="1538" applyFont="1"/>
    <xf numFmtId="0" fontId="49" fillId="0" borderId="3" xfId="1538" applyFont="1" applyBorder="1" applyAlignment="1">
      <alignment horizontal="center"/>
    </xf>
    <xf numFmtId="167" fontId="49" fillId="0" borderId="3" xfId="1538" applyNumberFormat="1" applyFont="1" applyBorder="1"/>
    <xf numFmtId="0" fontId="112" fillId="29" borderId="0" xfId="1538" applyFill="1"/>
    <xf numFmtId="0" fontId="49" fillId="0" borderId="0" xfId="1538" applyFont="1" applyAlignment="1">
      <alignment horizontal="center"/>
    </xf>
    <xf numFmtId="167" fontId="49" fillId="0" borderId="0" xfId="1538" applyNumberFormat="1" applyFont="1"/>
    <xf numFmtId="0" fontId="112" fillId="29" borderId="3" xfId="1538" applyFill="1" applyBorder="1"/>
    <xf numFmtId="169" fontId="112" fillId="29" borderId="3" xfId="1538" applyNumberFormat="1" applyFill="1" applyBorder="1" applyAlignment="1">
      <alignment horizontal="right"/>
    </xf>
    <xf numFmtId="43" fontId="112" fillId="0" borderId="0" xfId="1538" applyNumberFormat="1"/>
    <xf numFmtId="167" fontId="112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49" fillId="0" borderId="0" xfId="1614" applyFont="1" applyAlignment="1">
      <alignment horizontal="center"/>
    </xf>
    <xf numFmtId="0" fontId="150" fillId="0" borderId="0" xfId="1614" applyFont="1" applyAlignment="1">
      <alignment horizontal="center" vertical="center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3" fontId="149" fillId="0" borderId="0" xfId="1614" applyNumberFormat="1" applyFont="1" applyAlignment="1">
      <alignment horizontal="center"/>
    </xf>
    <xf numFmtId="0" fontId="154" fillId="0" borderId="0" xfId="1614" applyFont="1"/>
    <xf numFmtId="167" fontId="154" fillId="0" borderId="0" xfId="1652" applyNumberFormat="1" applyFont="1"/>
    <xf numFmtId="0" fontId="154" fillId="0" borderId="0" xfId="1614" applyFont="1" applyAlignment="1">
      <alignment horizontal="left" vertical="center"/>
    </xf>
    <xf numFmtId="0" fontId="154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left" vertical="center"/>
    </xf>
    <xf numFmtId="0" fontId="154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0" fontId="154" fillId="0" borderId="0" xfId="1614" applyFont="1" applyAlignment="1">
      <alignment horizontal="center" vertical="center" wrapText="1"/>
    </xf>
    <xf numFmtId="0" fontId="151" fillId="0" borderId="0" xfId="1614" applyFont="1" applyAlignment="1">
      <alignment horizontal="center" vertical="center" wrapText="1"/>
    </xf>
    <xf numFmtId="3" fontId="150" fillId="0" borderId="0" xfId="1614" applyNumberFormat="1" applyFont="1" applyAlignment="1">
      <alignment vertical="center"/>
    </xf>
    <xf numFmtId="0" fontId="151" fillId="0" borderId="20" xfId="1615" applyFont="1" applyBorder="1" applyAlignment="1">
      <alignment horizontal="center" vertical="center"/>
    </xf>
    <xf numFmtId="0" fontId="151" fillId="0" borderId="21" xfId="1615" applyFont="1" applyBorder="1" applyAlignment="1">
      <alignment horizontal="left" vertical="center" wrapText="1"/>
    </xf>
    <xf numFmtId="0" fontId="150" fillId="0" borderId="21" xfId="1614" applyFont="1" applyBorder="1" applyAlignment="1">
      <alignment horizontal="center" vertical="center" wrapText="1"/>
    </xf>
    <xf numFmtId="0" fontId="157" fillId="0" borderId="21" xfId="1614" applyFont="1" applyBorder="1" applyAlignment="1">
      <alignment horizontal="center" vertical="center"/>
    </xf>
    <xf numFmtId="3" fontId="157" fillId="0" borderId="21" xfId="1614" applyNumberFormat="1" applyFont="1" applyBorder="1" applyAlignment="1">
      <alignment horizontal="center" vertical="center"/>
    </xf>
    <xf numFmtId="3" fontId="150" fillId="0" borderId="21" xfId="1614" applyNumberFormat="1" applyFont="1" applyBorder="1" applyAlignment="1">
      <alignment horizontal="center" vertical="center"/>
    </xf>
    <xf numFmtId="3" fontId="150" fillId="0" borderId="22" xfId="1614" applyNumberFormat="1" applyFont="1" applyBorder="1" applyAlignment="1">
      <alignment horizontal="center" vertical="center"/>
    </xf>
    <xf numFmtId="3" fontId="150" fillId="0" borderId="0" xfId="1614" applyNumberFormat="1" applyFont="1" applyAlignment="1">
      <alignment horizontal="center"/>
    </xf>
    <xf numFmtId="3" fontId="149" fillId="0" borderId="0" xfId="1614" applyNumberFormat="1" applyFont="1" applyAlignment="1">
      <alignment horizontal="center" vertical="center"/>
    </xf>
    <xf numFmtId="0" fontId="157" fillId="0" borderId="0" xfId="1614" applyFont="1" applyAlignment="1">
      <alignment horizontal="center"/>
    </xf>
    <xf numFmtId="0" fontId="151" fillId="0" borderId="20" xfId="1653" applyFont="1" applyBorder="1" applyAlignment="1">
      <alignment horizontal="center" vertical="center"/>
    </xf>
    <xf numFmtId="0" fontId="151" fillId="0" borderId="21" xfId="1451" applyFont="1" applyBorder="1" applyAlignment="1">
      <alignment horizontal="left" vertical="center" wrapText="1"/>
    </xf>
    <xf numFmtId="0" fontId="152" fillId="0" borderId="21" xfId="1653" applyFont="1" applyBorder="1" applyAlignment="1">
      <alignment horizontal="center" vertical="center"/>
    </xf>
    <xf numFmtId="3" fontId="153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2" fillId="0" borderId="20" xfId="1653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0" fontId="152" fillId="0" borderId="21" xfId="1652" applyFont="1" applyBorder="1" applyAlignment="1">
      <alignment vertical="center" wrapText="1"/>
    </xf>
    <xf numFmtId="0" fontId="150" fillId="0" borderId="20" xfId="1652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57" fillId="0" borderId="21" xfId="1652" applyFont="1" applyBorder="1" applyAlignment="1">
      <alignment horizontal="center" vertical="center"/>
    </xf>
    <xf numFmtId="0" fontId="157" fillId="0" borderId="49" xfId="1652" applyFont="1" applyBorder="1" applyAlignment="1">
      <alignment horizontal="center" vertical="center"/>
    </xf>
    <xf numFmtId="0" fontId="157" fillId="0" borderId="3" xfId="1652" applyFont="1" applyBorder="1" applyAlignment="1">
      <alignment vertical="center" wrapText="1"/>
    </xf>
    <xf numFmtId="0" fontId="150" fillId="0" borderId="3" xfId="1614" applyFont="1" applyBorder="1" applyAlignment="1">
      <alignment horizontal="center" vertical="center" wrapText="1"/>
    </xf>
    <xf numFmtId="0" fontId="157" fillId="0" borderId="3" xfId="1614" applyFont="1" applyBorder="1" applyAlignment="1">
      <alignment horizontal="center" vertical="center"/>
    </xf>
    <xf numFmtId="0" fontId="157" fillId="0" borderId="3" xfId="1652" applyFont="1" applyBorder="1" applyAlignment="1">
      <alignment horizontal="center" vertical="center"/>
    </xf>
    <xf numFmtId="207" fontId="157" fillId="0" borderId="3" xfId="1614" applyNumberFormat="1" applyFont="1" applyBorder="1" applyAlignment="1">
      <alignment horizontal="center" vertical="center"/>
    </xf>
    <xf numFmtId="3" fontId="150" fillId="0" borderId="3" xfId="1614" applyNumberFormat="1" applyFont="1" applyBorder="1" applyAlignment="1">
      <alignment horizontal="center" vertical="center"/>
    </xf>
    <xf numFmtId="3" fontId="150" fillId="0" borderId="39" xfId="1614" applyNumberFormat="1" applyFont="1" applyBorder="1" applyAlignment="1">
      <alignment horizontal="center" vertical="center"/>
    </xf>
    <xf numFmtId="0" fontId="157" fillId="0" borderId="20" xfId="1652" applyFont="1" applyBorder="1" applyAlignment="1">
      <alignment horizontal="center" vertical="center"/>
    </xf>
    <xf numFmtId="0" fontId="157" fillId="0" borderId="21" xfId="1652" applyFont="1" applyBorder="1" applyAlignment="1">
      <alignment vertical="center" wrapText="1"/>
    </xf>
    <xf numFmtId="0" fontId="150" fillId="0" borderId="23" xfId="1614" applyFont="1" applyBorder="1" applyAlignment="1">
      <alignment horizontal="center" vertical="center"/>
    </xf>
    <xf numFmtId="0" fontId="150" fillId="0" borderId="24" xfId="1614" applyFont="1" applyBorder="1" applyAlignment="1">
      <alignment horizontal="left" vertical="center"/>
    </xf>
    <xf numFmtId="0" fontId="150" fillId="0" borderId="24" xfId="1614" applyFont="1" applyBorder="1" applyAlignment="1">
      <alignment vertical="center"/>
    </xf>
    <xf numFmtId="0" fontId="157" fillId="0" borderId="24" xfId="1614" applyFont="1" applyBorder="1" applyAlignment="1">
      <alignment horizontal="center" vertical="center"/>
    </xf>
    <xf numFmtId="3" fontId="150" fillId="0" borderId="24" xfId="1614" applyNumberFormat="1" applyFont="1" applyBorder="1" applyAlignment="1">
      <alignment horizontal="center" vertical="center"/>
    </xf>
    <xf numFmtId="3" fontId="150" fillId="0" borderId="25" xfId="1614" applyNumberFormat="1" applyFont="1" applyBorder="1" applyAlignment="1">
      <alignment horizontal="center" vertical="center"/>
    </xf>
    <xf numFmtId="0" fontId="152" fillId="0" borderId="26" xfId="1614" applyFont="1" applyBorder="1" applyAlignment="1">
      <alignment horizontal="center" vertical="center"/>
    </xf>
    <xf numFmtId="37" fontId="154" fillId="0" borderId="27" xfId="1614" applyNumberFormat="1" applyFont="1" applyBorder="1" applyAlignment="1">
      <alignment horizontal="center"/>
    </xf>
    <xf numFmtId="37" fontId="152" fillId="0" borderId="27" xfId="1614" applyNumberFormat="1" applyFont="1" applyBorder="1" applyAlignment="1">
      <alignment horizontal="center"/>
    </xf>
    <xf numFmtId="0" fontId="152" fillId="0" borderId="28" xfId="1614" applyFont="1" applyBorder="1" applyAlignment="1">
      <alignment horizontal="center" vertical="center"/>
    </xf>
    <xf numFmtId="37" fontId="154" fillId="0" borderId="29" xfId="1614" applyNumberFormat="1" applyFont="1" applyBorder="1" applyAlignment="1">
      <alignment horizontal="center"/>
    </xf>
    <xf numFmtId="37" fontId="152" fillId="0" borderId="29" xfId="1614" applyNumberFormat="1" applyFont="1" applyBorder="1" applyAlignment="1">
      <alignment horizontal="center"/>
    </xf>
    <xf numFmtId="37" fontId="158" fillId="0" borderId="30" xfId="1614" applyNumberFormat="1" applyFont="1" applyBorder="1" applyAlignment="1">
      <alignment horizontal="center"/>
    </xf>
    <xf numFmtId="37" fontId="158" fillId="0" borderId="32" xfId="1614" applyNumberFormat="1" applyFont="1" applyBorder="1" applyAlignment="1">
      <alignment horizontal="center"/>
    </xf>
    <xf numFmtId="0" fontId="158" fillId="0" borderId="34" xfId="1614" applyFont="1" applyBorder="1" applyAlignment="1">
      <alignment vertical="center"/>
    </xf>
    <xf numFmtId="0" fontId="152" fillId="0" borderId="19" xfId="1614" applyFont="1" applyBorder="1"/>
    <xf numFmtId="0" fontId="152" fillId="0" borderId="19" xfId="1614" applyFont="1" applyBorder="1" applyAlignment="1">
      <alignment horizontal="center"/>
    </xf>
    <xf numFmtId="0" fontId="152" fillId="0" borderId="19" xfId="1614" applyFont="1" applyBorder="1" applyAlignment="1">
      <alignment horizontal="right"/>
    </xf>
    <xf numFmtId="0" fontId="152" fillId="0" borderId="31" xfId="1614" applyFont="1" applyBorder="1" applyAlignment="1">
      <alignment horizontal="right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7" fillId="0" borderId="0" xfId="1614" applyFont="1" applyAlignment="1">
      <alignment horizontal="center" vertical="center"/>
    </xf>
    <xf numFmtId="165" fontId="157" fillId="0" borderId="0" xfId="1652" applyNumberFormat="1" applyFont="1" applyAlignment="1">
      <alignment vertical="center"/>
    </xf>
    <xf numFmtId="0" fontId="152" fillId="0" borderId="0" xfId="1652" applyFont="1" applyAlignment="1">
      <alignment horizontal="right"/>
    </xf>
    <xf numFmtId="0" fontId="159" fillId="0" borderId="0" xfId="1644" applyFont="1" applyAlignment="1">
      <alignment horizontal="center" vertical="center"/>
    </xf>
    <xf numFmtId="0" fontId="157" fillId="0" borderId="0" xfId="1652" applyFont="1" applyAlignment="1">
      <alignment vertical="center"/>
    </xf>
    <xf numFmtId="0" fontId="160" fillId="39" borderId="83" xfId="2670" applyFont="1" applyFill="1" applyBorder="1" applyAlignment="1">
      <alignment horizontal="left" vertical="center"/>
    </xf>
    <xf numFmtId="0" fontId="160" fillId="39" borderId="84" xfId="2670" applyFont="1" applyFill="1" applyBorder="1" applyAlignment="1">
      <alignment horizontal="center" vertical="center"/>
    </xf>
    <xf numFmtId="0" fontId="160" fillId="39" borderId="86" xfId="2670" applyFont="1" applyFill="1" applyBorder="1" applyAlignment="1">
      <alignment horizontal="left" vertical="center"/>
    </xf>
    <xf numFmtId="0" fontId="160" fillId="39" borderId="82" xfId="2670" applyFont="1" applyFill="1" applyBorder="1" applyAlignment="1">
      <alignment horizontal="center" vertical="center"/>
    </xf>
    <xf numFmtId="0" fontId="160" fillId="39" borderId="88" xfId="2670" applyFont="1" applyFill="1" applyBorder="1" applyAlignment="1">
      <alignment horizontal="left" vertical="center"/>
    </xf>
    <xf numFmtId="0" fontId="160" fillId="39" borderId="89" xfId="2670" applyFont="1" applyFill="1" applyBorder="1" applyAlignment="1">
      <alignment horizontal="center" vertical="center"/>
    </xf>
    <xf numFmtId="167" fontId="141" fillId="40" borderId="85" xfId="2672" applyFont="1" applyFill="1" applyBorder="1" applyAlignment="1" applyProtection="1">
      <alignment horizontal="right" vertical="center" wrapText="1"/>
      <protection locked="0"/>
    </xf>
    <xf numFmtId="167" fontId="141" fillId="40" borderId="87" xfId="2672" applyFont="1" applyFill="1" applyBorder="1" applyAlignment="1" applyProtection="1">
      <alignment horizontal="right" vertical="center"/>
      <protection locked="0"/>
    </xf>
    <xf numFmtId="169" fontId="141" fillId="40" borderId="87" xfId="2672" applyNumberFormat="1" applyFont="1" applyFill="1" applyBorder="1" applyAlignment="1" applyProtection="1">
      <alignment horizontal="right" vertical="center"/>
      <protection locked="0"/>
    </xf>
    <xf numFmtId="169" fontId="141" fillId="40" borderId="90" xfId="2672" applyNumberFormat="1" applyFont="1" applyFill="1" applyBorder="1" applyAlignment="1" applyProtection="1">
      <alignment horizontal="right" vertical="center"/>
      <protection locked="0"/>
    </xf>
    <xf numFmtId="0" fontId="121" fillId="0" borderId="0" xfId="1451" applyFont="1"/>
    <xf numFmtId="0" fontId="122" fillId="0" borderId="0" xfId="1451" applyFont="1" applyAlignment="1">
      <alignment vertical="center"/>
    </xf>
    <xf numFmtId="0" fontId="148" fillId="0" borderId="0" xfId="1451" applyFont="1"/>
    <xf numFmtId="0" fontId="123" fillId="0" borderId="0" xfId="1451" applyFont="1" applyAlignment="1">
      <alignment vertical="center"/>
    </xf>
    <xf numFmtId="0" fontId="124" fillId="0" borderId="0" xfId="1451" applyFont="1" applyAlignment="1">
      <alignment horizontal="center" vertical="center"/>
    </xf>
    <xf numFmtId="0" fontId="125" fillId="0" borderId="0" xfId="1451" applyFont="1"/>
    <xf numFmtId="0" fontId="126" fillId="0" borderId="0" xfId="1451" applyFont="1"/>
    <xf numFmtId="0" fontId="116" fillId="0" borderId="0" xfId="1451" applyFont="1" applyAlignment="1">
      <alignment vertical="center"/>
    </xf>
    <xf numFmtId="0" fontId="116" fillId="0" borderId="0" xfId="1451" applyFont="1" applyAlignment="1">
      <alignment horizontal="center" vertical="center"/>
    </xf>
    <xf numFmtId="0" fontId="121" fillId="0" borderId="0" xfId="1451" applyFont="1" applyAlignment="1">
      <alignment horizontal="center" vertical="center"/>
    </xf>
    <xf numFmtId="0" fontId="121" fillId="0" borderId="0" xfId="1451" applyFont="1" applyAlignment="1">
      <alignment horizontal="center"/>
    </xf>
    <xf numFmtId="0" fontId="123" fillId="35" borderId="0" xfId="1451" applyFont="1" applyFill="1" applyAlignment="1">
      <alignment vertical="center"/>
    </xf>
    <xf numFmtId="0" fontId="126" fillId="0" borderId="19" xfId="1451" applyFont="1" applyBorder="1" applyAlignment="1">
      <alignment horizontal="center"/>
    </xf>
    <xf numFmtId="0" fontId="126" fillId="0" borderId="19" xfId="1451" applyFont="1" applyBorder="1"/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62" xfId="2673" applyFont="1" applyBorder="1" applyAlignment="1">
      <alignment horizontal="center" vertical="center" wrapText="1"/>
    </xf>
    <xf numFmtId="0" fontId="164" fillId="0" borderId="0" xfId="2673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66" fillId="0" borderId="0" xfId="2673" applyFont="1" applyAlignment="1">
      <alignment vertical="center" wrapText="1"/>
    </xf>
    <xf numFmtId="0" fontId="147" fillId="35" borderId="94" xfId="2673" applyFont="1" applyFill="1" applyBorder="1" applyAlignment="1">
      <alignment vertical="center" wrapText="1"/>
    </xf>
    <xf numFmtId="0" fontId="147" fillId="43" borderId="94" xfId="2673" applyFont="1" applyFill="1" applyBorder="1" applyAlignment="1">
      <alignment vertical="center" wrapText="1"/>
    </xf>
    <xf numFmtId="0" fontId="163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5" fillId="35" borderId="32" xfId="2673" applyFont="1" applyFill="1" applyBorder="1" applyAlignment="1">
      <alignment vertical="center" wrapText="1"/>
    </xf>
    <xf numFmtId="0" fontId="135" fillId="43" borderId="32" xfId="2673" applyFont="1" applyFill="1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2" fontId="135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47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8" fillId="0" borderId="0" xfId="2673" applyNumberFormat="1" applyAlignment="1">
      <alignment vertical="center" wrapText="1"/>
    </xf>
    <xf numFmtId="1" fontId="8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5" fillId="0" borderId="0" xfId="2675" applyFont="1" applyFill="1" applyBorder="1" applyAlignment="1">
      <alignment horizontal="center" vertical="center" wrapText="1"/>
    </xf>
    <xf numFmtId="1" fontId="135" fillId="0" borderId="50" xfId="2673" applyNumberFormat="1" applyFont="1" applyBorder="1" applyAlignment="1">
      <alignment vertical="center" wrapText="1"/>
    </xf>
    <xf numFmtId="0" fontId="171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2" fontId="171" fillId="0" borderId="0" xfId="2673" applyNumberFormat="1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72" fillId="0" borderId="0" xfId="2673" applyFont="1" applyAlignment="1">
      <alignment vertical="center" wrapText="1"/>
    </xf>
    <xf numFmtId="0" fontId="147" fillId="35" borderId="51" xfId="2673" applyFont="1" applyFill="1" applyBorder="1" applyAlignment="1">
      <alignment vertical="center" wrapText="1"/>
    </xf>
    <xf numFmtId="0" fontId="147" fillId="0" borderId="53" xfId="2673" applyFont="1" applyBorder="1" applyAlignment="1">
      <alignment horizontal="center" vertical="center" wrapText="1"/>
    </xf>
    <xf numFmtId="0" fontId="147" fillId="35" borderId="49" xfId="2673" applyFont="1" applyFill="1" applyBorder="1" applyAlignment="1">
      <alignment vertical="center" wrapText="1"/>
    </xf>
    <xf numFmtId="1" fontId="135" fillId="0" borderId="58" xfId="2673" applyNumberFormat="1" applyFont="1" applyBorder="1" applyAlignment="1">
      <alignment vertical="center" wrapText="1"/>
    </xf>
    <xf numFmtId="0" fontId="135" fillId="35" borderId="49" xfId="2673" applyFont="1" applyFill="1" applyBorder="1" applyAlignment="1">
      <alignment vertical="center" wrapText="1"/>
    </xf>
    <xf numFmtId="0" fontId="135" fillId="35" borderId="98" xfId="2673" applyFont="1" applyFill="1" applyBorder="1" applyAlignment="1">
      <alignment vertical="center" wrapText="1"/>
    </xf>
    <xf numFmtId="0" fontId="106" fillId="0" borderId="64" xfId="2673" applyFont="1" applyBorder="1" applyAlignment="1">
      <alignment horizontal="center" vertical="center" wrapText="1"/>
    </xf>
    <xf numFmtId="0" fontId="147" fillId="0" borderId="51" xfId="2673" applyFont="1" applyBorder="1" applyAlignment="1">
      <alignment vertical="center" wrapText="1"/>
    </xf>
    <xf numFmtId="0" fontId="147" fillId="0" borderId="49" xfId="2673" applyFont="1" applyBorder="1" applyAlignment="1">
      <alignment vertical="center" wrapText="1"/>
    </xf>
    <xf numFmtId="0" fontId="135" fillId="0" borderId="49" xfId="2673" applyFont="1" applyBorder="1" applyAlignment="1">
      <alignment vertical="center" wrapText="1"/>
    </xf>
    <xf numFmtId="0" fontId="135" fillId="0" borderId="98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49" fontId="92" fillId="33" borderId="60" xfId="0" applyNumberFormat="1" applyFont="1" applyFill="1" applyBorder="1" applyAlignment="1">
      <alignment horizontal="left" vertical="center" wrapText="1"/>
    </xf>
    <xf numFmtId="49" fontId="92" fillId="33" borderId="61" xfId="0" applyNumberFormat="1" applyFont="1" applyFill="1" applyBorder="1" applyAlignment="1">
      <alignment horizontal="left" vertical="center"/>
    </xf>
    <xf numFmtId="41" fontId="153" fillId="0" borderId="0" xfId="2676" applyFont="1" applyAlignment="1">
      <alignment horizontal="center" vertical="center"/>
    </xf>
    <xf numFmtId="0" fontId="7" fillId="0" borderId="0" xfId="2670" applyFont="1" applyAlignment="1">
      <alignment horizontal="center" vertical="center"/>
    </xf>
    <xf numFmtId="0" fontId="128" fillId="0" borderId="0" xfId="2670" applyFont="1" applyAlignment="1">
      <alignment horizontal="left" vertical="center"/>
    </xf>
    <xf numFmtId="0" fontId="7" fillId="0" borderId="21" xfId="1653" applyFont="1" applyBorder="1" applyAlignment="1">
      <alignment horizontal="left" vertical="center" wrapText="1"/>
    </xf>
    <xf numFmtId="207" fontId="44" fillId="0" borderId="21" xfId="2549" applyNumberFormat="1" applyFont="1" applyBorder="1" applyAlignment="1">
      <alignment horizontal="center" vertical="center" wrapText="1"/>
    </xf>
    <xf numFmtId="0" fontId="44" fillId="0" borderId="21" xfId="2677" applyFont="1" applyBorder="1" applyAlignment="1">
      <alignment horizontal="left" vertical="center" wrapText="1"/>
    </xf>
    <xf numFmtId="0" fontId="116" fillId="33" borderId="0" xfId="0" applyFont="1" applyFill="1" applyAlignment="1">
      <alignment horizontal="left"/>
    </xf>
    <xf numFmtId="169" fontId="145" fillId="47" borderId="0" xfId="2672" applyNumberFormat="1" applyFont="1" applyFill="1" applyBorder="1" applyAlignment="1" applyProtection="1">
      <alignment horizontal="right" vertical="center"/>
    </xf>
    <xf numFmtId="0" fontId="175" fillId="0" borderId="69" xfId="1450" applyFont="1" applyBorder="1" applyAlignment="1">
      <alignment horizontal="center" vertical="center"/>
    </xf>
    <xf numFmtId="0" fontId="175" fillId="0" borderId="99" xfId="1450" applyFont="1" applyBorder="1" applyAlignment="1">
      <alignment horizontal="center" vertical="center"/>
    </xf>
    <xf numFmtId="0" fontId="6" fillId="0" borderId="20" xfId="1652" applyFont="1" applyBorder="1" applyAlignment="1">
      <alignment horizontal="center" vertical="center"/>
    </xf>
    <xf numFmtId="0" fontId="128" fillId="0" borderId="20" xfId="1652" applyFont="1" applyBorder="1" applyAlignment="1">
      <alignment horizontal="center" vertical="center"/>
    </xf>
    <xf numFmtId="0" fontId="128" fillId="0" borderId="21" xfId="1652" applyFont="1" applyBorder="1" applyAlignment="1">
      <alignment horizontal="left" vertical="center" wrapText="1"/>
    </xf>
    <xf numFmtId="0" fontId="6" fillId="0" borderId="21" xfId="1652" applyFont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5" fillId="0" borderId="21" xfId="1652" applyFont="1" applyBorder="1" applyAlignment="1">
      <alignment horizontal="center" vertical="center"/>
    </xf>
    <xf numFmtId="0" fontId="128" fillId="0" borderId="21" xfId="1652" applyFont="1" applyBorder="1" applyAlignment="1">
      <alignment vertical="center" wrapText="1"/>
    </xf>
    <xf numFmtId="0" fontId="10" fillId="0" borderId="21" xfId="1614" applyFont="1" applyBorder="1" applyAlignment="1">
      <alignment horizontal="center" vertical="center"/>
    </xf>
    <xf numFmtId="0" fontId="10" fillId="0" borderId="21" xfId="1614" applyFont="1" applyBorder="1" applyAlignment="1">
      <alignment horizontal="center" vertical="center" wrapText="1"/>
    </xf>
    <xf numFmtId="0" fontId="114" fillId="0" borderId="20" xfId="1652" applyFont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3" fontId="10" fillId="0" borderId="21" xfId="1599" applyNumberFormat="1" applyFont="1" applyBorder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3" fillId="0" borderId="21" xfId="1652" applyFont="1" applyBorder="1" applyAlignment="1">
      <alignment horizontal="center" vertical="center"/>
    </xf>
    <xf numFmtId="0" fontId="3" fillId="0" borderId="21" xfId="1652" applyFont="1" applyBorder="1" applyAlignment="1">
      <alignment horizontal="left"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21" fillId="0" borderId="21" xfId="1451" applyBorder="1" applyAlignment="1">
      <alignment horizontal="left" wrapText="1"/>
    </xf>
    <xf numFmtId="0" fontId="21" fillId="0" borderId="21" xfId="1451" applyBorder="1" applyAlignment="1">
      <alignment horizontal="center" wrapText="1"/>
    </xf>
    <xf numFmtId="0" fontId="21" fillId="0" borderId="21" xfId="1451" applyBorder="1" applyAlignment="1">
      <alignment horizontal="center" vertical="center" wrapText="1"/>
    </xf>
    <xf numFmtId="3" fontId="114" fillId="0" borderId="21" xfId="1451" applyNumberFormat="1" applyFont="1" applyBorder="1" applyAlignment="1">
      <alignment horizontal="center" vertical="center" wrapText="1"/>
    </xf>
    <xf numFmtId="0" fontId="21" fillId="0" borderId="21" xfId="1451" applyBorder="1" applyAlignment="1">
      <alignment horizontal="left" vertical="center" wrapText="1"/>
    </xf>
    <xf numFmtId="0" fontId="1" fillId="0" borderId="21" xfId="1652" applyFont="1" applyBorder="1" applyAlignment="1">
      <alignment vertical="center" wrapText="1"/>
    </xf>
    <xf numFmtId="3" fontId="43" fillId="31" borderId="38" xfId="1615" applyNumberFormat="1" applyFont="1" applyFill="1" applyBorder="1" applyAlignment="1">
      <alignment horizontal="center" vertical="center"/>
    </xf>
    <xf numFmtId="3" fontId="43" fillId="31" borderId="66" xfId="1615" applyNumberFormat="1" applyFont="1" applyFill="1" applyBorder="1" applyAlignment="1">
      <alignment horizontal="center" vertical="center"/>
    </xf>
    <xf numFmtId="3" fontId="43" fillId="31" borderId="18" xfId="1615" applyNumberFormat="1" applyFont="1" applyFill="1" applyBorder="1" applyAlignment="1">
      <alignment horizontal="center" vertical="center"/>
    </xf>
    <xf numFmtId="3" fontId="43" fillId="31" borderId="42" xfId="1615" applyNumberFormat="1" applyFont="1" applyFill="1" applyBorder="1" applyAlignment="1">
      <alignment horizontal="center" vertical="center"/>
    </xf>
    <xf numFmtId="3" fontId="43" fillId="31" borderId="43" xfId="1615" applyNumberFormat="1" applyFont="1" applyFill="1" applyBorder="1" applyAlignment="1">
      <alignment horizontal="center" vertical="center"/>
    </xf>
    <xf numFmtId="3" fontId="43" fillId="31" borderId="67" xfId="1615" applyNumberFormat="1" applyFont="1" applyFill="1" applyBorder="1" applyAlignment="1">
      <alignment horizontal="center" vertical="center"/>
    </xf>
    <xf numFmtId="3" fontId="43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52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0" fillId="0" borderId="51" xfId="1614" applyFont="1" applyBorder="1" applyAlignment="1">
      <alignment horizontal="center" vertical="center"/>
    </xf>
    <xf numFmtId="0" fontId="50" fillId="0" borderId="49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/>
    </xf>
    <xf numFmtId="0" fontId="50" fillId="0" borderId="21" xfId="1614" applyFont="1" applyBorder="1" applyAlignment="1">
      <alignment horizontal="center" vertical="center"/>
    </xf>
    <xf numFmtId="0" fontId="50" fillId="0" borderId="33" xfId="1614" applyFont="1" applyBorder="1" applyAlignment="1">
      <alignment horizontal="center" vertical="center"/>
    </xf>
    <xf numFmtId="0" fontId="52" fillId="0" borderId="53" xfId="1614" applyFont="1" applyBorder="1" applyAlignment="1">
      <alignment horizontal="center" vertical="center"/>
    </xf>
    <xf numFmtId="0" fontId="52" fillId="0" borderId="3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 wrapText="1"/>
    </xf>
    <xf numFmtId="0" fontId="50" fillId="0" borderId="21" xfId="1614" applyFont="1" applyBorder="1" applyAlignment="1">
      <alignment horizontal="center" vertical="center" wrapText="1"/>
    </xf>
    <xf numFmtId="0" fontId="50" fillId="0" borderId="33" xfId="1614" applyFont="1" applyBorder="1" applyAlignment="1">
      <alignment horizontal="center" vertical="center" wrapText="1"/>
    </xf>
    <xf numFmtId="0" fontId="52" fillId="0" borderId="54" xfId="1614" applyFont="1" applyBorder="1" applyAlignment="1">
      <alignment horizontal="center" vertical="center"/>
    </xf>
    <xf numFmtId="0" fontId="47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52" fillId="0" borderId="39" xfId="1614" applyFont="1" applyBorder="1" applyAlignment="1">
      <alignment horizontal="center" vertical="center"/>
    </xf>
    <xf numFmtId="0" fontId="52" fillId="0" borderId="35" xfId="1652" applyFont="1" applyBorder="1" applyAlignment="1">
      <alignment horizontal="center" vertical="center" wrapText="1"/>
    </xf>
    <xf numFmtId="0" fontId="52" fillId="0" borderId="33" xfId="1652" applyFont="1" applyBorder="1" applyAlignment="1">
      <alignment horizontal="center" vertical="center" wrapText="1"/>
    </xf>
    <xf numFmtId="37" fontId="62" fillId="0" borderId="19" xfId="1614" applyNumberFormat="1" applyFont="1" applyBorder="1" applyAlignment="1">
      <alignment horizontal="center"/>
    </xf>
    <xf numFmtId="0" fontId="62" fillId="0" borderId="26" xfId="1614" applyFont="1" applyBorder="1" applyAlignment="1">
      <alignment horizontal="left" vertical="center"/>
    </xf>
    <xf numFmtId="0" fontId="62" fillId="0" borderId="36" xfId="1614" applyFont="1" applyBorder="1" applyAlignment="1">
      <alignment horizontal="left" vertical="center"/>
    </xf>
    <xf numFmtId="0" fontId="62" fillId="0" borderId="48" xfId="1614" applyFont="1" applyBorder="1" applyAlignment="1">
      <alignment horizontal="left" vertical="center"/>
    </xf>
    <xf numFmtId="0" fontId="62" fillId="0" borderId="28" xfId="1614" applyFont="1" applyBorder="1" applyAlignment="1">
      <alignment horizontal="left" vertical="center"/>
    </xf>
    <xf numFmtId="0" fontId="62" fillId="0" borderId="0" xfId="1614" applyFont="1" applyAlignment="1">
      <alignment horizontal="left" vertical="center"/>
    </xf>
    <xf numFmtId="0" fontId="62" fillId="0" borderId="37" xfId="1614" applyFont="1" applyBorder="1" applyAlignment="1">
      <alignment horizontal="left" vertical="center"/>
    </xf>
    <xf numFmtId="0" fontId="52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169" fontId="43" fillId="0" borderId="3" xfId="714" applyFont="1" applyFill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43" fillId="0" borderId="3" xfId="1448" applyFont="1" applyBorder="1" applyAlignment="1">
      <alignment horizontal="center" vertical="center" wrapText="1"/>
    </xf>
    <xf numFmtId="0" fontId="55" fillId="0" borderId="3" xfId="1448" applyFont="1" applyBorder="1" applyAlignment="1">
      <alignment horizontal="center" vertical="center" wrapText="1"/>
    </xf>
    <xf numFmtId="0" fontId="164" fillId="42" borderId="91" xfId="2673" applyFont="1" applyFill="1" applyBorder="1" applyAlignment="1">
      <alignment horizontal="center" vertical="center" wrapText="1"/>
    </xf>
    <xf numFmtId="0" fontId="164" fillId="42" borderId="92" xfId="2673" applyFont="1" applyFill="1" applyBorder="1" applyAlignment="1">
      <alignment horizontal="center" vertical="center" wrapText="1"/>
    </xf>
    <xf numFmtId="0" fontId="164" fillId="42" borderId="93" xfId="2673" applyFont="1" applyFill="1" applyBorder="1" applyAlignment="1">
      <alignment horizontal="center" vertical="center" wrapText="1"/>
    </xf>
    <xf numFmtId="43" fontId="147" fillId="43" borderId="7" xfId="2673" applyNumberFormat="1" applyFont="1" applyFill="1" applyBorder="1" applyAlignment="1">
      <alignment horizontal="center" vertical="center" wrapText="1"/>
    </xf>
    <xf numFmtId="0" fontId="147" fillId="43" borderId="58" xfId="2673" applyFont="1" applyFill="1" applyBorder="1" applyAlignment="1">
      <alignment horizontal="center" vertical="center" wrapText="1"/>
    </xf>
    <xf numFmtId="1" fontId="135" fillId="43" borderId="7" xfId="2673" applyNumberFormat="1" applyFont="1" applyFill="1" applyBorder="1" applyAlignment="1">
      <alignment horizontal="center" vertical="center" wrapText="1"/>
    </xf>
    <xf numFmtId="1" fontId="135" fillId="43" borderId="58" xfId="2673" applyNumberFormat="1" applyFont="1" applyFill="1" applyBorder="1" applyAlignment="1">
      <alignment horizontal="center" vertical="center" wrapText="1"/>
    </xf>
    <xf numFmtId="0" fontId="135" fillId="43" borderId="7" xfId="2673" applyFont="1" applyFill="1" applyBorder="1" applyAlignment="1">
      <alignment horizontal="center" vertical="center" wrapText="1"/>
    </xf>
    <xf numFmtId="0" fontId="135" fillId="43" borderId="58" xfId="2673" applyFont="1" applyFill="1" applyBorder="1" applyAlignment="1">
      <alignment horizontal="center" vertical="center" wrapText="1"/>
    </xf>
    <xf numFmtId="1" fontId="147" fillId="0" borderId="3" xfId="2673" applyNumberFormat="1" applyFont="1" applyBorder="1" applyAlignment="1">
      <alignment horizontal="center" vertical="center" wrapText="1"/>
    </xf>
    <xf numFmtId="1" fontId="147" fillId="0" borderId="39" xfId="2673" applyNumberFormat="1" applyFont="1" applyBorder="1" applyAlignment="1">
      <alignment horizontal="center" vertical="center" wrapText="1"/>
    </xf>
    <xf numFmtId="2" fontId="135" fillId="43" borderId="62" xfId="2673" applyNumberFormat="1" applyFont="1" applyFill="1" applyBorder="1" applyAlignment="1">
      <alignment horizontal="center" vertical="center" wrapText="1"/>
    </xf>
    <xf numFmtId="2" fontId="135" fillId="43" borderId="95" xfId="2673" applyNumberFormat="1" applyFont="1" applyFill="1" applyBorder="1" applyAlignment="1">
      <alignment horizontal="center" vertical="center" wrapText="1"/>
    </xf>
    <xf numFmtId="0" fontId="167" fillId="0" borderId="50" xfId="2673" applyFont="1" applyBorder="1" applyAlignment="1">
      <alignment horizontal="center" vertical="center" wrapText="1"/>
    </xf>
    <xf numFmtId="0" fontId="167" fillId="0" borderId="58" xfId="2673" applyFont="1" applyBorder="1" applyAlignment="1">
      <alignment horizontal="center" vertical="center" wrapText="1"/>
    </xf>
    <xf numFmtId="0" fontId="167" fillId="44" borderId="3" xfId="2673" applyFont="1" applyFill="1" applyBorder="1" applyAlignment="1">
      <alignment horizontal="center" vertical="center" wrapText="1"/>
    </xf>
    <xf numFmtId="0" fontId="167" fillId="44" borderId="39" xfId="2673" applyFont="1" applyFill="1" applyBorder="1" applyAlignment="1">
      <alignment horizontal="center" vertical="center" wrapText="1"/>
    </xf>
    <xf numFmtId="1" fontId="135" fillId="0" borderId="3" xfId="2673" applyNumberFormat="1" applyFont="1" applyBorder="1" applyAlignment="1">
      <alignment horizontal="center" vertical="center" wrapText="1"/>
    </xf>
    <xf numFmtId="1" fontId="135" fillId="0" borderId="39" xfId="2673" applyNumberFormat="1" applyFont="1" applyBorder="1" applyAlignment="1">
      <alignment horizontal="center" vertical="center" wrapText="1"/>
    </xf>
    <xf numFmtId="2" fontId="135" fillId="0" borderId="3" xfId="2673" applyNumberFormat="1" applyFont="1" applyBorder="1" applyAlignment="1">
      <alignment horizontal="center" vertical="center" wrapText="1"/>
    </xf>
    <xf numFmtId="2" fontId="135" fillId="0" borderId="39" xfId="2673" applyNumberFormat="1" applyFont="1" applyBorder="1" applyAlignment="1">
      <alignment horizontal="center" vertical="center" wrapText="1"/>
    </xf>
    <xf numFmtId="2" fontId="135" fillId="45" borderId="3" xfId="2673" applyNumberFormat="1" applyFont="1" applyFill="1" applyBorder="1" applyAlignment="1">
      <alignment horizontal="center" vertical="center" wrapText="1"/>
    </xf>
    <xf numFmtId="2" fontId="135" fillId="45" borderId="39" xfId="2673" applyNumberFormat="1" applyFont="1" applyFill="1" applyBorder="1" applyAlignment="1">
      <alignment horizontal="center" vertical="center" wrapText="1"/>
    </xf>
    <xf numFmtId="9" fontId="135" fillId="35" borderId="64" xfId="2675" applyFont="1" applyFill="1" applyBorder="1" applyAlignment="1">
      <alignment horizontal="center" vertical="center" wrapText="1"/>
    </xf>
    <xf numFmtId="9" fontId="135" fillId="35" borderId="65" xfId="2675" applyFont="1" applyFill="1" applyBorder="1" applyAlignment="1">
      <alignment horizontal="center" vertical="center" wrapText="1"/>
    </xf>
    <xf numFmtId="2" fontId="135" fillId="35" borderId="3" xfId="2673" applyNumberFormat="1" applyFont="1" applyFill="1" applyBorder="1" applyAlignment="1">
      <alignment horizontal="center" vertical="center" wrapText="1"/>
    </xf>
    <xf numFmtId="2" fontId="135" fillId="35" borderId="39" xfId="2673" applyNumberFormat="1" applyFont="1" applyFill="1" applyBorder="1" applyAlignment="1">
      <alignment horizontal="center" vertical="center" wrapText="1"/>
    </xf>
    <xf numFmtId="0" fontId="8" fillId="0" borderId="96" xfId="2673" applyBorder="1" applyAlignment="1">
      <alignment horizontal="center" vertical="center" wrapText="1"/>
    </xf>
    <xf numFmtId="0" fontId="8" fillId="0" borderId="6" xfId="2673" applyBorder="1" applyAlignment="1">
      <alignment horizontal="center" vertical="center" wrapText="1"/>
    </xf>
    <xf numFmtId="0" fontId="8" fillId="0" borderId="97" xfId="2673" applyBorder="1" applyAlignment="1">
      <alignment horizontal="center" vertical="center" wrapText="1"/>
    </xf>
    <xf numFmtId="9" fontId="171" fillId="0" borderId="0" xfId="2675" applyFont="1" applyFill="1" applyBorder="1" applyAlignment="1">
      <alignment horizontal="center" vertical="center" wrapText="1"/>
    </xf>
    <xf numFmtId="0" fontId="168" fillId="37" borderId="0" xfId="2673" applyFont="1" applyFill="1" applyAlignment="1">
      <alignment horizontal="left" vertical="center" wrapText="1"/>
    </xf>
    <xf numFmtId="43" fontId="147" fillId="35" borderId="7" xfId="2673" applyNumberFormat="1" applyFont="1" applyFill="1" applyBorder="1" applyAlignment="1">
      <alignment horizontal="center" vertical="center" wrapText="1"/>
    </xf>
    <xf numFmtId="0" fontId="147" fillId="35" borderId="58" xfId="2673" applyFont="1" applyFill="1" applyBorder="1" applyAlignment="1">
      <alignment horizontal="center" vertical="center" wrapText="1"/>
    </xf>
    <xf numFmtId="2" fontId="135" fillId="35" borderId="62" xfId="2673" applyNumberFormat="1" applyFont="1" applyFill="1" applyBorder="1" applyAlignment="1">
      <alignment horizontal="center" vertical="center" wrapText="1"/>
    </xf>
    <xf numFmtId="2" fontId="135" fillId="35" borderId="95" xfId="2673" applyNumberFormat="1" applyFont="1" applyFill="1" applyBorder="1" applyAlignment="1">
      <alignment horizontal="center" vertical="center" wrapText="1"/>
    </xf>
    <xf numFmtId="0" fontId="164" fillId="41" borderId="91" xfId="2673" applyFont="1" applyFill="1" applyBorder="1" applyAlignment="1">
      <alignment horizontal="center" vertical="center" wrapText="1"/>
    </xf>
    <xf numFmtId="0" fontId="164" fillId="41" borderId="92" xfId="2673" applyFont="1" applyFill="1" applyBorder="1" applyAlignment="1">
      <alignment horizontal="center" vertical="center" wrapText="1"/>
    </xf>
    <xf numFmtId="0" fontId="164" fillId="41" borderId="93" xfId="2673" applyFont="1" applyFill="1" applyBorder="1" applyAlignment="1">
      <alignment horizontal="center" vertical="center" wrapText="1"/>
    </xf>
    <xf numFmtId="0" fontId="135" fillId="35" borderId="7" xfId="2673" applyFont="1" applyFill="1" applyBorder="1" applyAlignment="1">
      <alignment horizontal="center" vertical="center" wrapText="1"/>
    </xf>
    <xf numFmtId="0" fontId="135" fillId="35" borderId="58" xfId="2673" applyFont="1" applyFill="1" applyBorder="1" applyAlignment="1">
      <alignment horizontal="center" vertical="center" wrapText="1"/>
    </xf>
    <xf numFmtId="1" fontId="147" fillId="35" borderId="7" xfId="2673" applyNumberFormat="1" applyFont="1" applyFill="1" applyBorder="1" applyAlignment="1">
      <alignment horizontal="center" vertical="center" wrapText="1"/>
    </xf>
    <xf numFmtId="1" fontId="147" fillId="35" borderId="58" xfId="2673" applyNumberFormat="1" applyFont="1" applyFill="1" applyBorder="1" applyAlignment="1">
      <alignment horizontal="center" vertical="center" wrapText="1"/>
    </xf>
    <xf numFmtId="43" fontId="147" fillId="0" borderId="53" xfId="2673" applyNumberFormat="1" applyFont="1" applyBorder="1" applyAlignment="1">
      <alignment horizontal="center" vertical="center" wrapText="1"/>
    </xf>
    <xf numFmtId="0" fontId="147" fillId="0" borderId="54" xfId="2673" applyFont="1" applyBorder="1" applyAlignment="1">
      <alignment horizontal="center" vertical="center" wrapText="1"/>
    </xf>
    <xf numFmtId="9" fontId="135" fillId="0" borderId="64" xfId="2675" applyFont="1" applyFill="1" applyBorder="1" applyAlignment="1">
      <alignment horizontal="center" vertical="center" wrapText="1"/>
    </xf>
    <xf numFmtId="9" fontId="135" fillId="0" borderId="65" xfId="2675" applyFont="1" applyFill="1" applyBorder="1" applyAlignment="1">
      <alignment horizontal="center" vertical="center" wrapText="1"/>
    </xf>
    <xf numFmtId="0" fontId="9" fillId="34" borderId="77" xfId="2670" applyFill="1" applyBorder="1" applyAlignment="1">
      <alignment horizontal="center" vertical="center"/>
    </xf>
    <xf numFmtId="0" fontId="139" fillId="0" borderId="78" xfId="2670" applyFont="1" applyBorder="1" applyAlignment="1">
      <alignment horizontal="left" vertical="center"/>
    </xf>
    <xf numFmtId="0" fontId="112" fillId="38" borderId="3" xfId="1538" applyFill="1" applyBorder="1" applyAlignment="1">
      <alignment horizontal="center" vertical="center"/>
    </xf>
    <xf numFmtId="0" fontId="103" fillId="38" borderId="3" xfId="1538" applyFont="1" applyFill="1" applyBorder="1" applyAlignment="1">
      <alignment horizontal="center" vertical="center" wrapText="1"/>
    </xf>
    <xf numFmtId="0" fontId="49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 wrapText="1"/>
    </xf>
    <xf numFmtId="0" fontId="52" fillId="0" borderId="44" xfId="1538" applyFont="1" applyBorder="1" applyAlignment="1">
      <alignment horizontal="left"/>
    </xf>
    <xf numFmtId="0" fontId="151" fillId="0" borderId="0" xfId="1644" applyFont="1" applyAlignment="1">
      <alignment horizontal="center" vertical="center"/>
    </xf>
    <xf numFmtId="37" fontId="158" fillId="0" borderId="19" xfId="1614" applyNumberFormat="1" applyFont="1" applyBorder="1" applyAlignment="1">
      <alignment horizontal="center"/>
    </xf>
    <xf numFmtId="0" fontId="154" fillId="0" borderId="0" xfId="1614" applyFont="1" applyAlignment="1">
      <alignment horizontal="left" vertical="top" wrapText="1"/>
    </xf>
    <xf numFmtId="37" fontId="152" fillId="0" borderId="0" xfId="1614" applyNumberFormat="1" applyFont="1" applyAlignment="1">
      <alignment horizontal="center"/>
    </xf>
    <xf numFmtId="0" fontId="173" fillId="0" borderId="26" xfId="1614" applyFont="1" applyBorder="1" applyAlignment="1">
      <alignment horizontal="left" vertical="center" wrapText="1"/>
    </xf>
    <xf numFmtId="0" fontId="173" fillId="0" borderId="36" xfId="1614" applyFont="1" applyBorder="1" applyAlignment="1">
      <alignment horizontal="left" vertical="center" wrapText="1"/>
    </xf>
    <xf numFmtId="0" fontId="173" fillId="0" borderId="48" xfId="1614" applyFont="1" applyBorder="1" applyAlignment="1">
      <alignment horizontal="left" vertical="center" wrapText="1"/>
    </xf>
    <xf numFmtId="0" fontId="173" fillId="0" borderId="28" xfId="1614" applyFont="1" applyBorder="1" applyAlignment="1">
      <alignment horizontal="left" vertical="center" wrapText="1"/>
    </xf>
    <xf numFmtId="0" fontId="173" fillId="0" borderId="0" xfId="1614" applyFont="1" applyAlignment="1">
      <alignment horizontal="left" vertical="center" wrapText="1"/>
    </xf>
    <xf numFmtId="0" fontId="173" fillId="0" borderId="37" xfId="1614" applyFont="1" applyBorder="1" applyAlignment="1">
      <alignment horizontal="left" vertical="center" wrapText="1"/>
    </xf>
    <xf numFmtId="0" fontId="157" fillId="0" borderId="0" xfId="1652" applyFont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0" fontId="156" fillId="35" borderId="53" xfId="1614" applyFont="1" applyFill="1" applyBorder="1" applyAlignment="1">
      <alignment horizontal="center" vertical="center"/>
    </xf>
    <xf numFmtId="0" fontId="156" fillId="35" borderId="54" xfId="1614" applyFont="1" applyFill="1" applyBorder="1" applyAlignment="1">
      <alignment horizontal="center" vertical="center"/>
    </xf>
    <xf numFmtId="0" fontId="156" fillId="35" borderId="35" xfId="1652" applyFont="1" applyFill="1" applyBorder="1" applyAlignment="1">
      <alignment horizontal="center" vertical="center" wrapText="1"/>
    </xf>
    <xf numFmtId="0" fontId="156" fillId="35" borderId="33" xfId="1652" applyFont="1" applyFill="1" applyBorder="1" applyAlignment="1">
      <alignment horizontal="center" vertical="center" wrapText="1"/>
    </xf>
    <xf numFmtId="0" fontId="156" fillId="35" borderId="3" xfId="1614" applyFont="1" applyFill="1" applyBorder="1" applyAlignment="1">
      <alignment horizontal="center" vertical="center"/>
    </xf>
    <xf numFmtId="0" fontId="156" fillId="35" borderId="39" xfId="1614" applyFont="1" applyFill="1" applyBorder="1" applyAlignment="1">
      <alignment horizontal="center" vertical="center"/>
    </xf>
    <xf numFmtId="0" fontId="154" fillId="30" borderId="3" xfId="1614" applyFont="1" applyFill="1" applyBorder="1" applyAlignment="1">
      <alignment horizontal="center" vertical="center"/>
    </xf>
    <xf numFmtId="0" fontId="155" fillId="0" borderId="0" xfId="1652" applyFont="1" applyAlignment="1">
      <alignment horizontal="center" vertical="center"/>
    </xf>
    <xf numFmtId="37" fontId="152" fillId="0" borderId="36" xfId="1614" applyNumberFormat="1" applyFont="1" applyBorder="1" applyAlignment="1">
      <alignment horizontal="center"/>
    </xf>
    <xf numFmtId="0" fontId="156" fillId="35" borderId="51" xfId="1614" applyFont="1" applyFill="1" applyBorder="1" applyAlignment="1">
      <alignment horizontal="center" vertical="center"/>
    </xf>
    <xf numFmtId="0" fontId="156" fillId="35" borderId="49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/>
    </xf>
    <xf numFmtId="0" fontId="156" fillId="35" borderId="21" xfId="1614" applyFont="1" applyFill="1" applyBorder="1" applyAlignment="1">
      <alignment horizontal="center" vertical="center"/>
    </xf>
    <xf numFmtId="0" fontId="156" fillId="35" borderId="33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 wrapText="1"/>
    </xf>
    <xf numFmtId="0" fontId="156" fillId="35" borderId="21" xfId="1614" applyFont="1" applyFill="1" applyBorder="1" applyAlignment="1">
      <alignment horizontal="center" vertical="center" wrapText="1"/>
    </xf>
    <xf numFmtId="0" fontId="156" fillId="35" borderId="33" xfId="1614" applyFont="1" applyFill="1" applyBorder="1" applyAlignment="1">
      <alignment horizontal="center" vertical="center" wrapText="1"/>
    </xf>
    <xf numFmtId="0" fontId="115" fillId="33" borderId="7" xfId="0" applyFont="1" applyFill="1" applyBorder="1" applyAlignment="1">
      <alignment horizontal="center"/>
    </xf>
    <xf numFmtId="0" fontId="115" fillId="33" borderId="41" xfId="0" applyFont="1" applyFill="1" applyBorder="1" applyAlignment="1">
      <alignment horizontal="center"/>
    </xf>
    <xf numFmtId="0" fontId="115" fillId="33" borderId="64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15" fillId="33" borderId="39" xfId="0" applyFont="1" applyFill="1" applyBorder="1" applyAlignment="1">
      <alignment horizontal="center"/>
    </xf>
    <xf numFmtId="0" fontId="115" fillId="33" borderId="62" xfId="0" applyFont="1" applyFill="1" applyBorder="1" applyAlignment="1">
      <alignment horizontal="center"/>
    </xf>
    <xf numFmtId="0" fontId="115" fillId="33" borderId="63" xfId="0" applyFont="1" applyFill="1" applyBorder="1" applyAlignment="1">
      <alignment horizontal="center"/>
    </xf>
    <xf numFmtId="0" fontId="115" fillId="33" borderId="65" xfId="0" applyFont="1" applyFill="1" applyBorder="1" applyAlignment="1">
      <alignment horizontal="center"/>
    </xf>
    <xf numFmtId="0" fontId="115" fillId="33" borderId="56" xfId="0" applyFont="1" applyFill="1" applyBorder="1" applyAlignment="1">
      <alignment horizontal="center" vertical="center"/>
    </xf>
    <xf numFmtId="0" fontId="115" fillId="33" borderId="57" xfId="0" applyFont="1" applyFill="1" applyBorder="1" applyAlignment="1">
      <alignment horizontal="center" vertical="center"/>
    </xf>
    <xf numFmtId="0" fontId="115" fillId="33" borderId="0" xfId="0" applyFont="1" applyFill="1" applyAlignment="1">
      <alignment horizontal="center" vertical="center" wrapText="1"/>
    </xf>
    <xf numFmtId="0" fontId="115" fillId="33" borderId="37" xfId="0" applyFont="1" applyFill="1" applyBorder="1" applyAlignment="1">
      <alignment horizontal="center" vertical="center" wrapText="1"/>
    </xf>
    <xf numFmtId="0" fontId="115" fillId="33" borderId="44" xfId="0" applyFont="1" applyFill="1" applyBorder="1" applyAlignment="1">
      <alignment horizontal="center" vertical="center" wrapText="1"/>
    </xf>
    <xf numFmtId="0" fontId="115" fillId="33" borderId="45" xfId="0" applyFont="1" applyFill="1" applyBorder="1" applyAlignment="1">
      <alignment horizontal="center" vertical="center" wrapText="1"/>
    </xf>
    <xf numFmtId="15" fontId="115" fillId="33" borderId="3" xfId="0" applyNumberFormat="1" applyFont="1" applyFill="1" applyBorder="1" applyAlignment="1">
      <alignment horizontal="center"/>
    </xf>
    <xf numFmtId="0" fontId="92" fillId="33" borderId="5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  <xf numFmtId="0" fontId="120" fillId="33" borderId="75" xfId="0" applyFont="1" applyFill="1" applyBorder="1" applyAlignment="1">
      <alignment horizontal="center" vertical="center" wrapText="1"/>
    </xf>
    <xf numFmtId="0" fontId="120" fillId="33" borderId="76" xfId="0" applyFont="1" applyFill="1" applyBorder="1" applyAlignment="1">
      <alignment horizontal="center" vertical="center" wrapText="1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16" fillId="33" borderId="18" xfId="0" applyFont="1" applyFill="1" applyBorder="1" applyAlignment="1">
      <alignment horizontal="left" vertical="top" wrapText="1"/>
    </xf>
    <xf numFmtId="0" fontId="116" fillId="33" borderId="0" xfId="0" applyFont="1" applyFill="1" applyAlignment="1">
      <alignment horizontal="left" vertical="top" wrapText="1"/>
    </xf>
    <xf numFmtId="0" fontId="92" fillId="33" borderId="80" xfId="0" applyFont="1" applyFill="1" applyBorder="1" applyAlignment="1">
      <alignment horizontal="center" vertical="center"/>
    </xf>
    <xf numFmtId="0" fontId="92" fillId="33" borderId="81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center"/>
    </xf>
    <xf numFmtId="49" fontId="115" fillId="33" borderId="41" xfId="0" applyNumberFormat="1" applyFont="1" applyFill="1" applyBorder="1" applyAlignment="1">
      <alignment horizontal="center" vertical="center"/>
    </xf>
    <xf numFmtId="0" fontId="119" fillId="33" borderId="73" xfId="0" applyFont="1" applyFill="1" applyBorder="1" applyAlignment="1">
      <alignment horizontal="center" vertical="center"/>
    </xf>
    <xf numFmtId="0" fontId="119" fillId="33" borderId="74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49" fontId="115" fillId="33" borderId="50" xfId="0" applyNumberFormat="1" applyFont="1" applyFill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0" fontId="92" fillId="33" borderId="79" xfId="0" applyFont="1" applyFill="1" applyBorder="1" applyAlignment="1">
      <alignment horizontal="left" vertical="center"/>
    </xf>
    <xf numFmtId="0" fontId="133" fillId="33" borderId="60" xfId="0" applyFont="1" applyFill="1" applyBorder="1" applyAlignment="1">
      <alignment horizontal="left" vertical="center"/>
    </xf>
    <xf numFmtId="0" fontId="133" fillId="33" borderId="61" xfId="0" applyFont="1" applyFill="1" applyBorder="1" applyAlignment="1">
      <alignment horizontal="left" vertical="center"/>
    </xf>
    <xf numFmtId="49" fontId="115" fillId="33" borderId="50" xfId="0" applyNumberFormat="1" applyFont="1" applyFill="1" applyBorder="1" applyAlignment="1">
      <alignment horizontal="left" vertical="center"/>
    </xf>
    <xf numFmtId="49" fontId="115" fillId="33" borderId="41" xfId="0" applyNumberFormat="1" applyFont="1" applyFill="1" applyBorder="1" applyAlignment="1">
      <alignment horizontal="left" vertical="center"/>
    </xf>
    <xf numFmtId="0" fontId="116" fillId="33" borderId="18" xfId="0" applyFont="1" applyFill="1" applyBorder="1" applyAlignment="1">
      <alignment horizontal="left"/>
    </xf>
    <xf numFmtId="0" fontId="116" fillId="33" borderId="0" xfId="0" applyFont="1" applyFill="1" applyAlignment="1">
      <alignment horizontal="left"/>
    </xf>
    <xf numFmtId="0" fontId="116" fillId="33" borderId="37" xfId="0" applyFont="1" applyFill="1" applyBorder="1" applyAlignment="1">
      <alignment horizontal="left"/>
    </xf>
    <xf numFmtId="0" fontId="132" fillId="33" borderId="50" xfId="0" applyFont="1" applyFill="1" applyBorder="1" applyAlignment="1">
      <alignment horizontal="center" vertical="center"/>
    </xf>
    <xf numFmtId="0" fontId="132" fillId="33" borderId="7" xfId="0" applyFont="1" applyFill="1" applyBorder="1" applyAlignment="1">
      <alignment horizontal="center" vertical="center"/>
    </xf>
    <xf numFmtId="0" fontId="132" fillId="33" borderId="41" xfId="0" applyFont="1" applyFill="1" applyBorder="1" applyAlignment="1">
      <alignment horizontal="center" vertical="center"/>
    </xf>
    <xf numFmtId="0" fontId="116" fillId="33" borderId="5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center"/>
    </xf>
    <xf numFmtId="0" fontId="116" fillId="33" borderId="58" xfId="0" applyFont="1" applyFill="1" applyBorder="1" applyAlignment="1">
      <alignment horizontal="center" vertical="center"/>
    </xf>
    <xf numFmtId="208" fontId="175" fillId="0" borderId="73" xfId="1450" applyNumberFormat="1" applyFont="1" applyBorder="1" applyAlignment="1">
      <alignment horizontal="left" vertical="center"/>
    </xf>
    <xf numFmtId="208" fontId="175" fillId="0" borderId="74" xfId="1450" applyNumberFormat="1" applyFont="1" applyBorder="1" applyAlignment="1">
      <alignment horizontal="left" vertical="center"/>
    </xf>
    <xf numFmtId="49" fontId="133" fillId="33" borderId="59" xfId="0" applyNumberFormat="1" applyFont="1" applyFill="1" applyBorder="1" applyAlignment="1">
      <alignment horizontal="left" vertical="center"/>
    </xf>
    <xf numFmtId="49" fontId="133" fillId="33" borderId="40" xfId="0" applyNumberFormat="1" applyFont="1" applyFill="1" applyBorder="1" applyAlignment="1">
      <alignment horizontal="left" vertical="center"/>
    </xf>
    <xf numFmtId="0" fontId="115" fillId="33" borderId="56" xfId="0" applyFont="1" applyFill="1" applyBorder="1" applyAlignment="1">
      <alignment horizontal="center"/>
    </xf>
    <xf numFmtId="0" fontId="115" fillId="33" borderId="57" xfId="0" applyFont="1" applyFill="1" applyBorder="1" applyAlignment="1">
      <alignment horizontal="center"/>
    </xf>
    <xf numFmtId="0" fontId="131" fillId="35" borderId="55" xfId="0" applyFont="1" applyFill="1" applyBorder="1" applyAlignment="1">
      <alignment horizontal="center" vertical="center"/>
    </xf>
    <xf numFmtId="0" fontId="131" fillId="35" borderId="36" xfId="0" applyFont="1" applyFill="1" applyBorder="1" applyAlignment="1">
      <alignment horizontal="center" vertical="center"/>
    </xf>
    <xf numFmtId="0" fontId="131" fillId="35" borderId="48" xfId="0" applyFont="1" applyFill="1" applyBorder="1" applyAlignment="1">
      <alignment horizontal="center" vertical="center"/>
    </xf>
    <xf numFmtId="0" fontId="131" fillId="35" borderId="43" xfId="0" applyFont="1" applyFill="1" applyBorder="1" applyAlignment="1">
      <alignment horizontal="center" vertical="center"/>
    </xf>
    <xf numFmtId="0" fontId="131" fillId="35" borderId="44" xfId="0" applyFont="1" applyFill="1" applyBorder="1" applyAlignment="1">
      <alignment horizontal="center" vertical="center"/>
    </xf>
    <xf numFmtId="0" fontId="131" fillId="35" borderId="45" xfId="0" applyFont="1" applyFill="1" applyBorder="1" applyAlignment="1">
      <alignment horizontal="center" vertical="center"/>
    </xf>
    <xf numFmtId="0" fontId="123" fillId="35" borderId="26" xfId="1451" applyFont="1" applyFill="1" applyBorder="1" applyAlignment="1">
      <alignment horizontal="center" vertical="center"/>
    </xf>
    <xf numFmtId="0" fontId="123" fillId="35" borderId="36" xfId="1451" applyFont="1" applyFill="1" applyBorder="1" applyAlignment="1">
      <alignment horizontal="center" vertical="center"/>
    </xf>
    <xf numFmtId="0" fontId="123" fillId="35" borderId="48" xfId="1451" applyFont="1" applyFill="1" applyBorder="1" applyAlignment="1">
      <alignment horizontal="center" vertical="center"/>
    </xf>
    <xf numFmtId="0" fontId="123" fillId="35" borderId="28" xfId="1451" applyFont="1" applyFill="1" applyBorder="1" applyAlignment="1">
      <alignment horizontal="center" vertical="center"/>
    </xf>
    <xf numFmtId="0" fontId="123" fillId="35" borderId="0" xfId="1451" applyFont="1" applyFill="1" applyAlignment="1">
      <alignment horizontal="center" vertical="center"/>
    </xf>
    <xf numFmtId="0" fontId="123" fillId="35" borderId="37" xfId="1451" applyFont="1" applyFill="1" applyBorder="1" applyAlignment="1">
      <alignment horizontal="center" vertical="center"/>
    </xf>
    <xf numFmtId="0" fontId="123" fillId="35" borderId="34" xfId="1451" applyFont="1" applyFill="1" applyBorder="1" applyAlignment="1">
      <alignment horizontal="center" vertical="center"/>
    </xf>
    <xf numFmtId="0" fontId="123" fillId="35" borderId="19" xfId="1451" applyFont="1" applyFill="1" applyBorder="1" applyAlignment="1">
      <alignment horizontal="center" vertical="center"/>
    </xf>
    <xf numFmtId="0" fontId="123" fillId="35" borderId="31" xfId="1451" applyFont="1" applyFill="1" applyBorder="1" applyAlignment="1">
      <alignment horizontal="center" vertical="center"/>
    </xf>
    <xf numFmtId="0" fontId="161" fillId="0" borderId="0" xfId="1451" applyFont="1" applyAlignment="1">
      <alignment horizontal="left"/>
    </xf>
  </cellXfs>
  <cellStyles count="338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96" xr:uid="{7D2C8C0F-3D5A-45AA-815A-40835E6121CB}"/>
    <cellStyle name="20% - Accent1 11" xfId="4" xr:uid="{00000000-0005-0000-0000-000003000000}"/>
    <cellStyle name="20% - Accent1 11 2" xfId="2697" xr:uid="{183D15DD-29AA-460D-8BE9-2621AF0E04DA}"/>
    <cellStyle name="20% - Accent1 12" xfId="5" xr:uid="{00000000-0005-0000-0000-000004000000}"/>
    <cellStyle name="20% - Accent1 12 2" xfId="2698" xr:uid="{24945CA3-2F7F-43DF-8FD2-9C595613A8D4}"/>
    <cellStyle name="20% - Accent1 13" xfId="6" xr:uid="{00000000-0005-0000-0000-000005000000}"/>
    <cellStyle name="20% - Accent1 13 2" xfId="2699" xr:uid="{EBC2AE6F-71AA-4E9C-B56C-4A8FA1C4AA91}"/>
    <cellStyle name="20% - Accent1 14" xfId="7" xr:uid="{00000000-0005-0000-0000-000006000000}"/>
    <cellStyle name="20% - Accent1 14 2" xfId="2700" xr:uid="{FAD861CD-C2AA-4087-918B-460D4F024CD5}"/>
    <cellStyle name="20% - Accent1 15" xfId="8" xr:uid="{00000000-0005-0000-0000-000007000000}"/>
    <cellStyle name="20% - Accent1 15 2" xfId="2701" xr:uid="{A253F5F8-6774-4139-BE1F-B719A63DD749}"/>
    <cellStyle name="20% - Accent1 16" xfId="9" xr:uid="{00000000-0005-0000-0000-000008000000}"/>
    <cellStyle name="20% - Accent1 16 2" xfId="2702" xr:uid="{3E32A75B-5833-4E7E-870E-CBF3E37F33AC}"/>
    <cellStyle name="20% - Accent1 17" xfId="2678" xr:uid="{C91A1FC4-10BB-4CFB-8C31-F89AA816ECA2}"/>
    <cellStyle name="20% - Accent1 2" xfId="10" xr:uid="{00000000-0005-0000-0000-000009000000}"/>
    <cellStyle name="20% - Accent1 2 2" xfId="11" xr:uid="{00000000-0005-0000-0000-00000A000000}"/>
    <cellStyle name="20% - Accent1 2 2 2" xfId="2704" xr:uid="{06CFDCE0-687D-42FC-B03F-6CEDBCCF9741}"/>
    <cellStyle name="20% - Accent1 2 3" xfId="12" xr:uid="{00000000-0005-0000-0000-00000B000000}"/>
    <cellStyle name="20% - Accent1 2 3 2" xfId="2705" xr:uid="{F6C5C2CE-56E2-4236-B412-B03C2390BA09}"/>
    <cellStyle name="20% - Accent1 2 4" xfId="2703" xr:uid="{8704EE56-38D8-450C-8E51-7DCCFCDE52FD}"/>
    <cellStyle name="20% - Accent1 3" xfId="13" xr:uid="{00000000-0005-0000-0000-00000C000000}"/>
    <cellStyle name="20% - Accent1 3 2" xfId="2706" xr:uid="{E80D02E2-F421-4910-93ED-D92A7C262F39}"/>
    <cellStyle name="20% - Accent1 4" xfId="14" xr:uid="{00000000-0005-0000-0000-00000D000000}"/>
    <cellStyle name="20% - Accent1 4 2" xfId="2707" xr:uid="{754FEE1F-3B95-4172-8649-3821A5045DD1}"/>
    <cellStyle name="20% - Accent1 5" xfId="15" xr:uid="{00000000-0005-0000-0000-00000E000000}"/>
    <cellStyle name="20% - Accent1 5 2" xfId="2708" xr:uid="{C00A09FA-DAF4-4EA8-A7B2-62AA7D929ECF}"/>
    <cellStyle name="20% - Accent1 6" xfId="16" xr:uid="{00000000-0005-0000-0000-00000F000000}"/>
    <cellStyle name="20% - Accent1 6 2" xfId="2709" xr:uid="{B4F79715-2336-415A-9FE9-51CBECC14F42}"/>
    <cellStyle name="20% - Accent1 7" xfId="17" xr:uid="{00000000-0005-0000-0000-000010000000}"/>
    <cellStyle name="20% - Accent1 7 2" xfId="2710" xr:uid="{81E1585B-FB8B-4524-84C9-A003EB6FC9C5}"/>
    <cellStyle name="20% - Accent1 8" xfId="18" xr:uid="{00000000-0005-0000-0000-000011000000}"/>
    <cellStyle name="20% - Accent1 8 2" xfId="2711" xr:uid="{71F7277F-A757-407C-BAA0-C2C4131393DF}"/>
    <cellStyle name="20% - Accent1 9" xfId="19" xr:uid="{00000000-0005-0000-0000-000012000000}"/>
    <cellStyle name="20% - Accent1 9 2" xfId="2712" xr:uid="{ACECD717-1495-4F08-AF16-E7EE21882803}"/>
    <cellStyle name="20% - Accent2" xfId="20" builtinId="34" customBuiltin="1"/>
    <cellStyle name="20% - Accent2 10" xfId="21" xr:uid="{00000000-0005-0000-0000-000014000000}"/>
    <cellStyle name="20% - Accent2 10 2" xfId="2713" xr:uid="{B6F5531F-D9CF-458D-A3BA-E407B38E6585}"/>
    <cellStyle name="20% - Accent2 11" xfId="22" xr:uid="{00000000-0005-0000-0000-000015000000}"/>
    <cellStyle name="20% - Accent2 11 2" xfId="2714" xr:uid="{89926114-D23A-47AA-948D-E5DA5D03031C}"/>
    <cellStyle name="20% - Accent2 12" xfId="23" xr:uid="{00000000-0005-0000-0000-000016000000}"/>
    <cellStyle name="20% - Accent2 12 2" xfId="2715" xr:uid="{0C15A4D3-4B7E-4E6B-AF18-7853C8434C15}"/>
    <cellStyle name="20% - Accent2 13" xfId="24" xr:uid="{00000000-0005-0000-0000-000017000000}"/>
    <cellStyle name="20% - Accent2 13 2" xfId="2716" xr:uid="{BAC3DE28-1BFD-4082-80C1-7F0E99AFB9F6}"/>
    <cellStyle name="20% - Accent2 14" xfId="25" xr:uid="{00000000-0005-0000-0000-000018000000}"/>
    <cellStyle name="20% - Accent2 14 2" xfId="2717" xr:uid="{4C57DC1C-9EC6-4630-9CA6-C5973332E574}"/>
    <cellStyle name="20% - Accent2 15" xfId="26" xr:uid="{00000000-0005-0000-0000-000019000000}"/>
    <cellStyle name="20% - Accent2 15 2" xfId="2718" xr:uid="{200E3284-CAFF-407E-BCDE-40AD561DAA64}"/>
    <cellStyle name="20% - Accent2 16" xfId="27" xr:uid="{00000000-0005-0000-0000-00001A000000}"/>
    <cellStyle name="20% - Accent2 16 2" xfId="2719" xr:uid="{7671E513-9156-4325-A8D3-8FF66577CEC0}"/>
    <cellStyle name="20% - Accent2 17" xfId="2679" xr:uid="{68D2D26A-AE29-4195-9CA5-2FB0142B23A9}"/>
    <cellStyle name="20% - Accent2 2" xfId="28" xr:uid="{00000000-0005-0000-0000-00001B000000}"/>
    <cellStyle name="20% - Accent2 2 2" xfId="29" xr:uid="{00000000-0005-0000-0000-00001C000000}"/>
    <cellStyle name="20% - Accent2 2 2 2" xfId="2721" xr:uid="{9D58B37F-98F7-4F44-B35B-AEE3A005FAC0}"/>
    <cellStyle name="20% - Accent2 2 3" xfId="30" xr:uid="{00000000-0005-0000-0000-00001D000000}"/>
    <cellStyle name="20% - Accent2 2 3 2" xfId="2722" xr:uid="{22152B1B-B485-46FE-92E7-5400C9FDEBD8}"/>
    <cellStyle name="20% - Accent2 2 4" xfId="2720" xr:uid="{319BFF46-57BF-45B9-83B9-C2246BB7F78B}"/>
    <cellStyle name="20% - Accent2 3" xfId="31" xr:uid="{00000000-0005-0000-0000-00001E000000}"/>
    <cellStyle name="20% - Accent2 3 2" xfId="2723" xr:uid="{4410F5E0-D403-4E96-AE85-98FD14F0CFF1}"/>
    <cellStyle name="20% - Accent2 4" xfId="32" xr:uid="{00000000-0005-0000-0000-00001F000000}"/>
    <cellStyle name="20% - Accent2 4 2" xfId="2724" xr:uid="{1AE3D35A-9EAB-470F-AE7A-8E1C0903295F}"/>
    <cellStyle name="20% - Accent2 5" xfId="33" xr:uid="{00000000-0005-0000-0000-000020000000}"/>
    <cellStyle name="20% - Accent2 5 2" xfId="2725" xr:uid="{BD2199C5-F007-46CD-A96C-A8FA7DB2F9AB}"/>
    <cellStyle name="20% - Accent2 6" xfId="34" xr:uid="{00000000-0005-0000-0000-000021000000}"/>
    <cellStyle name="20% - Accent2 6 2" xfId="2726" xr:uid="{B4A0FB37-9C17-44DF-98F0-E33827650D49}"/>
    <cellStyle name="20% - Accent2 7" xfId="35" xr:uid="{00000000-0005-0000-0000-000022000000}"/>
    <cellStyle name="20% - Accent2 7 2" xfId="2727" xr:uid="{3668854B-A6CF-426F-9CB2-25E7DDF8AE36}"/>
    <cellStyle name="20% - Accent2 8" xfId="36" xr:uid="{00000000-0005-0000-0000-000023000000}"/>
    <cellStyle name="20% - Accent2 8 2" xfId="2728" xr:uid="{B3289DE8-BA94-4F0F-8C58-ADAE302E4D9A}"/>
    <cellStyle name="20% - Accent2 9" xfId="37" xr:uid="{00000000-0005-0000-0000-000024000000}"/>
    <cellStyle name="20% - Accent2 9 2" xfId="2729" xr:uid="{E138A46E-68CC-4AB3-9D13-75FBD2E5E61F}"/>
    <cellStyle name="20% - Accent3" xfId="38" builtinId="38" customBuiltin="1"/>
    <cellStyle name="20% - Accent3 10" xfId="39" xr:uid="{00000000-0005-0000-0000-000026000000}"/>
    <cellStyle name="20% - Accent3 10 2" xfId="2730" xr:uid="{D9B55FD9-B004-4CD7-A60A-661961D83D83}"/>
    <cellStyle name="20% - Accent3 11" xfId="40" xr:uid="{00000000-0005-0000-0000-000027000000}"/>
    <cellStyle name="20% - Accent3 11 2" xfId="2731" xr:uid="{D1D2BBD7-F4EE-4E4B-87E6-5F3D17430D73}"/>
    <cellStyle name="20% - Accent3 12" xfId="41" xr:uid="{00000000-0005-0000-0000-000028000000}"/>
    <cellStyle name="20% - Accent3 12 2" xfId="2732" xr:uid="{F0F5A612-697A-480C-BC7D-5BAC31760D5D}"/>
    <cellStyle name="20% - Accent3 13" xfId="42" xr:uid="{00000000-0005-0000-0000-000029000000}"/>
    <cellStyle name="20% - Accent3 13 2" xfId="2733" xr:uid="{763DFAA3-8CAA-44A1-8DDB-4A395BA58ACF}"/>
    <cellStyle name="20% - Accent3 14" xfId="43" xr:uid="{00000000-0005-0000-0000-00002A000000}"/>
    <cellStyle name="20% - Accent3 14 2" xfId="2734" xr:uid="{CD4EB0CF-B721-4319-A736-F23812B2DBB3}"/>
    <cellStyle name="20% - Accent3 15" xfId="44" xr:uid="{00000000-0005-0000-0000-00002B000000}"/>
    <cellStyle name="20% - Accent3 15 2" xfId="2735" xr:uid="{99694249-5190-4EBF-8D53-E841413F87D2}"/>
    <cellStyle name="20% - Accent3 16" xfId="45" xr:uid="{00000000-0005-0000-0000-00002C000000}"/>
    <cellStyle name="20% - Accent3 16 2" xfId="2736" xr:uid="{97CE5E48-EF80-4775-9622-7863088E137E}"/>
    <cellStyle name="20% - Accent3 17" xfId="2680" xr:uid="{0C473804-9DDE-4339-9DE1-8FCA9BD73C39}"/>
    <cellStyle name="20% - Accent3 2" xfId="46" xr:uid="{00000000-0005-0000-0000-00002D000000}"/>
    <cellStyle name="20% - Accent3 2 2" xfId="47" xr:uid="{00000000-0005-0000-0000-00002E000000}"/>
    <cellStyle name="20% - Accent3 2 2 2" xfId="2738" xr:uid="{A8BAA145-407A-4AFF-9987-072E640A9A60}"/>
    <cellStyle name="20% - Accent3 2 3" xfId="48" xr:uid="{00000000-0005-0000-0000-00002F000000}"/>
    <cellStyle name="20% - Accent3 2 3 2" xfId="2739" xr:uid="{417392CA-6171-43D4-9FB6-C38C479524E6}"/>
    <cellStyle name="20% - Accent3 2 4" xfId="2737" xr:uid="{E1D38E46-35A2-4ECA-9F87-A1B52CC41314}"/>
    <cellStyle name="20% - Accent3 3" xfId="49" xr:uid="{00000000-0005-0000-0000-000030000000}"/>
    <cellStyle name="20% - Accent3 3 2" xfId="2740" xr:uid="{F4CDFD8E-7407-4149-B1F4-33DEE7552A6B}"/>
    <cellStyle name="20% - Accent3 4" xfId="50" xr:uid="{00000000-0005-0000-0000-000031000000}"/>
    <cellStyle name="20% - Accent3 4 2" xfId="2741" xr:uid="{E875CE91-617F-4487-86F8-64F36850755F}"/>
    <cellStyle name="20% - Accent3 5" xfId="51" xr:uid="{00000000-0005-0000-0000-000032000000}"/>
    <cellStyle name="20% - Accent3 5 2" xfId="2742" xr:uid="{FB4A3817-2224-456A-88F6-00A4B75EAF79}"/>
    <cellStyle name="20% - Accent3 6" xfId="52" xr:uid="{00000000-0005-0000-0000-000033000000}"/>
    <cellStyle name="20% - Accent3 6 2" xfId="2743" xr:uid="{12C7F5A2-8C67-4AC5-A932-8DF8EAC06697}"/>
    <cellStyle name="20% - Accent3 7" xfId="53" xr:uid="{00000000-0005-0000-0000-000034000000}"/>
    <cellStyle name="20% - Accent3 7 2" xfId="2744" xr:uid="{D09CEC61-AFE2-425B-A338-5C6492035D4B}"/>
    <cellStyle name="20% - Accent3 8" xfId="54" xr:uid="{00000000-0005-0000-0000-000035000000}"/>
    <cellStyle name="20% - Accent3 8 2" xfId="2745" xr:uid="{B540DCBF-4F35-445C-85B4-43325FF0DC8F}"/>
    <cellStyle name="20% - Accent3 9" xfId="55" xr:uid="{00000000-0005-0000-0000-000036000000}"/>
    <cellStyle name="20% - Accent3 9 2" xfId="2746" xr:uid="{DC50FE81-1D34-4419-9BF6-1C94CE93EA37}"/>
    <cellStyle name="20% - Accent4" xfId="56" builtinId="42" customBuiltin="1"/>
    <cellStyle name="20% - Accent4 10" xfId="57" xr:uid="{00000000-0005-0000-0000-000038000000}"/>
    <cellStyle name="20% - Accent4 10 2" xfId="2747" xr:uid="{6F80F3E3-E725-4212-A813-553D603323AF}"/>
    <cellStyle name="20% - Accent4 11" xfId="58" xr:uid="{00000000-0005-0000-0000-000039000000}"/>
    <cellStyle name="20% - Accent4 11 2" xfId="2748" xr:uid="{040E4D6A-E362-4CAB-9ACA-349B3C757897}"/>
    <cellStyle name="20% - Accent4 12" xfId="59" xr:uid="{00000000-0005-0000-0000-00003A000000}"/>
    <cellStyle name="20% - Accent4 12 2" xfId="2749" xr:uid="{EE350F45-93E4-4672-987E-4035554EF049}"/>
    <cellStyle name="20% - Accent4 13" xfId="60" xr:uid="{00000000-0005-0000-0000-00003B000000}"/>
    <cellStyle name="20% - Accent4 13 2" xfId="2750" xr:uid="{43AA57A7-5DDC-45BB-A26A-1FAD39EBDDD1}"/>
    <cellStyle name="20% - Accent4 14" xfId="61" xr:uid="{00000000-0005-0000-0000-00003C000000}"/>
    <cellStyle name="20% - Accent4 14 2" xfId="2751" xr:uid="{121BC4B6-8427-491E-917E-9FF7ACC73514}"/>
    <cellStyle name="20% - Accent4 15" xfId="62" xr:uid="{00000000-0005-0000-0000-00003D000000}"/>
    <cellStyle name="20% - Accent4 15 2" xfId="2752" xr:uid="{FD9AD110-D4D2-4205-9013-DFC1F9B57321}"/>
    <cellStyle name="20% - Accent4 16" xfId="63" xr:uid="{00000000-0005-0000-0000-00003E000000}"/>
    <cellStyle name="20% - Accent4 16 2" xfId="2753" xr:uid="{4B2D426B-EAAF-43FE-9F1A-6AD442DD3EF3}"/>
    <cellStyle name="20% - Accent4 17" xfId="2681" xr:uid="{434CD574-5488-426B-8201-1919B56F0FCD}"/>
    <cellStyle name="20% - Accent4 2" xfId="64" xr:uid="{00000000-0005-0000-0000-00003F000000}"/>
    <cellStyle name="20% - Accent4 2 2" xfId="65" xr:uid="{00000000-0005-0000-0000-000040000000}"/>
    <cellStyle name="20% - Accent4 2 2 2" xfId="2755" xr:uid="{752993E4-72B1-4562-9B6C-662E8CE438AC}"/>
    <cellStyle name="20% - Accent4 2 3" xfId="66" xr:uid="{00000000-0005-0000-0000-000041000000}"/>
    <cellStyle name="20% - Accent4 2 3 2" xfId="2756" xr:uid="{113B862A-F9DF-43B4-B65E-356D959F648B}"/>
    <cellStyle name="20% - Accent4 2 4" xfId="2754" xr:uid="{AB04E1DB-29FF-4A61-A3D4-9BBD3696E871}"/>
    <cellStyle name="20% - Accent4 3" xfId="67" xr:uid="{00000000-0005-0000-0000-000042000000}"/>
    <cellStyle name="20% - Accent4 3 2" xfId="2757" xr:uid="{9E58ADFE-E359-4F2C-B4E1-D39ADB3C4C81}"/>
    <cellStyle name="20% - Accent4 4" xfId="68" xr:uid="{00000000-0005-0000-0000-000043000000}"/>
    <cellStyle name="20% - Accent4 4 2" xfId="2758" xr:uid="{92281B92-E243-47FB-94F6-68996B264A17}"/>
    <cellStyle name="20% - Accent4 5" xfId="69" xr:uid="{00000000-0005-0000-0000-000044000000}"/>
    <cellStyle name="20% - Accent4 5 2" xfId="2759" xr:uid="{51F3F664-ADBA-4DBD-9A6E-03860F34D5AC}"/>
    <cellStyle name="20% - Accent4 6" xfId="70" xr:uid="{00000000-0005-0000-0000-000045000000}"/>
    <cellStyle name="20% - Accent4 6 2" xfId="2760" xr:uid="{B8AFF458-15DC-4E7F-9E93-1548217FFDE8}"/>
    <cellStyle name="20% - Accent4 7" xfId="71" xr:uid="{00000000-0005-0000-0000-000046000000}"/>
    <cellStyle name="20% - Accent4 7 2" xfId="2761" xr:uid="{88F29643-486B-4625-A6AE-B30F5C11F43E}"/>
    <cellStyle name="20% - Accent4 8" xfId="72" xr:uid="{00000000-0005-0000-0000-000047000000}"/>
    <cellStyle name="20% - Accent4 8 2" xfId="2762" xr:uid="{13F78C70-F4E5-4D95-B32F-6C71D07E9161}"/>
    <cellStyle name="20% - Accent4 9" xfId="73" xr:uid="{00000000-0005-0000-0000-000048000000}"/>
    <cellStyle name="20% - Accent4 9 2" xfId="2763" xr:uid="{BC0C8E84-8D55-4335-9450-2219B9FB1A59}"/>
    <cellStyle name="20% - Accent5" xfId="74" builtinId="46" customBuiltin="1"/>
    <cellStyle name="20% - Accent5 10" xfId="75" xr:uid="{00000000-0005-0000-0000-00004A000000}"/>
    <cellStyle name="20% - Accent5 10 2" xfId="2764" xr:uid="{DC9AB620-B5A3-43EF-8F91-E1C2EFF4C7C2}"/>
    <cellStyle name="20% - Accent5 11" xfId="76" xr:uid="{00000000-0005-0000-0000-00004B000000}"/>
    <cellStyle name="20% - Accent5 11 2" xfId="2765" xr:uid="{7C704FA4-CDEC-425F-B759-EC03BC041F56}"/>
    <cellStyle name="20% - Accent5 12" xfId="77" xr:uid="{00000000-0005-0000-0000-00004C000000}"/>
    <cellStyle name="20% - Accent5 12 2" xfId="2766" xr:uid="{FD0C4E2E-F7B2-4202-ACE0-FF5DD13E08C5}"/>
    <cellStyle name="20% - Accent5 13" xfId="78" xr:uid="{00000000-0005-0000-0000-00004D000000}"/>
    <cellStyle name="20% - Accent5 13 2" xfId="2767" xr:uid="{A26AB01F-D703-4283-9053-FFFC057B0422}"/>
    <cellStyle name="20% - Accent5 14" xfId="79" xr:uid="{00000000-0005-0000-0000-00004E000000}"/>
    <cellStyle name="20% - Accent5 14 2" xfId="2768" xr:uid="{3F15F475-E07E-41E9-86B9-5B25345BDAE2}"/>
    <cellStyle name="20% - Accent5 15" xfId="80" xr:uid="{00000000-0005-0000-0000-00004F000000}"/>
    <cellStyle name="20% - Accent5 15 2" xfId="2769" xr:uid="{FBAB8A4C-0587-4D45-891D-EF2E1A609264}"/>
    <cellStyle name="20% - Accent5 16" xfId="81" xr:uid="{00000000-0005-0000-0000-000050000000}"/>
    <cellStyle name="20% - Accent5 16 2" xfId="2770" xr:uid="{3C560599-936A-43BF-9C98-4D07CC9D1947}"/>
    <cellStyle name="20% - Accent5 17" xfId="2682" xr:uid="{1ABC55B5-799F-4DF1-B35E-8B0FDDBACF4F}"/>
    <cellStyle name="20% - Accent5 2" xfId="82" xr:uid="{00000000-0005-0000-0000-000051000000}"/>
    <cellStyle name="20% - Accent5 2 2" xfId="83" xr:uid="{00000000-0005-0000-0000-000052000000}"/>
    <cellStyle name="20% - Accent5 2 2 2" xfId="2772" xr:uid="{501A5E1E-705E-4172-968D-3FAC61ADA330}"/>
    <cellStyle name="20% - Accent5 2 3" xfId="84" xr:uid="{00000000-0005-0000-0000-000053000000}"/>
    <cellStyle name="20% - Accent5 2 3 2" xfId="2773" xr:uid="{C1440940-FD40-4043-912A-6CD44007E377}"/>
    <cellStyle name="20% - Accent5 2 4" xfId="2771" xr:uid="{1F6122DD-1461-4981-BC3B-AF8265752CF0}"/>
    <cellStyle name="20% - Accent5 3" xfId="85" xr:uid="{00000000-0005-0000-0000-000054000000}"/>
    <cellStyle name="20% - Accent5 3 2" xfId="2774" xr:uid="{92F73980-6BBD-4189-9E05-D3E0F2801CD9}"/>
    <cellStyle name="20% - Accent5 4" xfId="86" xr:uid="{00000000-0005-0000-0000-000055000000}"/>
    <cellStyle name="20% - Accent5 4 2" xfId="2775" xr:uid="{ACAC11BC-9DEA-499A-86B9-4706029A3DF1}"/>
    <cellStyle name="20% - Accent5 5" xfId="87" xr:uid="{00000000-0005-0000-0000-000056000000}"/>
    <cellStyle name="20% - Accent5 5 2" xfId="2776" xr:uid="{5C8F8AD6-2ABC-4720-8B33-06A543CB6EAB}"/>
    <cellStyle name="20% - Accent5 6" xfId="88" xr:uid="{00000000-0005-0000-0000-000057000000}"/>
    <cellStyle name="20% - Accent5 6 2" xfId="2777" xr:uid="{F7FEB536-8AB0-4F7B-B015-72579D130A58}"/>
    <cellStyle name="20% - Accent5 7" xfId="89" xr:uid="{00000000-0005-0000-0000-000058000000}"/>
    <cellStyle name="20% - Accent5 7 2" xfId="2778" xr:uid="{21FA3AF4-3DCE-42F9-8322-2F9316248F22}"/>
    <cellStyle name="20% - Accent5 8" xfId="90" xr:uid="{00000000-0005-0000-0000-000059000000}"/>
    <cellStyle name="20% - Accent5 8 2" xfId="2779" xr:uid="{C158AC3F-ED8A-4338-A41D-AD242918BB6D}"/>
    <cellStyle name="20% - Accent5 9" xfId="91" xr:uid="{00000000-0005-0000-0000-00005A000000}"/>
    <cellStyle name="20% - Accent5 9 2" xfId="2780" xr:uid="{ECE67411-97CA-4666-83BD-A3C9C21CA556}"/>
    <cellStyle name="20% - Accent6" xfId="92" builtinId="50" customBuiltin="1"/>
    <cellStyle name="20% - Accent6 10" xfId="93" xr:uid="{00000000-0005-0000-0000-00005C000000}"/>
    <cellStyle name="20% - Accent6 10 2" xfId="2781" xr:uid="{6F79408C-4E8A-419C-A514-281CDC956980}"/>
    <cellStyle name="20% - Accent6 11" xfId="94" xr:uid="{00000000-0005-0000-0000-00005D000000}"/>
    <cellStyle name="20% - Accent6 11 2" xfId="2782" xr:uid="{D4AFE600-11B3-4129-A56A-9E14523C14DA}"/>
    <cellStyle name="20% - Accent6 12" xfId="95" xr:uid="{00000000-0005-0000-0000-00005E000000}"/>
    <cellStyle name="20% - Accent6 12 2" xfId="2783" xr:uid="{0034AC66-2896-4A18-A577-5A0C8161F911}"/>
    <cellStyle name="20% - Accent6 13" xfId="96" xr:uid="{00000000-0005-0000-0000-00005F000000}"/>
    <cellStyle name="20% - Accent6 13 2" xfId="2784" xr:uid="{D398D48B-2A89-45CA-A308-023D8E439C1E}"/>
    <cellStyle name="20% - Accent6 14" xfId="97" xr:uid="{00000000-0005-0000-0000-000060000000}"/>
    <cellStyle name="20% - Accent6 14 2" xfId="2785" xr:uid="{2E8BAE7C-7C75-4CC2-9CF6-10A55F4602A4}"/>
    <cellStyle name="20% - Accent6 15" xfId="98" xr:uid="{00000000-0005-0000-0000-000061000000}"/>
    <cellStyle name="20% - Accent6 15 2" xfId="2786" xr:uid="{1C534CD6-0668-4F98-B0CD-2DC76898C3B6}"/>
    <cellStyle name="20% - Accent6 16" xfId="99" xr:uid="{00000000-0005-0000-0000-000062000000}"/>
    <cellStyle name="20% - Accent6 16 2" xfId="2787" xr:uid="{C4FE6E83-DEE7-4F35-96B7-30CBE8B66D44}"/>
    <cellStyle name="20% - Accent6 17" xfId="2683" xr:uid="{E4C6B375-27DA-4D54-AAFF-6FA1DAA60209}"/>
    <cellStyle name="20% - Accent6 2" xfId="100" xr:uid="{00000000-0005-0000-0000-000063000000}"/>
    <cellStyle name="20% - Accent6 2 2" xfId="101" xr:uid="{00000000-0005-0000-0000-000064000000}"/>
    <cellStyle name="20% - Accent6 2 2 2" xfId="2789" xr:uid="{21F6738F-A41F-41BB-BFA3-91850ED75EF3}"/>
    <cellStyle name="20% - Accent6 2 3" xfId="102" xr:uid="{00000000-0005-0000-0000-000065000000}"/>
    <cellStyle name="20% - Accent6 2 3 2" xfId="2790" xr:uid="{78480BA5-E4EF-4E1A-9EB8-4C0B811990A8}"/>
    <cellStyle name="20% - Accent6 2 4" xfId="2788" xr:uid="{8509D3BD-A705-4988-891B-CEBC509E9CC4}"/>
    <cellStyle name="20% - Accent6 3" xfId="103" xr:uid="{00000000-0005-0000-0000-000066000000}"/>
    <cellStyle name="20% - Accent6 3 2" xfId="2791" xr:uid="{F18562B9-C4A5-4A96-B67C-77E27C05E3D5}"/>
    <cellStyle name="20% - Accent6 4" xfId="104" xr:uid="{00000000-0005-0000-0000-000067000000}"/>
    <cellStyle name="20% - Accent6 4 2" xfId="2792" xr:uid="{E68AE380-4F06-4DEB-8986-8AF70476AFC8}"/>
    <cellStyle name="20% - Accent6 5" xfId="105" xr:uid="{00000000-0005-0000-0000-000068000000}"/>
    <cellStyle name="20% - Accent6 5 2" xfId="2793" xr:uid="{560AAD72-C5B0-4E2C-9B22-D99FCCD32D9A}"/>
    <cellStyle name="20% - Accent6 6" xfId="106" xr:uid="{00000000-0005-0000-0000-000069000000}"/>
    <cellStyle name="20% - Accent6 6 2" xfId="2794" xr:uid="{D5B02F2C-9606-4BA5-854F-699A71D1C6BA}"/>
    <cellStyle name="20% - Accent6 7" xfId="107" xr:uid="{00000000-0005-0000-0000-00006A000000}"/>
    <cellStyle name="20% - Accent6 7 2" xfId="2795" xr:uid="{DD6C0FA7-3DAF-4F6E-8F55-7E2770E864A6}"/>
    <cellStyle name="20% - Accent6 8" xfId="108" xr:uid="{00000000-0005-0000-0000-00006B000000}"/>
    <cellStyle name="20% - Accent6 8 2" xfId="2796" xr:uid="{17B9E444-DB62-437B-BD16-4A263E92AAD3}"/>
    <cellStyle name="20% - Accent6 9" xfId="109" xr:uid="{00000000-0005-0000-0000-00006C000000}"/>
    <cellStyle name="20% - Accent6 9 2" xfId="2797" xr:uid="{63ED6DA1-BBA8-436D-82BA-AF4E038DD29F}"/>
    <cellStyle name="40% - Accent1" xfId="110" builtinId="31" customBuiltin="1"/>
    <cellStyle name="40% - Accent1 10" xfId="111" xr:uid="{00000000-0005-0000-0000-00006E000000}"/>
    <cellStyle name="40% - Accent1 10 2" xfId="2798" xr:uid="{59C762D4-BB69-4383-A9B2-542EF530932A}"/>
    <cellStyle name="40% - Accent1 11" xfId="112" xr:uid="{00000000-0005-0000-0000-00006F000000}"/>
    <cellStyle name="40% - Accent1 11 2" xfId="2799" xr:uid="{49F83DFD-CDC8-4433-A38F-29D49A2F4F24}"/>
    <cellStyle name="40% - Accent1 12" xfId="113" xr:uid="{00000000-0005-0000-0000-000070000000}"/>
    <cellStyle name="40% - Accent1 12 2" xfId="2800" xr:uid="{7C320D9A-8CEC-48E1-B4C0-6DBB7F790F03}"/>
    <cellStyle name="40% - Accent1 13" xfId="114" xr:uid="{00000000-0005-0000-0000-000071000000}"/>
    <cellStyle name="40% - Accent1 13 2" xfId="2801" xr:uid="{3A373500-6145-4CC7-B0A2-FEEA05153F4F}"/>
    <cellStyle name="40% - Accent1 14" xfId="115" xr:uid="{00000000-0005-0000-0000-000072000000}"/>
    <cellStyle name="40% - Accent1 14 2" xfId="2802" xr:uid="{1A6B0C22-6100-48FE-8DAC-00DD6148A7D9}"/>
    <cellStyle name="40% - Accent1 15" xfId="116" xr:uid="{00000000-0005-0000-0000-000073000000}"/>
    <cellStyle name="40% - Accent1 15 2" xfId="2803" xr:uid="{CC1C2400-5AC5-47DD-B4E6-2CF2F4F899C1}"/>
    <cellStyle name="40% - Accent1 16" xfId="117" xr:uid="{00000000-0005-0000-0000-000074000000}"/>
    <cellStyle name="40% - Accent1 16 2" xfId="2804" xr:uid="{8684C736-A2D1-4B86-800F-F15742610B9B}"/>
    <cellStyle name="40% - Accent1 17" xfId="2684" xr:uid="{AC25A0AC-F4DB-40E5-A941-F0CFF3C01CC8}"/>
    <cellStyle name="40% - Accent1 2" xfId="118" xr:uid="{00000000-0005-0000-0000-000075000000}"/>
    <cellStyle name="40% - Accent1 2 2" xfId="119" xr:uid="{00000000-0005-0000-0000-000076000000}"/>
    <cellStyle name="40% - Accent1 2 2 2" xfId="2806" xr:uid="{B35A92DD-BCA1-4470-AA6D-4BA1AF8474AF}"/>
    <cellStyle name="40% - Accent1 2 3" xfId="120" xr:uid="{00000000-0005-0000-0000-000077000000}"/>
    <cellStyle name="40% - Accent1 2 3 2" xfId="2807" xr:uid="{F60B943F-877F-43B5-81F1-6617DFFEF5FB}"/>
    <cellStyle name="40% - Accent1 2 4" xfId="2805" xr:uid="{3B6716A8-3179-476E-A604-6C9B4CA401E1}"/>
    <cellStyle name="40% - Accent1 3" xfId="121" xr:uid="{00000000-0005-0000-0000-000078000000}"/>
    <cellStyle name="40% - Accent1 3 2" xfId="2808" xr:uid="{2DE46A2A-CB23-46B8-A58F-7473444CA138}"/>
    <cellStyle name="40% - Accent1 4" xfId="122" xr:uid="{00000000-0005-0000-0000-000079000000}"/>
    <cellStyle name="40% - Accent1 4 2" xfId="2809" xr:uid="{90FAD2A5-DFAE-475D-BB04-FB32B0EF80BC}"/>
    <cellStyle name="40% - Accent1 5" xfId="123" xr:uid="{00000000-0005-0000-0000-00007A000000}"/>
    <cellStyle name="40% - Accent1 5 2" xfId="2810" xr:uid="{8DE74C32-2A71-4906-8CF9-212820FBCC5F}"/>
    <cellStyle name="40% - Accent1 6" xfId="124" xr:uid="{00000000-0005-0000-0000-00007B000000}"/>
    <cellStyle name="40% - Accent1 6 2" xfId="2811" xr:uid="{9807F7D9-2759-49FA-889E-BD0EB1E91CCE}"/>
    <cellStyle name="40% - Accent1 7" xfId="125" xr:uid="{00000000-0005-0000-0000-00007C000000}"/>
    <cellStyle name="40% - Accent1 7 2" xfId="2812" xr:uid="{98C0A542-679F-4265-8221-7ECA2C6F4580}"/>
    <cellStyle name="40% - Accent1 8" xfId="126" xr:uid="{00000000-0005-0000-0000-00007D000000}"/>
    <cellStyle name="40% - Accent1 8 2" xfId="2813" xr:uid="{8A9F2022-E1F7-472B-866E-B5FF0C2C0647}"/>
    <cellStyle name="40% - Accent1 9" xfId="127" xr:uid="{00000000-0005-0000-0000-00007E000000}"/>
    <cellStyle name="40% - Accent1 9 2" xfId="2814" xr:uid="{242E3C48-8CF1-4BAD-B90B-DE6296CB1EAE}"/>
    <cellStyle name="40% - Accent2" xfId="128" builtinId="35" customBuiltin="1"/>
    <cellStyle name="40% - Accent2 10" xfId="129" xr:uid="{00000000-0005-0000-0000-000080000000}"/>
    <cellStyle name="40% - Accent2 10 2" xfId="2815" xr:uid="{4D4B8416-9182-4D1E-B8F5-621FF4526389}"/>
    <cellStyle name="40% - Accent2 11" xfId="130" xr:uid="{00000000-0005-0000-0000-000081000000}"/>
    <cellStyle name="40% - Accent2 11 2" xfId="2816" xr:uid="{7D3F35FB-5051-4773-A910-999F5F4B5E8B}"/>
    <cellStyle name="40% - Accent2 12" xfId="131" xr:uid="{00000000-0005-0000-0000-000082000000}"/>
    <cellStyle name="40% - Accent2 12 2" xfId="2817" xr:uid="{068694E8-828C-4805-8A45-B5A39DDEAF01}"/>
    <cellStyle name="40% - Accent2 13" xfId="132" xr:uid="{00000000-0005-0000-0000-000083000000}"/>
    <cellStyle name="40% - Accent2 13 2" xfId="2818" xr:uid="{D5178B3E-9EFA-4764-A976-A36B2479451F}"/>
    <cellStyle name="40% - Accent2 14" xfId="133" xr:uid="{00000000-0005-0000-0000-000084000000}"/>
    <cellStyle name="40% - Accent2 14 2" xfId="2819" xr:uid="{AD72EAF8-5FAB-45EC-81A6-E4F2391A6C97}"/>
    <cellStyle name="40% - Accent2 15" xfId="134" xr:uid="{00000000-0005-0000-0000-000085000000}"/>
    <cellStyle name="40% - Accent2 15 2" xfId="2820" xr:uid="{08996CF2-6B4F-4D34-BC3C-F9B44585FCC0}"/>
    <cellStyle name="40% - Accent2 16" xfId="135" xr:uid="{00000000-0005-0000-0000-000086000000}"/>
    <cellStyle name="40% - Accent2 16 2" xfId="2821" xr:uid="{D8A28FF3-1226-46D4-AC7D-0F0DECB99630}"/>
    <cellStyle name="40% - Accent2 17" xfId="2685" xr:uid="{E9365010-C619-4D45-9FE0-C6E71AB70506}"/>
    <cellStyle name="40% - Accent2 2" xfId="136" xr:uid="{00000000-0005-0000-0000-000087000000}"/>
    <cellStyle name="40% - Accent2 2 2" xfId="137" xr:uid="{00000000-0005-0000-0000-000088000000}"/>
    <cellStyle name="40% - Accent2 2 2 2" xfId="2823" xr:uid="{2D2FD16A-52ED-4BCB-8358-4917CA8E2A75}"/>
    <cellStyle name="40% - Accent2 2 3" xfId="138" xr:uid="{00000000-0005-0000-0000-000089000000}"/>
    <cellStyle name="40% - Accent2 2 3 2" xfId="2824" xr:uid="{6234A67B-F283-4B2C-941D-8E2CB15252C8}"/>
    <cellStyle name="40% - Accent2 2 4" xfId="2822" xr:uid="{A4213BDB-5619-49F7-BC0C-038D8D734E45}"/>
    <cellStyle name="40% - Accent2 3" xfId="139" xr:uid="{00000000-0005-0000-0000-00008A000000}"/>
    <cellStyle name="40% - Accent2 3 2" xfId="2825" xr:uid="{C68204D8-64A6-41DA-A8EC-75695ED23A11}"/>
    <cellStyle name="40% - Accent2 4" xfId="140" xr:uid="{00000000-0005-0000-0000-00008B000000}"/>
    <cellStyle name="40% - Accent2 4 2" xfId="2826" xr:uid="{19AE2872-3E79-4197-AA59-58F1489AC785}"/>
    <cellStyle name="40% - Accent2 5" xfId="141" xr:uid="{00000000-0005-0000-0000-00008C000000}"/>
    <cellStyle name="40% - Accent2 5 2" xfId="2827" xr:uid="{5FC12F99-A4B5-42AA-A8F4-05024CB39A5E}"/>
    <cellStyle name="40% - Accent2 6" xfId="142" xr:uid="{00000000-0005-0000-0000-00008D000000}"/>
    <cellStyle name="40% - Accent2 6 2" xfId="2828" xr:uid="{5DB4528E-FD26-462F-AC14-71DAE87DCB69}"/>
    <cellStyle name="40% - Accent2 7" xfId="143" xr:uid="{00000000-0005-0000-0000-00008E000000}"/>
    <cellStyle name="40% - Accent2 7 2" xfId="2829" xr:uid="{98C4639A-EB35-4607-B6DE-6197D7AD7CEE}"/>
    <cellStyle name="40% - Accent2 8" xfId="144" xr:uid="{00000000-0005-0000-0000-00008F000000}"/>
    <cellStyle name="40% - Accent2 8 2" xfId="2830" xr:uid="{F3481079-80BD-4DBD-9CCD-2EC66FDD64FF}"/>
    <cellStyle name="40% - Accent2 9" xfId="145" xr:uid="{00000000-0005-0000-0000-000090000000}"/>
    <cellStyle name="40% - Accent2 9 2" xfId="2831" xr:uid="{8616FFAD-17DF-4CC6-9B4A-5608E41A5B76}"/>
    <cellStyle name="40% - Accent3" xfId="146" builtinId="39" customBuiltin="1"/>
    <cellStyle name="40% - Accent3 10" xfId="147" xr:uid="{00000000-0005-0000-0000-000092000000}"/>
    <cellStyle name="40% - Accent3 10 2" xfId="2832" xr:uid="{45C70123-EDDB-4993-9764-0813FF3DDEA1}"/>
    <cellStyle name="40% - Accent3 11" xfId="148" xr:uid="{00000000-0005-0000-0000-000093000000}"/>
    <cellStyle name="40% - Accent3 11 2" xfId="2833" xr:uid="{DB822104-74CD-41CC-AFAC-47E8CC541E4A}"/>
    <cellStyle name="40% - Accent3 12" xfId="149" xr:uid="{00000000-0005-0000-0000-000094000000}"/>
    <cellStyle name="40% - Accent3 12 2" xfId="2834" xr:uid="{DFE5A317-AC16-46BD-8919-818B005FD01D}"/>
    <cellStyle name="40% - Accent3 13" xfId="150" xr:uid="{00000000-0005-0000-0000-000095000000}"/>
    <cellStyle name="40% - Accent3 13 2" xfId="2835" xr:uid="{C8746310-B0C1-4C27-9944-E76ECABFE7EE}"/>
    <cellStyle name="40% - Accent3 14" xfId="151" xr:uid="{00000000-0005-0000-0000-000096000000}"/>
    <cellStyle name="40% - Accent3 14 2" xfId="2836" xr:uid="{DF6A5C2A-3091-4698-9593-4B1E25D23A2F}"/>
    <cellStyle name="40% - Accent3 15" xfId="152" xr:uid="{00000000-0005-0000-0000-000097000000}"/>
    <cellStyle name="40% - Accent3 15 2" xfId="2837" xr:uid="{87DAE5BF-7956-4CA9-9ED9-7F6A655FEB45}"/>
    <cellStyle name="40% - Accent3 16" xfId="153" xr:uid="{00000000-0005-0000-0000-000098000000}"/>
    <cellStyle name="40% - Accent3 16 2" xfId="2838" xr:uid="{276E79DA-DAEE-45E0-A00A-3890B64315F2}"/>
    <cellStyle name="40% - Accent3 17" xfId="2686" xr:uid="{AFD35770-A99D-46A6-A61C-6182EC1E7456}"/>
    <cellStyle name="40% - Accent3 2" xfId="154" xr:uid="{00000000-0005-0000-0000-000099000000}"/>
    <cellStyle name="40% - Accent3 2 2" xfId="155" xr:uid="{00000000-0005-0000-0000-00009A000000}"/>
    <cellStyle name="40% - Accent3 2 2 2" xfId="2840" xr:uid="{F1A99AFE-EC6B-4AA8-948C-94A5DEE085EA}"/>
    <cellStyle name="40% - Accent3 2 3" xfId="156" xr:uid="{00000000-0005-0000-0000-00009B000000}"/>
    <cellStyle name="40% - Accent3 2 3 2" xfId="2841" xr:uid="{5C91ACA6-F9F9-4678-BFEC-51326CEF2A6E}"/>
    <cellStyle name="40% - Accent3 2 4" xfId="2839" xr:uid="{596A5290-9B67-43AA-A7F5-21F44D569383}"/>
    <cellStyle name="40% - Accent3 3" xfId="157" xr:uid="{00000000-0005-0000-0000-00009C000000}"/>
    <cellStyle name="40% - Accent3 3 2" xfId="2842" xr:uid="{C7B4BE71-8575-4AD4-913F-20DB6F4AEAAF}"/>
    <cellStyle name="40% - Accent3 4" xfId="158" xr:uid="{00000000-0005-0000-0000-00009D000000}"/>
    <cellStyle name="40% - Accent3 4 2" xfId="2843" xr:uid="{1F2AA788-B2DB-46EB-B3B5-7FD5C32C4692}"/>
    <cellStyle name="40% - Accent3 5" xfId="159" xr:uid="{00000000-0005-0000-0000-00009E000000}"/>
    <cellStyle name="40% - Accent3 5 2" xfId="2844" xr:uid="{40E16755-5B1B-4762-BED9-2832BFA784EA}"/>
    <cellStyle name="40% - Accent3 6" xfId="160" xr:uid="{00000000-0005-0000-0000-00009F000000}"/>
    <cellStyle name="40% - Accent3 6 2" xfId="2845" xr:uid="{EFDCD79E-97C7-4FA8-8652-9190E19098BB}"/>
    <cellStyle name="40% - Accent3 7" xfId="161" xr:uid="{00000000-0005-0000-0000-0000A0000000}"/>
    <cellStyle name="40% - Accent3 7 2" xfId="2846" xr:uid="{D39843AB-C716-471C-811E-59F83073225F}"/>
    <cellStyle name="40% - Accent3 8" xfId="162" xr:uid="{00000000-0005-0000-0000-0000A1000000}"/>
    <cellStyle name="40% - Accent3 8 2" xfId="2847" xr:uid="{CEBC2CBA-40E7-49DF-B3DA-0EC961B8B11C}"/>
    <cellStyle name="40% - Accent3 9" xfId="163" xr:uid="{00000000-0005-0000-0000-0000A2000000}"/>
    <cellStyle name="40% - Accent3 9 2" xfId="2848" xr:uid="{B5894B17-A8FC-4ACD-A76E-017A0B81280C}"/>
    <cellStyle name="40% - Accent4" xfId="164" builtinId="43" customBuiltin="1"/>
    <cellStyle name="40% - Accent4 10" xfId="165" xr:uid="{00000000-0005-0000-0000-0000A4000000}"/>
    <cellStyle name="40% - Accent4 10 2" xfId="2849" xr:uid="{89D65B50-9A8F-4B6E-ADFC-AB061CE71716}"/>
    <cellStyle name="40% - Accent4 11" xfId="166" xr:uid="{00000000-0005-0000-0000-0000A5000000}"/>
    <cellStyle name="40% - Accent4 11 2" xfId="2850" xr:uid="{B06CEAE1-6F5E-466E-B64C-A1783BDADCEA}"/>
    <cellStyle name="40% - Accent4 12" xfId="167" xr:uid="{00000000-0005-0000-0000-0000A6000000}"/>
    <cellStyle name="40% - Accent4 12 2" xfId="2851" xr:uid="{2261C955-C61A-4538-B893-22E47969A478}"/>
    <cellStyle name="40% - Accent4 13" xfId="168" xr:uid="{00000000-0005-0000-0000-0000A7000000}"/>
    <cellStyle name="40% - Accent4 13 2" xfId="2852" xr:uid="{492AE7AC-BBAF-4568-9F65-FD8520FB184B}"/>
    <cellStyle name="40% - Accent4 14" xfId="169" xr:uid="{00000000-0005-0000-0000-0000A8000000}"/>
    <cellStyle name="40% - Accent4 14 2" xfId="2853" xr:uid="{E32C3404-CAE3-4623-B2E2-BE664CB7A7D6}"/>
    <cellStyle name="40% - Accent4 15" xfId="170" xr:uid="{00000000-0005-0000-0000-0000A9000000}"/>
    <cellStyle name="40% - Accent4 15 2" xfId="2854" xr:uid="{8C36B349-D8B2-415B-A2D0-8E5E9E959718}"/>
    <cellStyle name="40% - Accent4 16" xfId="171" xr:uid="{00000000-0005-0000-0000-0000AA000000}"/>
    <cellStyle name="40% - Accent4 16 2" xfId="2855" xr:uid="{3CCBFF52-FBB3-4208-A4FF-AB94FAE7DBF7}"/>
    <cellStyle name="40% - Accent4 17" xfId="2687" xr:uid="{E8ABF0E5-0410-459C-A32B-D5F8BE566310}"/>
    <cellStyle name="40% - Accent4 2" xfId="172" xr:uid="{00000000-0005-0000-0000-0000AB000000}"/>
    <cellStyle name="40% - Accent4 2 2" xfId="173" xr:uid="{00000000-0005-0000-0000-0000AC000000}"/>
    <cellStyle name="40% - Accent4 2 2 2" xfId="2857" xr:uid="{7C969ECF-5D00-455B-8AB1-17790B5BE29D}"/>
    <cellStyle name="40% - Accent4 2 3" xfId="174" xr:uid="{00000000-0005-0000-0000-0000AD000000}"/>
    <cellStyle name="40% - Accent4 2 3 2" xfId="2858" xr:uid="{100BCCB0-DB2C-4640-A8FE-9406B9F70C8B}"/>
    <cellStyle name="40% - Accent4 2 4" xfId="2856" xr:uid="{B00D416A-8AC8-4FA3-91ED-4DFA93664A0C}"/>
    <cellStyle name="40% - Accent4 3" xfId="175" xr:uid="{00000000-0005-0000-0000-0000AE000000}"/>
    <cellStyle name="40% - Accent4 3 2" xfId="2859" xr:uid="{11D8D71C-906B-481B-ABE0-9D308ECB6196}"/>
    <cellStyle name="40% - Accent4 4" xfId="176" xr:uid="{00000000-0005-0000-0000-0000AF000000}"/>
    <cellStyle name="40% - Accent4 4 2" xfId="2860" xr:uid="{8E64B459-CB9A-4248-9554-C2F37D2737A7}"/>
    <cellStyle name="40% - Accent4 5" xfId="177" xr:uid="{00000000-0005-0000-0000-0000B0000000}"/>
    <cellStyle name="40% - Accent4 5 2" xfId="2861" xr:uid="{9123E4EB-D7C0-4D2E-8267-6B7C55918C38}"/>
    <cellStyle name="40% - Accent4 6" xfId="178" xr:uid="{00000000-0005-0000-0000-0000B1000000}"/>
    <cellStyle name="40% - Accent4 6 2" xfId="2862" xr:uid="{AB524A55-5668-4047-A96C-4F4F35A34BAE}"/>
    <cellStyle name="40% - Accent4 7" xfId="179" xr:uid="{00000000-0005-0000-0000-0000B2000000}"/>
    <cellStyle name="40% - Accent4 7 2" xfId="2863" xr:uid="{07C9733F-CA52-40A9-AC3D-8D7C8C372882}"/>
    <cellStyle name="40% - Accent4 8" xfId="180" xr:uid="{00000000-0005-0000-0000-0000B3000000}"/>
    <cellStyle name="40% - Accent4 8 2" xfId="2864" xr:uid="{9D6D9C0F-83D9-4998-B42F-10284CF041BB}"/>
    <cellStyle name="40% - Accent4 9" xfId="181" xr:uid="{00000000-0005-0000-0000-0000B4000000}"/>
    <cellStyle name="40% - Accent4 9 2" xfId="2865" xr:uid="{63A8E609-2F19-48FF-98B6-00C17EC2894C}"/>
    <cellStyle name="40% - Accent5" xfId="182" builtinId="47" customBuiltin="1"/>
    <cellStyle name="40% - Accent5 10" xfId="183" xr:uid="{00000000-0005-0000-0000-0000B6000000}"/>
    <cellStyle name="40% - Accent5 10 2" xfId="2866" xr:uid="{016556E6-D47F-44EE-9D4D-7A9FA86B34C7}"/>
    <cellStyle name="40% - Accent5 11" xfId="184" xr:uid="{00000000-0005-0000-0000-0000B7000000}"/>
    <cellStyle name="40% - Accent5 11 2" xfId="2867" xr:uid="{A22C7FA1-5D85-4DFE-9D6A-8E10BCB44427}"/>
    <cellStyle name="40% - Accent5 12" xfId="185" xr:uid="{00000000-0005-0000-0000-0000B8000000}"/>
    <cellStyle name="40% - Accent5 12 2" xfId="2868" xr:uid="{8D1617A8-C81E-40EC-B6A7-763BFAB7B2CE}"/>
    <cellStyle name="40% - Accent5 13" xfId="186" xr:uid="{00000000-0005-0000-0000-0000B9000000}"/>
    <cellStyle name="40% - Accent5 13 2" xfId="2869" xr:uid="{BFBC113F-C362-4F3D-9944-2B808CF17ACE}"/>
    <cellStyle name="40% - Accent5 14" xfId="187" xr:uid="{00000000-0005-0000-0000-0000BA000000}"/>
    <cellStyle name="40% - Accent5 14 2" xfId="2870" xr:uid="{985152BB-F8A3-47EB-9289-D7591F93E7A9}"/>
    <cellStyle name="40% - Accent5 15" xfId="188" xr:uid="{00000000-0005-0000-0000-0000BB000000}"/>
    <cellStyle name="40% - Accent5 15 2" xfId="2871" xr:uid="{54E0041E-4A23-4647-AC4C-E2A5D5086158}"/>
    <cellStyle name="40% - Accent5 16" xfId="189" xr:uid="{00000000-0005-0000-0000-0000BC000000}"/>
    <cellStyle name="40% - Accent5 16 2" xfId="2872" xr:uid="{CB9243EB-F6DA-4ABD-965B-6A01B65CE507}"/>
    <cellStyle name="40% - Accent5 17" xfId="2688" xr:uid="{58854080-662B-4BC9-9C09-1647759E078D}"/>
    <cellStyle name="40% - Accent5 2" xfId="190" xr:uid="{00000000-0005-0000-0000-0000BD000000}"/>
    <cellStyle name="40% - Accent5 2 2" xfId="191" xr:uid="{00000000-0005-0000-0000-0000BE000000}"/>
    <cellStyle name="40% - Accent5 2 2 2" xfId="2874" xr:uid="{0458E3EB-700F-418A-8F16-37DDECFB515C}"/>
    <cellStyle name="40% - Accent5 2 3" xfId="192" xr:uid="{00000000-0005-0000-0000-0000BF000000}"/>
    <cellStyle name="40% - Accent5 2 3 2" xfId="2875" xr:uid="{4D3932B7-BF3D-4CA2-94A3-303373AE9C66}"/>
    <cellStyle name="40% - Accent5 2 4" xfId="2873" xr:uid="{036E5DE4-46BD-4D04-A874-5371F08A0D55}"/>
    <cellStyle name="40% - Accent5 3" xfId="193" xr:uid="{00000000-0005-0000-0000-0000C0000000}"/>
    <cellStyle name="40% - Accent5 3 2" xfId="2876" xr:uid="{66B20EB9-536F-47F7-98AA-6C880CA71422}"/>
    <cellStyle name="40% - Accent5 4" xfId="194" xr:uid="{00000000-0005-0000-0000-0000C1000000}"/>
    <cellStyle name="40% - Accent5 4 2" xfId="2877" xr:uid="{51A914C1-1218-4E65-B239-2B72523C4385}"/>
    <cellStyle name="40% - Accent5 5" xfId="195" xr:uid="{00000000-0005-0000-0000-0000C2000000}"/>
    <cellStyle name="40% - Accent5 5 2" xfId="2878" xr:uid="{2059779E-08F3-4C74-A7EA-DCD43F640542}"/>
    <cellStyle name="40% - Accent5 6" xfId="196" xr:uid="{00000000-0005-0000-0000-0000C3000000}"/>
    <cellStyle name="40% - Accent5 6 2" xfId="2879" xr:uid="{91DFB89B-6CAA-4043-9055-DDC3FE44AA27}"/>
    <cellStyle name="40% - Accent5 7" xfId="197" xr:uid="{00000000-0005-0000-0000-0000C4000000}"/>
    <cellStyle name="40% - Accent5 7 2" xfId="2880" xr:uid="{7C98AEA8-3C29-4161-955F-BBFA32598FCB}"/>
    <cellStyle name="40% - Accent5 8" xfId="198" xr:uid="{00000000-0005-0000-0000-0000C5000000}"/>
    <cellStyle name="40% - Accent5 8 2" xfId="2881" xr:uid="{627494BF-73EB-4405-A50B-53E6CB73BA49}"/>
    <cellStyle name="40% - Accent5 9" xfId="199" xr:uid="{00000000-0005-0000-0000-0000C6000000}"/>
    <cellStyle name="40% - Accent5 9 2" xfId="2882" xr:uid="{61427D3B-C9AE-4435-911B-7BEE7DDB64A9}"/>
    <cellStyle name="40% - Accent6" xfId="200" builtinId="51" customBuiltin="1"/>
    <cellStyle name="40% - Accent6 10" xfId="201" xr:uid="{00000000-0005-0000-0000-0000C8000000}"/>
    <cellStyle name="40% - Accent6 10 2" xfId="2883" xr:uid="{BE3D90E5-4582-4F33-A750-528E618C16B1}"/>
    <cellStyle name="40% - Accent6 11" xfId="202" xr:uid="{00000000-0005-0000-0000-0000C9000000}"/>
    <cellStyle name="40% - Accent6 11 2" xfId="2884" xr:uid="{24AA4620-4A30-427D-A1CC-5953CAFBA6C0}"/>
    <cellStyle name="40% - Accent6 12" xfId="203" xr:uid="{00000000-0005-0000-0000-0000CA000000}"/>
    <cellStyle name="40% - Accent6 12 2" xfId="2885" xr:uid="{13CAF4B0-838B-4387-BAA0-3F6FC5FB6F76}"/>
    <cellStyle name="40% - Accent6 13" xfId="204" xr:uid="{00000000-0005-0000-0000-0000CB000000}"/>
    <cellStyle name="40% - Accent6 13 2" xfId="2886" xr:uid="{12C40151-FED3-4C8E-B07E-1B4A1F8F17EE}"/>
    <cellStyle name="40% - Accent6 14" xfId="205" xr:uid="{00000000-0005-0000-0000-0000CC000000}"/>
    <cellStyle name="40% - Accent6 14 2" xfId="2887" xr:uid="{D6B6AE06-4523-4AA3-B23C-83B955626845}"/>
    <cellStyle name="40% - Accent6 15" xfId="206" xr:uid="{00000000-0005-0000-0000-0000CD000000}"/>
    <cellStyle name="40% - Accent6 15 2" xfId="2888" xr:uid="{89628979-D9E5-48EC-9DAC-9E253242A9FF}"/>
    <cellStyle name="40% - Accent6 16" xfId="207" xr:uid="{00000000-0005-0000-0000-0000CE000000}"/>
    <cellStyle name="40% - Accent6 16 2" xfId="2889" xr:uid="{F3B30353-ECBC-44E6-A516-9B6C4E4D8C0B}"/>
    <cellStyle name="40% - Accent6 17" xfId="2689" xr:uid="{11268F71-5BEC-413E-9358-016DAC84B4D1}"/>
    <cellStyle name="40% - Accent6 2" xfId="208" xr:uid="{00000000-0005-0000-0000-0000CF000000}"/>
    <cellStyle name="40% - Accent6 2 2" xfId="209" xr:uid="{00000000-0005-0000-0000-0000D0000000}"/>
    <cellStyle name="40% - Accent6 2 2 2" xfId="2891" xr:uid="{C1B56072-C7E8-4C36-B5B3-E139502343AD}"/>
    <cellStyle name="40% - Accent6 2 3" xfId="210" xr:uid="{00000000-0005-0000-0000-0000D1000000}"/>
    <cellStyle name="40% - Accent6 2 3 2" xfId="2892" xr:uid="{14464B7B-C811-45FA-8803-F353914F097D}"/>
    <cellStyle name="40% - Accent6 2 4" xfId="2890" xr:uid="{ECA1AD05-65B1-46A6-BD3D-A37C29785AAE}"/>
    <cellStyle name="40% - Accent6 3" xfId="211" xr:uid="{00000000-0005-0000-0000-0000D2000000}"/>
    <cellStyle name="40% - Accent6 3 2" xfId="2893" xr:uid="{7BF3444B-7E97-433B-9B89-3E6691D89CB5}"/>
    <cellStyle name="40% - Accent6 4" xfId="212" xr:uid="{00000000-0005-0000-0000-0000D3000000}"/>
    <cellStyle name="40% - Accent6 4 2" xfId="2894" xr:uid="{BA144AEC-EB53-45E8-98AE-ECE695960C8E}"/>
    <cellStyle name="40% - Accent6 5" xfId="213" xr:uid="{00000000-0005-0000-0000-0000D4000000}"/>
    <cellStyle name="40% - Accent6 5 2" xfId="2895" xr:uid="{3D25FA87-75E5-4338-8BE9-F4EC08C7F5C7}"/>
    <cellStyle name="40% - Accent6 6" xfId="214" xr:uid="{00000000-0005-0000-0000-0000D5000000}"/>
    <cellStyle name="40% - Accent6 6 2" xfId="2896" xr:uid="{8F9D2F20-2F09-4461-B5CA-86A8A109B603}"/>
    <cellStyle name="40% - Accent6 7" xfId="215" xr:uid="{00000000-0005-0000-0000-0000D6000000}"/>
    <cellStyle name="40% - Accent6 7 2" xfId="2897" xr:uid="{4FA4E282-DF7C-43B5-A30B-4179FE45F9DE}"/>
    <cellStyle name="40% - Accent6 8" xfId="216" xr:uid="{00000000-0005-0000-0000-0000D7000000}"/>
    <cellStyle name="40% - Accent6 8 2" xfId="2898" xr:uid="{932E310D-7C32-4F66-A4ED-4481C80F7DDD}"/>
    <cellStyle name="40% - Accent6 9" xfId="217" xr:uid="{00000000-0005-0000-0000-0000D8000000}"/>
    <cellStyle name="40% - Accent6 9 2" xfId="2899" xr:uid="{93004A36-642B-4624-8DCB-82BFE723394A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0 5" xfId="2695" xr:uid="{82BF7D9A-2C96-4896-BC7A-DF5C00D7B232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2 3" xfId="2901" xr:uid="{56C809E9-E525-4D16-BC9E-FF2A892E9B54}"/>
    <cellStyle name="Comma [0] 11 3" xfId="535" xr:uid="{00000000-0005-0000-0000-000017020000}"/>
    <cellStyle name="Comma [0] 11 4" xfId="2900" xr:uid="{C45CAFA5-6288-4A90-9AEF-95727CECA0C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2 3" xfId="2903" xr:uid="{3AC2B8C4-0C2B-4477-9C81-4A3B771A9682}"/>
    <cellStyle name="Comma [0] 12 3" xfId="539" xr:uid="{00000000-0005-0000-0000-00001B020000}"/>
    <cellStyle name="Comma [0] 12 3 2" xfId="540" xr:uid="{00000000-0005-0000-0000-00001C020000}"/>
    <cellStyle name="Comma [0] 12 3 3" xfId="2904" xr:uid="{5C3B9A18-950F-4DE5-9C52-1F1296869748}"/>
    <cellStyle name="Comma [0] 12 4" xfId="2902" xr:uid="{99BCCA6F-4BFA-416A-9F12-8C5740FF3EE9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2 3" xfId="2905" xr:uid="{EF30CDF9-B34A-4BFF-97B3-94934776C17D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 2 3" xfId="2907" xr:uid="{431B052B-8636-4B9E-B88E-B3362656198D}"/>
    <cellStyle name="Comma [0] 15 3" xfId="2906" xr:uid="{88246A47-5282-43D0-A8C7-336B9B16CA56}"/>
    <cellStyle name="Comma [0] 15_Book2" xfId="550" xr:uid="{00000000-0005-0000-0000-000026020000}"/>
    <cellStyle name="Comma [0] 16" xfId="551" xr:uid="{00000000-0005-0000-0000-000027020000}"/>
    <cellStyle name="Comma [0] 16 2" xfId="2908" xr:uid="{AF254086-5859-45D9-886F-3BB07C0BFC73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2 3" xfId="2910" xr:uid="{7F54D159-D09E-4040-A8B6-00E4D5AA7A1B}"/>
    <cellStyle name="Comma [0] 18 3" xfId="557" xr:uid="{00000000-0005-0000-0000-00002D020000}"/>
    <cellStyle name="Comma [0] 18 4" xfId="2909" xr:uid="{9AE4D7F5-BB85-4403-B2F3-E31A880D4BA7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2 3" xfId="2912" xr:uid="{644C7D1C-7334-47CC-B8D6-A430430C29FC}"/>
    <cellStyle name="Comma [0] 19 3" xfId="561" xr:uid="{00000000-0005-0000-0000-000031020000}"/>
    <cellStyle name="Comma [0] 19 4" xfId="2911" xr:uid="{4C57ACA0-34BA-4478-B820-3AC5B4469BE3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0 4" xfId="2913" xr:uid="{7D772CB3-9728-478C-ACD7-7602CA8C2996}"/>
    <cellStyle name="Comma [0] 2 11" xfId="566" xr:uid="{00000000-0005-0000-0000-000036020000}"/>
    <cellStyle name="Comma [0] 2 11 2" xfId="2914" xr:uid="{B84335E5-D1A8-4C73-ABD6-9CFFA0DB128C}"/>
    <cellStyle name="Comma [0] 2 12" xfId="567" xr:uid="{00000000-0005-0000-0000-000037020000}"/>
    <cellStyle name="Comma [0] 2 13" xfId="2690" xr:uid="{7DACA5CF-B874-4FD0-AC06-A35875BA187A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2 3" xfId="2921" xr:uid="{7C668210-9CFC-48FC-BE47-9DB6C1D10FD4}"/>
    <cellStyle name="Comma [0] 2 2 2 2 2 2 2 3" xfId="576" xr:uid="{00000000-0005-0000-0000-000040020000}"/>
    <cellStyle name="Comma [0] 2 2 2 2 2 2 2 3 2" xfId="577" xr:uid="{00000000-0005-0000-0000-000041020000}"/>
    <cellStyle name="Comma [0] 2 2 2 2 2 2 2 3 3" xfId="2922" xr:uid="{52EB1D73-9647-4505-B93F-CC969CD219C3}"/>
    <cellStyle name="Comma [0] 2 2 2 2 2 2 2 4" xfId="2920" xr:uid="{E692216F-B0B4-4BB9-A627-97233D982EC6}"/>
    <cellStyle name="Comma [0] 2 2 2 2 2 2 3" xfId="578" xr:uid="{00000000-0005-0000-0000-000042020000}"/>
    <cellStyle name="Comma [0] 2 2 2 2 2 2 3 2" xfId="2923" xr:uid="{A77F1E1E-9D60-4752-9DC0-CE5DC06E53B1}"/>
    <cellStyle name="Comma [0] 2 2 2 2 2 2 4" xfId="579" xr:uid="{00000000-0005-0000-0000-000043020000}"/>
    <cellStyle name="Comma [0] 2 2 2 2 2 2 5" xfId="2919" xr:uid="{7A27E7ED-9EFD-4207-8390-5D7A19BEFFD6}"/>
    <cellStyle name="Comma [0] 2 2 2 2 2 3" xfId="580" xr:uid="{00000000-0005-0000-0000-000044020000}"/>
    <cellStyle name="Comma [0] 2 2 2 2 2 3 2" xfId="581" xr:uid="{00000000-0005-0000-0000-000045020000}"/>
    <cellStyle name="Comma [0] 2 2 2 2 2 3 3" xfId="2924" xr:uid="{62D12444-ABF3-4AC1-81CC-37AB5372CDD1}"/>
    <cellStyle name="Comma [0] 2 2 2 2 2 4" xfId="582" xr:uid="{00000000-0005-0000-0000-000046020000}"/>
    <cellStyle name="Comma [0] 2 2 2 2 2 4 2" xfId="583" xr:uid="{00000000-0005-0000-0000-000047020000}"/>
    <cellStyle name="Comma [0] 2 2 2 2 2 4 3" xfId="2925" xr:uid="{A759050E-D27B-4ACD-AF69-B645B0B10A9C}"/>
    <cellStyle name="Comma [0] 2 2 2 2 2 5" xfId="2918" xr:uid="{AB84DAE5-3105-48EE-AFA8-0E5AF34EEB9C}"/>
    <cellStyle name="Comma [0] 2 2 2 2 3" xfId="584" xr:uid="{00000000-0005-0000-0000-000048020000}"/>
    <cellStyle name="Comma [0] 2 2 2 2 3 2" xfId="2926" xr:uid="{18971653-2CA5-48DE-8267-773E1101B5DC}"/>
    <cellStyle name="Comma [0] 2 2 2 2 4" xfId="585" xr:uid="{00000000-0005-0000-0000-000049020000}"/>
    <cellStyle name="Comma [0] 2 2 2 2 4 2" xfId="2927" xr:uid="{E0FEAE12-E0E7-4348-8FEB-F32F57795C1C}"/>
    <cellStyle name="Comma [0] 2 2 2 2 5" xfId="586" xr:uid="{00000000-0005-0000-0000-00004A020000}"/>
    <cellStyle name="Comma [0] 2 2 2 2 6" xfId="2917" xr:uid="{D97EA94B-158F-47CC-98AF-D3820B4C63A3}"/>
    <cellStyle name="Comma [0] 2 2 2 3" xfId="587" xr:uid="{00000000-0005-0000-0000-00004B020000}"/>
    <cellStyle name="Comma [0] 2 2 2 3 2" xfId="588" xr:uid="{00000000-0005-0000-0000-00004C020000}"/>
    <cellStyle name="Comma [0] 2 2 2 3 3" xfId="2928" xr:uid="{8F58E73F-7294-40B6-89C7-70A4DFE29434}"/>
    <cellStyle name="Comma [0] 2 2 2 4" xfId="589" xr:uid="{00000000-0005-0000-0000-00004D020000}"/>
    <cellStyle name="Comma [0] 2 2 2 4 2" xfId="590" xr:uid="{00000000-0005-0000-0000-00004E020000}"/>
    <cellStyle name="Comma [0] 2 2 2 4 3" xfId="2929" xr:uid="{E3A134D9-B0AD-4058-849B-3D50E615E9CC}"/>
    <cellStyle name="Comma [0] 2 2 2 5" xfId="591" xr:uid="{00000000-0005-0000-0000-00004F020000}"/>
    <cellStyle name="Comma [0] 2 2 2 5 2" xfId="592" xr:uid="{00000000-0005-0000-0000-000050020000}"/>
    <cellStyle name="Comma [0] 2 2 2 5 3" xfId="2930" xr:uid="{86A4FE35-4158-4CB0-BDFA-84069A519708}"/>
    <cellStyle name="Comma [0] 2 2 2 6" xfId="593" xr:uid="{00000000-0005-0000-0000-000051020000}"/>
    <cellStyle name="Comma [0] 2 2 2 7" xfId="2916" xr:uid="{18B6EB68-2BB8-4191-B63F-0E5543FD30D3}"/>
    <cellStyle name="Comma [0] 2 2 3" xfId="594" xr:uid="{00000000-0005-0000-0000-000052020000}"/>
    <cellStyle name="Comma [0] 2 2 3 2" xfId="2931" xr:uid="{32E5268B-9DF1-4288-BF30-D20B9C6D2E55}"/>
    <cellStyle name="Comma [0] 2 2 4" xfId="595" xr:uid="{00000000-0005-0000-0000-000053020000}"/>
    <cellStyle name="Comma [0] 2 2 4 2" xfId="2932" xr:uid="{C9CCE147-48D5-4E4B-9D1E-96FC8DCB7AAC}"/>
    <cellStyle name="Comma [0] 2 2 5" xfId="596" xr:uid="{00000000-0005-0000-0000-000054020000}"/>
    <cellStyle name="Comma [0] 2 2 5 2" xfId="2933" xr:uid="{3BA5F741-83D3-4C00-B64C-5D0C44E1BDB1}"/>
    <cellStyle name="Comma [0] 2 2 6" xfId="597" xr:uid="{00000000-0005-0000-0000-000055020000}"/>
    <cellStyle name="Comma [0] 2 2 6 2" xfId="598" xr:uid="{00000000-0005-0000-0000-000056020000}"/>
    <cellStyle name="Comma [0] 2 2 6 3" xfId="2934" xr:uid="{482C77AC-D95B-44E0-BFAB-442C37BE3C0B}"/>
    <cellStyle name="Comma [0] 2 2 7" xfId="2915" xr:uid="{2396C483-A35D-4CC6-BD57-D086B88A80BF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2 2" xfId="2938" xr:uid="{D2CFEC94-0C11-4543-AB8B-8AD644DC9E07}"/>
    <cellStyle name="Comma [0] 2 3 2 2 3" xfId="603" xr:uid="{00000000-0005-0000-0000-00005B020000}"/>
    <cellStyle name="Comma [0] 2 3 2 2 3 2" xfId="2939" xr:uid="{596BCF8D-5EF1-48DD-9FFF-413CD04DFD17}"/>
    <cellStyle name="Comma [0] 2 3 2 2 4" xfId="604" xr:uid="{00000000-0005-0000-0000-00005C020000}"/>
    <cellStyle name="Comma [0] 2 3 2 2 4 2" xfId="2940" xr:uid="{ECB1F4D2-57F4-4718-9001-76BBE3F6A732}"/>
    <cellStyle name="Comma [0] 2 3 2 2 5" xfId="2937" xr:uid="{4F2065BE-C375-489B-AD1D-DDE89C9B7E76}"/>
    <cellStyle name="Comma [0] 2 3 2 3" xfId="605" xr:uid="{00000000-0005-0000-0000-00005D020000}"/>
    <cellStyle name="Comma [0] 2 3 2 3 2" xfId="2941" xr:uid="{CED98DFE-1352-4E51-9F1A-3FA1B827D6EC}"/>
    <cellStyle name="Comma [0] 2 3 2 4" xfId="606" xr:uid="{00000000-0005-0000-0000-00005E020000}"/>
    <cellStyle name="Comma [0] 2 3 2 4 2" xfId="2942" xr:uid="{E98C71C7-A7C3-4B73-9F2A-70516F14EC44}"/>
    <cellStyle name="Comma [0] 2 3 2 5" xfId="607" xr:uid="{00000000-0005-0000-0000-00005F020000}"/>
    <cellStyle name="Comma [0] 2 3 2 5 2" xfId="2943" xr:uid="{554DB2DB-A28C-4ECE-853F-60478B697195}"/>
    <cellStyle name="Comma [0] 2 3 2 6" xfId="608" xr:uid="{00000000-0005-0000-0000-000060020000}"/>
    <cellStyle name="Comma [0] 2 3 2 7" xfId="2936" xr:uid="{8FA5589C-A35D-4B07-817D-AC38D77B0272}"/>
    <cellStyle name="Comma [0] 2 3 3" xfId="609" xr:uid="{00000000-0005-0000-0000-000061020000}"/>
    <cellStyle name="Comma [0] 2 3 3 2" xfId="2944" xr:uid="{75C07F8B-10FA-428F-B5AF-D7408772A93F}"/>
    <cellStyle name="Comma [0] 2 3 4" xfId="610" xr:uid="{00000000-0005-0000-0000-000062020000}"/>
    <cellStyle name="Comma [0] 2 3 4 2" xfId="2945" xr:uid="{99DA39E1-6D04-49F0-AA1D-4C9A9AA2DC2D}"/>
    <cellStyle name="Comma [0] 2 3 5" xfId="611" xr:uid="{00000000-0005-0000-0000-000063020000}"/>
    <cellStyle name="Comma [0] 2 3 5 2" xfId="2946" xr:uid="{88EB56F1-C5A9-4CA0-9060-8E9A1D34AD43}"/>
    <cellStyle name="Comma [0] 2 3 6" xfId="612" xr:uid="{00000000-0005-0000-0000-000064020000}"/>
    <cellStyle name="Comma [0] 2 3 6 2" xfId="2947" xr:uid="{0ABD82E6-C053-4F02-BAAF-725C3DAC707A}"/>
    <cellStyle name="Comma [0] 2 3 7" xfId="613" xr:uid="{00000000-0005-0000-0000-000065020000}"/>
    <cellStyle name="Comma [0] 2 3 8" xfId="614" xr:uid="{00000000-0005-0000-0000-000066020000}"/>
    <cellStyle name="Comma [0] 2 3 9" xfId="2935" xr:uid="{5B83C799-0C03-4FA7-941F-EAC9384A8349}"/>
    <cellStyle name="Comma [0] 2 4" xfId="615" xr:uid="{00000000-0005-0000-0000-000067020000}"/>
    <cellStyle name="Comma [0] 2 4 2" xfId="616" xr:uid="{00000000-0005-0000-0000-000068020000}"/>
    <cellStyle name="Comma [0] 2 4 2 2" xfId="2948" xr:uid="{735D0316-31A6-4B80-9EF8-3721C488AE7C}"/>
    <cellStyle name="Comma [0] 2 4 3" xfId="617" xr:uid="{00000000-0005-0000-0000-000069020000}"/>
    <cellStyle name="Comma [0] 2 4 3 2" xfId="2949" xr:uid="{D22154D5-FB0A-4B6D-AFFB-A32EB77CEC45}"/>
    <cellStyle name="Comma [0] 2 4 4" xfId="618" xr:uid="{00000000-0005-0000-0000-00006A020000}"/>
    <cellStyle name="Comma [0] 2 4 4 2" xfId="2950" xr:uid="{93EE83AB-F827-45C5-A385-BB151E117EA5}"/>
    <cellStyle name="Comma [0] 2 4 5" xfId="619" xr:uid="{00000000-0005-0000-0000-00006B020000}"/>
    <cellStyle name="Comma [0] 2 4 5 2" xfId="620" xr:uid="{00000000-0005-0000-0000-00006C020000}"/>
    <cellStyle name="Comma [0] 2 4 5 3" xfId="2951" xr:uid="{2F5E6198-7C1C-40ED-B127-FD6FB5EB3FE1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2 2" xfId="2953" xr:uid="{68C585C6-B256-4697-8A00-9DB11FD681F2}"/>
    <cellStyle name="Comma [0] 2 5 3" xfId="624" xr:uid="{00000000-0005-0000-0000-000070020000}"/>
    <cellStyle name="Comma [0] 2 5 3 2" xfId="2954" xr:uid="{1CB494BF-573A-4AE9-9D86-1D5D1B966344}"/>
    <cellStyle name="Comma [0] 2 5 4" xfId="625" xr:uid="{00000000-0005-0000-0000-000071020000}"/>
    <cellStyle name="Comma [0] 2 5 4 2" xfId="2955" xr:uid="{32F73D2A-93B2-43B1-BCA7-B5716CBCB738}"/>
    <cellStyle name="Comma [0] 2 5 5" xfId="2952" xr:uid="{26B3FA34-240A-4F6F-9103-476214700031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2 2" xfId="2961" xr:uid="{66D65B6D-B57A-4BD9-B6DA-8842201805E0}"/>
    <cellStyle name="Comma [0] 2 6 2 2 2 2 3" xfId="632" xr:uid="{00000000-0005-0000-0000-000078020000}"/>
    <cellStyle name="Comma [0] 2 6 2 2 2 2 3 2" xfId="2962" xr:uid="{5D16E8D0-318A-4419-8E68-6EFB4576E169}"/>
    <cellStyle name="Comma [0] 2 6 2 2 2 2 4" xfId="633" xr:uid="{00000000-0005-0000-0000-000079020000}"/>
    <cellStyle name="Comma [0] 2 6 2 2 2 2 4 2" xfId="2963" xr:uid="{5187E8D2-8F63-4FBC-A55F-781986F95BA6}"/>
    <cellStyle name="Comma [0] 2 6 2 2 2 2 5" xfId="634" xr:uid="{00000000-0005-0000-0000-00007A020000}"/>
    <cellStyle name="Comma [0] 2 6 2 2 2 2 5 2" xfId="2964" xr:uid="{36C86C94-3A2C-4805-8AD0-A9F48AA7FAFC}"/>
    <cellStyle name="Comma [0] 2 6 2 2 2 2 6" xfId="2960" xr:uid="{5ED57133-7263-4B49-8681-335DAB2B56FC}"/>
    <cellStyle name="Comma [0] 2 6 2 2 2 3" xfId="635" xr:uid="{00000000-0005-0000-0000-00007B020000}"/>
    <cellStyle name="Comma [0] 2 6 2 2 2 3 2" xfId="2965" xr:uid="{573B27F4-3C50-4DA4-9535-A3CAB1A8E888}"/>
    <cellStyle name="Comma [0] 2 6 2 2 2 4" xfId="636" xr:uid="{00000000-0005-0000-0000-00007C020000}"/>
    <cellStyle name="Comma [0] 2 6 2 2 2 4 2" xfId="2966" xr:uid="{CA51E3C2-AE26-4B5B-A1A9-E6D37D6FDB80}"/>
    <cellStyle name="Comma [0] 2 6 2 2 2 5" xfId="637" xr:uid="{00000000-0005-0000-0000-00007D020000}"/>
    <cellStyle name="Comma [0] 2 6 2 2 2 5 2" xfId="2967" xr:uid="{75C7D9BE-EBE6-48B5-AF3D-B42A805100BB}"/>
    <cellStyle name="Comma [0] 2 6 2 2 2 6" xfId="2959" xr:uid="{64914DA9-E908-4050-BD49-E4F63989D574}"/>
    <cellStyle name="Comma [0] 2 6 2 2 3" xfId="638" xr:uid="{00000000-0005-0000-0000-00007E020000}"/>
    <cellStyle name="Comma [0] 2 6 2 2 3 2" xfId="2968" xr:uid="{5D5240EB-ACE1-45A4-AF40-BECDEBAE9853}"/>
    <cellStyle name="Comma [0] 2 6 2 2 4" xfId="639" xr:uid="{00000000-0005-0000-0000-00007F020000}"/>
    <cellStyle name="Comma [0] 2 6 2 2 4 2" xfId="2969" xr:uid="{E7B1C0A4-7E2E-4353-8C1B-66B198346490}"/>
    <cellStyle name="Comma [0] 2 6 2 2 5" xfId="640" xr:uid="{00000000-0005-0000-0000-000080020000}"/>
    <cellStyle name="Comma [0] 2 6 2 2 5 2" xfId="2970" xr:uid="{1B776225-32D8-4A8E-AFC3-AF755FF1E99D}"/>
    <cellStyle name="Comma [0] 2 6 2 2 6" xfId="2958" xr:uid="{80332999-120B-4891-AFDE-A9B76F570B94}"/>
    <cellStyle name="Comma [0] 2 6 2 3" xfId="641" xr:uid="{00000000-0005-0000-0000-000081020000}"/>
    <cellStyle name="Comma [0] 2 6 2 3 2" xfId="2971" xr:uid="{3DAD9B34-3DEA-4549-926C-F7996A1CD24F}"/>
    <cellStyle name="Comma [0] 2 6 2 4" xfId="642" xr:uid="{00000000-0005-0000-0000-000082020000}"/>
    <cellStyle name="Comma [0] 2 6 2 4 2" xfId="2972" xr:uid="{DAC05CB6-3FDE-4AC4-AB10-6EDE70376440}"/>
    <cellStyle name="Comma [0] 2 6 2 5" xfId="643" xr:uid="{00000000-0005-0000-0000-000083020000}"/>
    <cellStyle name="Comma [0] 2 6 2 5 2" xfId="2973" xr:uid="{D82D8FF8-4E97-4260-B91E-9210B8F3D15D}"/>
    <cellStyle name="Comma [0] 2 6 2 6" xfId="2957" xr:uid="{3A1A5F73-B882-4D93-AB58-C1ABC3864011}"/>
    <cellStyle name="Comma [0] 2 6 3" xfId="644" xr:uid="{00000000-0005-0000-0000-000084020000}"/>
    <cellStyle name="Comma [0] 2 6 3 2" xfId="2974" xr:uid="{2AA3CDD8-31FA-4E05-B029-6287B40C5C2C}"/>
    <cellStyle name="Comma [0] 2 6 4" xfId="645" xr:uid="{00000000-0005-0000-0000-000085020000}"/>
    <cellStyle name="Comma [0] 2 6 4 2" xfId="2975" xr:uid="{A45B843A-903C-4D28-BE2A-DFA62308DCEC}"/>
    <cellStyle name="Comma [0] 2 6 5" xfId="646" xr:uid="{00000000-0005-0000-0000-000086020000}"/>
    <cellStyle name="Comma [0] 2 6 5 2" xfId="2976" xr:uid="{39B9C1A7-0CD9-4C18-88BB-1E7F7D48F97B}"/>
    <cellStyle name="Comma [0] 2 6 6" xfId="2956" xr:uid="{A746D29E-45A2-45AE-9052-AD19E2FD2F49}"/>
    <cellStyle name="Comma [0] 2 7" xfId="647" xr:uid="{00000000-0005-0000-0000-000087020000}"/>
    <cellStyle name="Comma [0] 2 7 2" xfId="648" xr:uid="{00000000-0005-0000-0000-000088020000}"/>
    <cellStyle name="Comma [0] 2 7 3" xfId="2977" xr:uid="{9DED3F55-B962-4B15-A181-550B4AF4CFE4}"/>
    <cellStyle name="Comma [0] 2 8" xfId="649" xr:uid="{00000000-0005-0000-0000-000089020000}"/>
    <cellStyle name="Comma [0] 2 8 2" xfId="2978" xr:uid="{3C7CD232-5543-4878-A7D0-A8E81E2AB151}"/>
    <cellStyle name="Comma [0] 2 9" xfId="650" xr:uid="{00000000-0005-0000-0000-00008A020000}"/>
    <cellStyle name="Comma [0] 2 9 2" xfId="2979" xr:uid="{2245032A-2CB2-471D-9872-56BBCE142C98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2 2" xfId="2980" xr:uid="{C0FC8A69-ED86-46BC-BE95-D17284FFFCDA}"/>
    <cellStyle name="Comma [0] 23" xfId="656" xr:uid="{00000000-0005-0000-0000-000090020000}"/>
    <cellStyle name="Comma [0] 23 2" xfId="2981" xr:uid="{F1385260-B0CB-4E72-8E4C-691543042BAB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2 3" xfId="2983" xr:uid="{D44D7F46-8DFB-4ED0-826F-5990A21DF477}"/>
    <cellStyle name="Comma [0] 24 3" xfId="660" xr:uid="{00000000-0005-0000-0000-000094020000}"/>
    <cellStyle name="Comma [0] 24 4" xfId="2982" xr:uid="{831DD181-2641-45C3-9EC6-10D3C9CC518B}"/>
    <cellStyle name="Comma [0] 25" xfId="661" xr:uid="{00000000-0005-0000-0000-000095020000}"/>
    <cellStyle name="Comma [0] 25 2" xfId="2984" xr:uid="{6628C05C-7FA3-4B8D-A85D-4B8C4245C18D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27 3" xfId="2985" xr:uid="{93C28C36-7A54-4C67-A9B8-2CB1E65E9557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2 2" xfId="2987" xr:uid="{9F066240-005A-4A61-B1C7-E82707B253BE}"/>
    <cellStyle name="Comma [0] 3 2 3" xfId="668" xr:uid="{00000000-0005-0000-0000-00009C020000}"/>
    <cellStyle name="Comma [0] 3 2 4" xfId="2986" xr:uid="{3E11F46F-86BF-457D-AAF8-F36350F33CFF}"/>
    <cellStyle name="Comma [0] 3 3" xfId="669" xr:uid="{00000000-0005-0000-0000-00009D020000}"/>
    <cellStyle name="Comma [0] 3 4" xfId="2693" xr:uid="{06019007-843E-48D4-8660-79F251C430F9}"/>
    <cellStyle name="Comma [0] 32" xfId="670" xr:uid="{00000000-0005-0000-0000-00009E020000}"/>
    <cellStyle name="Comma [0] 32 2" xfId="671" xr:uid="{00000000-0005-0000-0000-00009F020000}"/>
    <cellStyle name="Comma [0] 32 3" xfId="2988" xr:uid="{260C6648-A96A-4401-97C7-6D708A1D393D}"/>
    <cellStyle name="Comma [0] 35" xfId="672" xr:uid="{00000000-0005-0000-0000-0000A0020000}"/>
    <cellStyle name="Comma [0] 35 2" xfId="2989" xr:uid="{40F35AD8-CDA9-4210-A287-C9C7D75C0098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2 3" xfId="2991" xr:uid="{5A0BD2ED-0F18-4EF9-A0EE-26594B54A475}"/>
    <cellStyle name="Comma [0] 4 3" xfId="676" xr:uid="{00000000-0005-0000-0000-0000A4020000}"/>
    <cellStyle name="Comma [0] 4 3 2" xfId="677" xr:uid="{00000000-0005-0000-0000-0000A5020000}"/>
    <cellStyle name="Comma [0] 4 3 3" xfId="2992" xr:uid="{4389622B-B0E1-426E-93D0-7F1D9F57611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4 7" xfId="2990" xr:uid="{584A83D2-2DB0-4440-A3F4-AC34826F5805}"/>
    <cellStyle name="Comma [0] 5" xfId="682" xr:uid="{00000000-0005-0000-0000-0000AA020000}"/>
    <cellStyle name="Comma [0] 5 2" xfId="683" xr:uid="{00000000-0005-0000-0000-0000AB020000}"/>
    <cellStyle name="Comma [0] 5 2 2" xfId="2994" xr:uid="{165D2837-E74D-4D73-937E-6AD14E2B82A1}"/>
    <cellStyle name="Comma [0] 5 3" xfId="684" xr:uid="{00000000-0005-0000-0000-0000AC020000}"/>
    <cellStyle name="Comma [0] 5 3 2" xfId="2995" xr:uid="{C96C6F93-357F-45C2-AB12-52E153BFACDC}"/>
    <cellStyle name="Comma [0] 5 4" xfId="2993" xr:uid="{BCBC6E3E-D099-4B6C-A6E0-3D59FC851EEE}"/>
    <cellStyle name="Comma [0] 6" xfId="685" xr:uid="{00000000-0005-0000-0000-0000AD020000}"/>
    <cellStyle name="Comma [0] 6 2" xfId="686" xr:uid="{00000000-0005-0000-0000-0000AE020000}"/>
    <cellStyle name="Comma [0] 6 2 2" xfId="2997" xr:uid="{F70899E8-5E4E-4CA4-B910-CEE61618E7AC}"/>
    <cellStyle name="Comma [0] 6 3" xfId="687" xr:uid="{00000000-0005-0000-0000-0000AF020000}"/>
    <cellStyle name="Comma [0] 6 3 2" xfId="688" xr:uid="{00000000-0005-0000-0000-0000B0020000}"/>
    <cellStyle name="Comma [0] 6 3 3" xfId="2998" xr:uid="{CEC9136D-1201-44F7-8F55-5B4F4D851578}"/>
    <cellStyle name="Comma [0] 6 4" xfId="2996" xr:uid="{689AA435-C4B9-449E-B61E-493F7683EB8D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2 3" xfId="2999" xr:uid="{364155C0-2E3D-4BA2-8A2E-9904044350FB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2 3" xfId="3001" xr:uid="{2EE20CAE-C42B-4908-892E-29A2FE96F83A}"/>
    <cellStyle name="Comma [0] 8 3" xfId="696" xr:uid="{00000000-0005-0000-0000-0000B8020000}"/>
    <cellStyle name="Comma [0] 8 3 2" xfId="697" xr:uid="{00000000-0005-0000-0000-0000B9020000}"/>
    <cellStyle name="Comma [0] 8 3 3" xfId="3002" xr:uid="{FD19AC32-37E0-467E-AD02-D38723F54C9E}"/>
    <cellStyle name="Comma [0] 8 4" xfId="698" xr:uid="{00000000-0005-0000-0000-0000BA020000}"/>
    <cellStyle name="Comma [0] 8 5" xfId="3000" xr:uid="{9B9374DF-C3A1-44DF-9774-A1FB930B93BE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2 3" xfId="3004" xr:uid="{D3CE5C44-B65A-43F6-A17E-3A97422DD89C}"/>
    <cellStyle name="Comma [0] 9 3" xfId="702" xr:uid="{00000000-0005-0000-0000-0000BE020000}"/>
    <cellStyle name="Comma [0] 9 3 2" xfId="703" xr:uid="{00000000-0005-0000-0000-0000BF020000}"/>
    <cellStyle name="Comma [0] 9 3 3" xfId="3005" xr:uid="{E6AB02D5-953B-4829-8BB2-E1CF3E132D53}"/>
    <cellStyle name="Comma [0] 9 4" xfId="3003" xr:uid="{F49A75C6-0625-46F4-9683-B2B3464141AF}"/>
    <cellStyle name="Comma [0] 90" xfId="704" xr:uid="{00000000-0005-0000-0000-0000C0020000}"/>
    <cellStyle name="Comma [0] 90 2" xfId="705" xr:uid="{00000000-0005-0000-0000-0000C1020000}"/>
    <cellStyle name="Comma [0] 90 3" xfId="3006" xr:uid="{628D72EC-5D70-47CB-91B6-8C6E02BD8DAF}"/>
    <cellStyle name="Comma [0] 91" xfId="706" xr:uid="{00000000-0005-0000-0000-0000C2020000}"/>
    <cellStyle name="Comma [0] 91 2" xfId="707" xr:uid="{00000000-0005-0000-0000-0000C3020000}"/>
    <cellStyle name="Comma [0] 91 3" xfId="3007" xr:uid="{5EE2001C-3365-470B-BFC7-B473AD723C29}"/>
    <cellStyle name="Comma [0] 93" xfId="708" xr:uid="{00000000-0005-0000-0000-0000C4020000}"/>
    <cellStyle name="Comma [0] 93 2" xfId="709" xr:uid="{00000000-0005-0000-0000-0000C5020000}"/>
    <cellStyle name="Comma [0] 93 3" xfId="3008" xr:uid="{13245267-8EC3-4BC1-9B8D-2E6966E1B07E}"/>
    <cellStyle name="Comma [0] 94" xfId="710" xr:uid="{00000000-0005-0000-0000-0000C6020000}"/>
    <cellStyle name="Comma [0] 94 2" xfId="711" xr:uid="{00000000-0005-0000-0000-0000C7020000}"/>
    <cellStyle name="Comma [0] 94 3" xfId="3009" xr:uid="{5B4517B4-D4D3-4809-BC2B-28107A57AFCC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2 2 2" xfId="3388" xr:uid="{06E143A4-948E-45DB-91CD-BB4524ED3149}"/>
    <cellStyle name="Comma 10 2 2 3" xfId="3011" xr:uid="{E8BADA5B-B244-4ED0-8E19-35CF583BD885}"/>
    <cellStyle name="Comma 10 2 3" xfId="718" xr:uid="{00000000-0005-0000-0000-0000CE020000}"/>
    <cellStyle name="Comma 10 2 4" xfId="3010" xr:uid="{99181324-E410-4597-9316-24B260B66653}"/>
    <cellStyle name="Comma 10 3" xfId="719" xr:uid="{00000000-0005-0000-0000-0000CF020000}"/>
    <cellStyle name="Comma 10 3 2" xfId="720" xr:uid="{00000000-0005-0000-0000-0000D0020000}"/>
    <cellStyle name="Comma 10 3 3" xfId="3012" xr:uid="{1624CF20-D95A-4D5D-870D-F266408B6BF9}"/>
    <cellStyle name="Comma 10 4" xfId="721" xr:uid="{00000000-0005-0000-0000-0000D1020000}"/>
    <cellStyle name="Comma 10 4 2" xfId="722" xr:uid="{00000000-0005-0000-0000-0000D2020000}"/>
    <cellStyle name="Comma 10 4 3" xfId="3013" xr:uid="{CBDB3A1A-05BF-42E2-88DB-16D724BCEA5D}"/>
    <cellStyle name="Comma 10 5" xfId="723" xr:uid="{00000000-0005-0000-0000-0000D3020000}"/>
    <cellStyle name="Comma 10 5 2" xfId="724" xr:uid="{00000000-0005-0000-0000-0000D4020000}"/>
    <cellStyle name="Comma 10 5 3" xfId="3014" xr:uid="{E74DF241-6BBB-4A92-BBA4-0EC2E944545B}"/>
    <cellStyle name="Comma 10 6" xfId="725" xr:uid="{00000000-0005-0000-0000-0000D5020000}"/>
    <cellStyle name="Comma 10 6 2" xfId="726" xr:uid="{00000000-0005-0000-0000-0000D6020000}"/>
    <cellStyle name="Comma 10 6 3" xfId="3015" xr:uid="{D4296D05-C153-46E6-89B9-366396362C85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1 3" xfId="3016" xr:uid="{9FC251BF-A771-4649-8466-627F29FEC021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2 3" xfId="3018" xr:uid="{0CE27C64-6D45-45A6-B755-C4C815B16A30}"/>
    <cellStyle name="Comma 12 3" xfId="734" xr:uid="{00000000-0005-0000-0000-0000DE020000}"/>
    <cellStyle name="Comma 12 3 2" xfId="735" xr:uid="{00000000-0005-0000-0000-0000DF020000}"/>
    <cellStyle name="Comma 12 3 3" xfId="3019" xr:uid="{EC12DBA7-118E-4954-A2ED-43568E70BEDA}"/>
    <cellStyle name="Comma 12 4" xfId="736" xr:uid="{00000000-0005-0000-0000-0000E0020000}"/>
    <cellStyle name="Comma 12 4 2" xfId="737" xr:uid="{00000000-0005-0000-0000-0000E1020000}"/>
    <cellStyle name="Comma 12 4 3" xfId="3020" xr:uid="{B577EB1F-DDDA-4B07-A6D3-CA5525E99349}"/>
    <cellStyle name="Comma 12 5" xfId="738" xr:uid="{00000000-0005-0000-0000-0000E2020000}"/>
    <cellStyle name="Comma 12 5 2" xfId="739" xr:uid="{00000000-0005-0000-0000-0000E3020000}"/>
    <cellStyle name="Comma 12 5 3" xfId="3021" xr:uid="{26212CBF-2E83-43C5-A1A5-C31C7EEAE8BB}"/>
    <cellStyle name="Comma 12 6" xfId="740" xr:uid="{00000000-0005-0000-0000-0000E4020000}"/>
    <cellStyle name="Comma 12 6 2" xfId="741" xr:uid="{00000000-0005-0000-0000-0000E5020000}"/>
    <cellStyle name="Comma 12 6 3" xfId="3022" xr:uid="{339E7626-38FF-4328-818B-93BEDF3DD077}"/>
    <cellStyle name="Comma 12 7" xfId="742" xr:uid="{00000000-0005-0000-0000-0000E6020000}"/>
    <cellStyle name="Comma 12 8" xfId="3017" xr:uid="{9622A994-3874-46B0-958A-D389F7E731EE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2 3" xfId="3024" xr:uid="{F1E36446-09C1-480C-B039-710911FC658F}"/>
    <cellStyle name="Comma 13 3" xfId="746" xr:uid="{00000000-0005-0000-0000-0000EA020000}"/>
    <cellStyle name="Comma 13 4" xfId="3023" xr:uid="{E775B676-91F3-4A22-9CFD-58DF5296FCB8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2 3" xfId="3027" xr:uid="{83581F20-972A-43C9-8419-BFF7BF04B014}"/>
    <cellStyle name="Comma 14 2 3" xfId="751" xr:uid="{00000000-0005-0000-0000-0000EF020000}"/>
    <cellStyle name="Comma 14 2 4" xfId="3026" xr:uid="{F8247EB5-E4C0-491D-8563-509141C72D57}"/>
    <cellStyle name="Comma 14 3" xfId="752" xr:uid="{00000000-0005-0000-0000-0000F0020000}"/>
    <cellStyle name="Comma 14 4" xfId="3025" xr:uid="{3E868230-2BCF-4773-82E0-2FE389D429C7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2 3" xfId="3029" xr:uid="{E0483F5D-D232-4AE4-94C0-C42CD7321A70}"/>
    <cellStyle name="Comma 15 3" xfId="756" xr:uid="{00000000-0005-0000-0000-0000F4020000}"/>
    <cellStyle name="Comma 15 3 2" xfId="757" xr:uid="{00000000-0005-0000-0000-0000F5020000}"/>
    <cellStyle name="Comma 15 3 3" xfId="3030" xr:uid="{C1B63D54-D6EC-4F58-96FB-5D3460398CFC}"/>
    <cellStyle name="Comma 15 4" xfId="758" xr:uid="{00000000-0005-0000-0000-0000F6020000}"/>
    <cellStyle name="Comma 15 4 2" xfId="759" xr:uid="{00000000-0005-0000-0000-0000F7020000}"/>
    <cellStyle name="Comma 15 4 3" xfId="3031" xr:uid="{57FE5085-1B76-45BD-9075-347E7B7AF522}"/>
    <cellStyle name="Comma 15 5" xfId="760" xr:uid="{00000000-0005-0000-0000-0000F8020000}"/>
    <cellStyle name="Comma 15 6" xfId="3028" xr:uid="{926798E8-FE64-4907-ABF2-6474000ACCCD}"/>
    <cellStyle name="Comma 16" xfId="761" xr:uid="{00000000-0005-0000-0000-0000F9020000}"/>
    <cellStyle name="Comma 16 2" xfId="762" xr:uid="{00000000-0005-0000-0000-0000FA020000}"/>
    <cellStyle name="Comma 16 3" xfId="3032" xr:uid="{E83CAA48-E04A-4993-B356-EE20FCF63485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7 2 3" xfId="3034" xr:uid="{9FB43039-52D9-4443-B3DC-1EC7323B277D}"/>
    <cellStyle name="Comma 17 3" xfId="3033" xr:uid="{818BF886-F484-4354-BBF0-E51D3F2320F9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2 3" xfId="3036" xr:uid="{79EB30D2-A693-4775-8421-B8C559DA9B2E}"/>
    <cellStyle name="Comma 18 3" xfId="769" xr:uid="{00000000-0005-0000-0000-000001030000}"/>
    <cellStyle name="Comma 18 4" xfId="3035" xr:uid="{29BFFF8D-B5C7-4E68-A716-E2340A67FDF9}"/>
    <cellStyle name="Comma 19" xfId="770" xr:uid="{00000000-0005-0000-0000-000002030000}"/>
    <cellStyle name="Comma 19 2" xfId="771" xr:uid="{00000000-0005-0000-0000-000003030000}"/>
    <cellStyle name="Comma 19 2 2" xfId="3038" xr:uid="{5FF9A33F-3558-4023-B379-536C9244B504}"/>
    <cellStyle name="Comma 19 3" xfId="772" xr:uid="{00000000-0005-0000-0000-000004030000}"/>
    <cellStyle name="Comma 19 3 2" xfId="3039" xr:uid="{7D4004BC-F4C9-4715-9D24-8C30366989F3}"/>
    <cellStyle name="Comma 19 4" xfId="773" xr:uid="{00000000-0005-0000-0000-000005030000}"/>
    <cellStyle name="Comma 19 4 2" xfId="3040" xr:uid="{45986635-CE21-460F-AF39-154B29ED41E2}"/>
    <cellStyle name="Comma 19 5" xfId="774" xr:uid="{00000000-0005-0000-0000-000006030000}"/>
    <cellStyle name="Comma 19 6" xfId="3037" xr:uid="{17B7C024-8B2E-412E-A021-999A180B4901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0 3" xfId="3041" xr:uid="{AFDCCA69-8CEF-419A-B182-CBB2CE732D20}"/>
    <cellStyle name="Comma 2 11" xfId="778" xr:uid="{00000000-0005-0000-0000-00000A030000}"/>
    <cellStyle name="Comma 2 11 2" xfId="779" xr:uid="{00000000-0005-0000-0000-00000B030000}"/>
    <cellStyle name="Comma 2 11 3" xfId="3042" xr:uid="{E310980C-D64F-4876-96FD-327EF60F17ED}"/>
    <cellStyle name="Comma 2 12" xfId="780" xr:uid="{00000000-0005-0000-0000-00000C030000}"/>
    <cellStyle name="Comma 2 12 2" xfId="781" xr:uid="{00000000-0005-0000-0000-00000D030000}"/>
    <cellStyle name="Comma 2 12 3" xfId="3043" xr:uid="{5377AD1D-0AC1-4406-905A-530FBD74D56B}"/>
    <cellStyle name="Comma 2 13" xfId="782" xr:uid="{00000000-0005-0000-0000-00000E030000}"/>
    <cellStyle name="Comma 2 13 2" xfId="783" xr:uid="{00000000-0005-0000-0000-00000F030000}"/>
    <cellStyle name="Comma 2 13 3" xfId="3044" xr:uid="{A199919F-E13B-4CE3-B1D7-593EF98959B7}"/>
    <cellStyle name="Comma 2 14" xfId="784" xr:uid="{00000000-0005-0000-0000-000010030000}"/>
    <cellStyle name="Comma 2 14 2" xfId="785" xr:uid="{00000000-0005-0000-0000-000011030000}"/>
    <cellStyle name="Comma 2 14 3" xfId="3045" xr:uid="{C1867373-29E9-44CF-972B-80471AB9ADD5}"/>
    <cellStyle name="Comma 2 15" xfId="786" xr:uid="{00000000-0005-0000-0000-000012030000}"/>
    <cellStyle name="Comma 2 15 2" xfId="787" xr:uid="{00000000-0005-0000-0000-000013030000}"/>
    <cellStyle name="Comma 2 15 3" xfId="3046" xr:uid="{6D140B16-DFF5-4A8A-B483-1270625595C1}"/>
    <cellStyle name="Comma 2 16" xfId="788" xr:uid="{00000000-0005-0000-0000-000014030000}"/>
    <cellStyle name="Comma 2 16 2" xfId="789" xr:uid="{00000000-0005-0000-0000-000015030000}"/>
    <cellStyle name="Comma 2 16 3" xfId="3047" xr:uid="{AD5BC0A1-950A-4B5A-817C-07A09B538519}"/>
    <cellStyle name="Comma 2 17" xfId="790" xr:uid="{00000000-0005-0000-0000-000016030000}"/>
    <cellStyle name="Comma 2 17 2" xfId="791" xr:uid="{00000000-0005-0000-0000-000017030000}"/>
    <cellStyle name="Comma 2 17 3" xfId="3048" xr:uid="{F3A5BB1F-D4A4-43F7-88AF-17534208AEC9}"/>
    <cellStyle name="Comma 2 18" xfId="792" xr:uid="{00000000-0005-0000-0000-000018030000}"/>
    <cellStyle name="Comma 2 18 2" xfId="793" xr:uid="{00000000-0005-0000-0000-000019030000}"/>
    <cellStyle name="Comma 2 18 3" xfId="3049" xr:uid="{E838855B-EDCB-4EF6-8DD5-A81244DBBB83}"/>
    <cellStyle name="Comma 2 19" xfId="794" xr:uid="{00000000-0005-0000-0000-00001A030000}"/>
    <cellStyle name="Comma 2 19 2" xfId="795" xr:uid="{00000000-0005-0000-0000-00001B030000}"/>
    <cellStyle name="Comma 2 19 3" xfId="3050" xr:uid="{B0C17B82-5F9A-438B-B4A3-C807CF362E1C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2 3" xfId="3056" xr:uid="{CE538DE6-5D58-44B6-A6B2-39323CBDC972}"/>
    <cellStyle name="Comma 2 2 2 2 2 2 2 3" xfId="804" xr:uid="{00000000-0005-0000-0000-000024030000}"/>
    <cellStyle name="Comma 2 2 2 2 2 2 2 3 2" xfId="805" xr:uid="{00000000-0005-0000-0000-000025030000}"/>
    <cellStyle name="Comma 2 2 2 2 2 2 2 3 3" xfId="3057" xr:uid="{A912B6DB-EE4A-4651-A2DC-3EF2FC964E42}"/>
    <cellStyle name="Comma 2 2 2 2 2 2 2 4" xfId="3055" xr:uid="{A5F63825-5350-4D7B-9D88-09A52BA42B0B}"/>
    <cellStyle name="Comma 2 2 2 2 2 2 3" xfId="806" xr:uid="{00000000-0005-0000-0000-000026030000}"/>
    <cellStyle name="Comma 2 2 2 2 2 2 3 2" xfId="3058" xr:uid="{4D2EF11E-6DB9-49E1-A02C-F3AC680431D3}"/>
    <cellStyle name="Comma 2 2 2 2 2 2 4" xfId="807" xr:uid="{00000000-0005-0000-0000-000027030000}"/>
    <cellStyle name="Comma 2 2 2 2 2 2 5" xfId="3054" xr:uid="{434ED6B4-2D43-4A57-86AA-96BE2AA2CC6A}"/>
    <cellStyle name="Comma 2 2 2 2 2 3" xfId="808" xr:uid="{00000000-0005-0000-0000-000028030000}"/>
    <cellStyle name="Comma 2 2 2 2 2 3 2" xfId="809" xr:uid="{00000000-0005-0000-0000-000029030000}"/>
    <cellStyle name="Comma 2 2 2 2 2 3 3" xfId="3059" xr:uid="{9C1EF324-FD74-4990-9639-835EB22A52A4}"/>
    <cellStyle name="Comma 2 2 2 2 2 4" xfId="810" xr:uid="{00000000-0005-0000-0000-00002A030000}"/>
    <cellStyle name="Comma 2 2 2 2 2 4 2" xfId="811" xr:uid="{00000000-0005-0000-0000-00002B030000}"/>
    <cellStyle name="Comma 2 2 2 2 2 4 3" xfId="3060" xr:uid="{C2B9D5D3-AEF7-4D9C-8441-9C787B46E48A}"/>
    <cellStyle name="Comma 2 2 2 2 2 5" xfId="3053" xr:uid="{292E16A3-50C0-4300-B2A0-C61C77350C20}"/>
    <cellStyle name="Comma 2 2 2 2 3" xfId="812" xr:uid="{00000000-0005-0000-0000-00002C030000}"/>
    <cellStyle name="Comma 2 2 2 2 3 2" xfId="3061" xr:uid="{77E7F2D4-EB1C-49C4-B9B2-4930A683FA23}"/>
    <cellStyle name="Comma 2 2 2 2 4" xfId="813" xr:uid="{00000000-0005-0000-0000-00002D030000}"/>
    <cellStyle name="Comma 2 2 2 2 4 2" xfId="3062" xr:uid="{EF259039-703B-4878-97EA-1EF79FAA0879}"/>
    <cellStyle name="Comma 2 2 2 2 5" xfId="814" xr:uid="{00000000-0005-0000-0000-00002E030000}"/>
    <cellStyle name="Comma 2 2 2 2 6" xfId="3052" xr:uid="{0373272B-0826-49BA-9FF1-39B70AE684DF}"/>
    <cellStyle name="Comma 2 2 2 3" xfId="815" xr:uid="{00000000-0005-0000-0000-00002F030000}"/>
    <cellStyle name="Comma 2 2 2 3 2" xfId="816" xr:uid="{00000000-0005-0000-0000-000030030000}"/>
    <cellStyle name="Comma 2 2 2 3 3" xfId="3063" xr:uid="{B8EB6C39-C34F-4D87-9075-EEFBF0382F10}"/>
    <cellStyle name="Comma 2 2 2 4" xfId="817" xr:uid="{00000000-0005-0000-0000-000031030000}"/>
    <cellStyle name="Comma 2 2 2 4 2" xfId="818" xr:uid="{00000000-0005-0000-0000-000032030000}"/>
    <cellStyle name="Comma 2 2 2 4 3" xfId="3064" xr:uid="{C8DB41C1-0628-4707-A6A3-C0449242A08C}"/>
    <cellStyle name="Comma 2 2 2 5" xfId="819" xr:uid="{00000000-0005-0000-0000-000033030000}"/>
    <cellStyle name="Comma 2 2 2 5 2" xfId="820" xr:uid="{00000000-0005-0000-0000-000034030000}"/>
    <cellStyle name="Comma 2 2 2 5 3" xfId="3065" xr:uid="{2A1B62FC-872C-48CF-8C35-6E29BB6A25EB}"/>
    <cellStyle name="Comma 2 2 2 6" xfId="3051" xr:uid="{6BB74C52-7C4A-42E6-8EEE-864D18B444ED}"/>
    <cellStyle name="Comma 2 2 3" xfId="821" xr:uid="{00000000-0005-0000-0000-000035030000}"/>
    <cellStyle name="Comma 2 2 3 2" xfId="822" xr:uid="{00000000-0005-0000-0000-000036030000}"/>
    <cellStyle name="Comma 2 2 3 3" xfId="3066" xr:uid="{10AA6034-2BB7-45AC-AF3E-BA103CE5F44B}"/>
    <cellStyle name="Comma 2 2 4" xfId="823" xr:uid="{00000000-0005-0000-0000-000037030000}"/>
    <cellStyle name="Comma 2 2 4 2" xfId="3067" xr:uid="{D327E1DC-367F-4D39-84A6-E24CC3A29998}"/>
    <cellStyle name="Comma 2 2 5" xfId="824" xr:uid="{00000000-0005-0000-0000-000038030000}"/>
    <cellStyle name="Comma 2 2 5 2" xfId="3068" xr:uid="{4BC0779D-8E6A-4D1A-A3B3-265220889FF9}"/>
    <cellStyle name="Comma 2 2 6" xfId="825" xr:uid="{00000000-0005-0000-0000-000039030000}"/>
    <cellStyle name="Comma 2 2 6 2" xfId="3069" xr:uid="{FC8A6416-4D38-4252-93E9-24DDFD334EFF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0 3" xfId="3070" xr:uid="{E8504335-EF0B-40B3-BB11-27915C02D1DC}"/>
    <cellStyle name="Comma 2 21" xfId="829" xr:uid="{00000000-0005-0000-0000-00003D030000}"/>
    <cellStyle name="Comma 2 21 2" xfId="830" xr:uid="{00000000-0005-0000-0000-00003E030000}"/>
    <cellStyle name="Comma 2 21 3" xfId="3071" xr:uid="{534A85AA-F339-4927-8E0A-7F27368C88BB}"/>
    <cellStyle name="Comma 2 22" xfId="831" xr:uid="{00000000-0005-0000-0000-00003F030000}"/>
    <cellStyle name="Comma 2 22 2" xfId="832" xr:uid="{00000000-0005-0000-0000-000040030000}"/>
    <cellStyle name="Comma 2 22 3" xfId="3072" xr:uid="{019EDD3C-1E42-4A89-9D85-4F854F325998}"/>
    <cellStyle name="Comma 2 23" xfId="833" xr:uid="{00000000-0005-0000-0000-000041030000}"/>
    <cellStyle name="Comma 2 23 2" xfId="834" xr:uid="{00000000-0005-0000-0000-000042030000}"/>
    <cellStyle name="Comma 2 23 3" xfId="3073" xr:uid="{CE5A0BC8-EFDA-470A-925C-0AE092386415}"/>
    <cellStyle name="Comma 2 24" xfId="835" xr:uid="{00000000-0005-0000-0000-000043030000}"/>
    <cellStyle name="Comma 2 24 2" xfId="836" xr:uid="{00000000-0005-0000-0000-000044030000}"/>
    <cellStyle name="Comma 2 24 3" xfId="3074" xr:uid="{66A82A04-1B58-4C2E-9645-23D94777C17A}"/>
    <cellStyle name="Comma 2 25" xfId="837" xr:uid="{00000000-0005-0000-0000-000045030000}"/>
    <cellStyle name="Comma 2 25 2" xfId="838" xr:uid="{00000000-0005-0000-0000-000046030000}"/>
    <cellStyle name="Comma 2 25 3" xfId="3075" xr:uid="{D4192D6C-4BA9-41C4-A724-B2A0FF9D1918}"/>
    <cellStyle name="Comma 2 26" xfId="839" xr:uid="{00000000-0005-0000-0000-000047030000}"/>
    <cellStyle name="Comma 2 26 2" xfId="840" xr:uid="{00000000-0005-0000-0000-000048030000}"/>
    <cellStyle name="Comma 2 26 3" xfId="3076" xr:uid="{735FA171-3D24-4D5C-AB35-83AB490C0D30}"/>
    <cellStyle name="Comma 2 27" xfId="841" xr:uid="{00000000-0005-0000-0000-000049030000}"/>
    <cellStyle name="Comma 2 27 2" xfId="842" xr:uid="{00000000-0005-0000-0000-00004A030000}"/>
    <cellStyle name="Comma 2 27 3" xfId="3077" xr:uid="{4F40CF85-B1C9-49D3-A52B-2C972B4DFC2A}"/>
    <cellStyle name="Comma 2 28" xfId="843" xr:uid="{00000000-0005-0000-0000-00004B030000}"/>
    <cellStyle name="Comma 2 28 2" xfId="844" xr:uid="{00000000-0005-0000-0000-00004C030000}"/>
    <cellStyle name="Comma 2 28 3" xfId="3078" xr:uid="{A4DA0430-6849-4B2C-A5F5-72BA4228DB00}"/>
    <cellStyle name="Comma 2 29" xfId="845" xr:uid="{00000000-0005-0000-0000-00004D030000}"/>
    <cellStyle name="Comma 2 29 2" xfId="846" xr:uid="{00000000-0005-0000-0000-00004E030000}"/>
    <cellStyle name="Comma 2 29 3" xfId="3079" xr:uid="{7BD30170-43AC-4F85-A55B-43E9215E9B3A}"/>
    <cellStyle name="Comma 2 3" xfId="847" xr:uid="{00000000-0005-0000-0000-00004F030000}"/>
    <cellStyle name="Comma 2 3 2" xfId="848" xr:uid="{00000000-0005-0000-0000-000050030000}"/>
    <cellStyle name="Comma 2 3 3" xfId="3080" xr:uid="{60D14EEC-05C6-49B0-9F35-6D37685098FC}"/>
    <cellStyle name="Comma 2 30" xfId="849" xr:uid="{00000000-0005-0000-0000-000051030000}"/>
    <cellStyle name="Comma 2 30 2" xfId="850" xr:uid="{00000000-0005-0000-0000-000052030000}"/>
    <cellStyle name="Comma 2 30 3" xfId="3081" xr:uid="{548602E8-C7B2-4F42-BCEA-7A01F379E763}"/>
    <cellStyle name="Comma 2 31" xfId="851" xr:uid="{00000000-0005-0000-0000-000053030000}"/>
    <cellStyle name="Comma 2 31 2" xfId="852" xr:uid="{00000000-0005-0000-0000-000054030000}"/>
    <cellStyle name="Comma 2 31 3" xfId="3082" xr:uid="{74D0E64C-66D9-49E9-9B5B-362590BC2750}"/>
    <cellStyle name="Comma 2 32" xfId="853" xr:uid="{00000000-0005-0000-0000-000055030000}"/>
    <cellStyle name="Comma 2 32 2" xfId="854" xr:uid="{00000000-0005-0000-0000-000056030000}"/>
    <cellStyle name="Comma 2 32 3" xfId="3083" xr:uid="{0C681DF3-E95C-4D7B-B92D-5B49C8453D07}"/>
    <cellStyle name="Comma 2 33" xfId="855" xr:uid="{00000000-0005-0000-0000-000057030000}"/>
    <cellStyle name="Comma 2 33 2" xfId="856" xr:uid="{00000000-0005-0000-0000-000058030000}"/>
    <cellStyle name="Comma 2 33 3" xfId="3084" xr:uid="{98EEB5A4-45EA-41AF-817C-639CA65141CA}"/>
    <cellStyle name="Comma 2 34" xfId="857" xr:uid="{00000000-0005-0000-0000-000059030000}"/>
    <cellStyle name="Comma 2 34 2" xfId="858" xr:uid="{00000000-0005-0000-0000-00005A030000}"/>
    <cellStyle name="Comma 2 34 3" xfId="3085" xr:uid="{95E30297-53F3-42D2-BF25-79B3DAB2AA0A}"/>
    <cellStyle name="Comma 2 35" xfId="859" xr:uid="{00000000-0005-0000-0000-00005B030000}"/>
    <cellStyle name="Comma 2 35 2" xfId="860" xr:uid="{00000000-0005-0000-0000-00005C030000}"/>
    <cellStyle name="Comma 2 35 3" xfId="3086" xr:uid="{D49C1B0E-A666-45C7-AEE7-D8319AEFCB3D}"/>
    <cellStyle name="Comma 2 36" xfId="861" xr:uid="{00000000-0005-0000-0000-00005D030000}"/>
    <cellStyle name="Comma 2 36 2" xfId="862" xr:uid="{00000000-0005-0000-0000-00005E030000}"/>
    <cellStyle name="Comma 2 36 3" xfId="3087" xr:uid="{9082B455-17FA-4C1A-8D63-E796ADE46D61}"/>
    <cellStyle name="Comma 2 37" xfId="863" xr:uid="{00000000-0005-0000-0000-00005F030000}"/>
    <cellStyle name="Comma 2 37 2" xfId="864" xr:uid="{00000000-0005-0000-0000-000060030000}"/>
    <cellStyle name="Comma 2 37 3" xfId="3088" xr:uid="{6FD2996F-B042-47C1-A7A4-E645E12016AF}"/>
    <cellStyle name="Comma 2 38" xfId="865" xr:uid="{00000000-0005-0000-0000-000061030000}"/>
    <cellStyle name="Comma 2 38 2" xfId="866" xr:uid="{00000000-0005-0000-0000-000062030000}"/>
    <cellStyle name="Comma 2 38 3" xfId="3089" xr:uid="{19A2A224-DC0F-40C6-B85F-3C7438EB6AF8}"/>
    <cellStyle name="Comma 2 39" xfId="867" xr:uid="{00000000-0005-0000-0000-000063030000}"/>
    <cellStyle name="Comma 2 39 2" xfId="868" xr:uid="{00000000-0005-0000-0000-000064030000}"/>
    <cellStyle name="Comma 2 39 3" xfId="3090" xr:uid="{8D82E791-171C-48D3-B277-B43C6914926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0 3" xfId="3091" xr:uid="{E1BE61A9-2B6C-484E-B003-1D61146AFE42}"/>
    <cellStyle name="Comma 2 41" xfId="875" xr:uid="{00000000-0005-0000-0000-00006B030000}"/>
    <cellStyle name="Comma 2 41 2" xfId="876" xr:uid="{00000000-0005-0000-0000-00006C030000}"/>
    <cellStyle name="Comma 2 41 3" xfId="3092" xr:uid="{23D27F6F-D27C-4011-A778-6AFA311F3030}"/>
    <cellStyle name="Comma 2 42" xfId="877" xr:uid="{00000000-0005-0000-0000-00006D030000}"/>
    <cellStyle name="Comma 2 42 2" xfId="878" xr:uid="{00000000-0005-0000-0000-00006E030000}"/>
    <cellStyle name="Comma 2 42 3" xfId="3093" xr:uid="{CA392237-F2D7-41A8-BC19-3D872EA343EE}"/>
    <cellStyle name="Comma 2 43" xfId="879" xr:uid="{00000000-0005-0000-0000-00006F030000}"/>
    <cellStyle name="Comma 2 43 2" xfId="880" xr:uid="{00000000-0005-0000-0000-000070030000}"/>
    <cellStyle name="Comma 2 43 3" xfId="3094" xr:uid="{F11FB0F4-086E-4415-9358-B340202D30C7}"/>
    <cellStyle name="Comma 2 44" xfId="881" xr:uid="{00000000-0005-0000-0000-000071030000}"/>
    <cellStyle name="Comma 2 44 2" xfId="882" xr:uid="{00000000-0005-0000-0000-000072030000}"/>
    <cellStyle name="Comma 2 44 3" xfId="3095" xr:uid="{6329D4E8-B5B6-4A54-842E-9AD756199C37}"/>
    <cellStyle name="Comma 2 45" xfId="883" xr:uid="{00000000-0005-0000-0000-000073030000}"/>
    <cellStyle name="Comma 2 45 2" xfId="884" xr:uid="{00000000-0005-0000-0000-000074030000}"/>
    <cellStyle name="Comma 2 45 3" xfId="3096" xr:uid="{16FABC5D-E010-497A-AF1C-7154B5FD46EF}"/>
    <cellStyle name="Comma 2 46" xfId="885" xr:uid="{00000000-0005-0000-0000-000075030000}"/>
    <cellStyle name="Comma 2 46 2" xfId="886" xr:uid="{00000000-0005-0000-0000-000076030000}"/>
    <cellStyle name="Comma 2 46 3" xfId="3097" xr:uid="{DE889437-008A-4667-A4D6-E2E669833A90}"/>
    <cellStyle name="Comma 2 47" xfId="887" xr:uid="{00000000-0005-0000-0000-000077030000}"/>
    <cellStyle name="Comma 2 47 2" xfId="888" xr:uid="{00000000-0005-0000-0000-000078030000}"/>
    <cellStyle name="Comma 2 47 3" xfId="3098" xr:uid="{86213DB4-6907-449B-B678-5A16F2F75006}"/>
    <cellStyle name="Comma 2 48" xfId="889" xr:uid="{00000000-0005-0000-0000-000079030000}"/>
    <cellStyle name="Comma 2 48 2" xfId="890" xr:uid="{00000000-0005-0000-0000-00007A030000}"/>
    <cellStyle name="Comma 2 48 3" xfId="3099" xr:uid="{4E3EB5AA-72F2-4A49-8B5C-5C72FC9C2979}"/>
    <cellStyle name="Comma 2 49" xfId="891" xr:uid="{00000000-0005-0000-0000-00007B030000}"/>
    <cellStyle name="Comma 2 49 2" xfId="892" xr:uid="{00000000-0005-0000-0000-00007C030000}"/>
    <cellStyle name="Comma 2 49 3" xfId="3100" xr:uid="{C69917E3-0734-4657-BEA3-AC98A4F91924}"/>
    <cellStyle name="Comma 2 5" xfId="893" xr:uid="{00000000-0005-0000-0000-00007D030000}"/>
    <cellStyle name="Comma 2 5 2" xfId="894" xr:uid="{00000000-0005-0000-0000-00007E030000}"/>
    <cellStyle name="Comma 2 5 3" xfId="3101" xr:uid="{E3E5D57C-90D3-4AC1-B755-B3438091000A}"/>
    <cellStyle name="Comma 2 50" xfId="895" xr:uid="{00000000-0005-0000-0000-00007F030000}"/>
    <cellStyle name="Comma 2 50 2" xfId="896" xr:uid="{00000000-0005-0000-0000-000080030000}"/>
    <cellStyle name="Comma 2 50 3" xfId="3102" xr:uid="{56BB6E67-307E-4BE6-84D2-B9A61B7F67D9}"/>
    <cellStyle name="Comma 2 51" xfId="897" xr:uid="{00000000-0005-0000-0000-000081030000}"/>
    <cellStyle name="Comma 2 51 2" xfId="898" xr:uid="{00000000-0005-0000-0000-000082030000}"/>
    <cellStyle name="Comma 2 51 3" xfId="3103" xr:uid="{8DEF2FC8-3DB7-46F2-A6B9-77FB00CE3C2E}"/>
    <cellStyle name="Comma 2 52" xfId="899" xr:uid="{00000000-0005-0000-0000-000083030000}"/>
    <cellStyle name="Comma 2 52 2" xfId="900" xr:uid="{00000000-0005-0000-0000-000084030000}"/>
    <cellStyle name="Comma 2 52 3" xfId="3104" xr:uid="{9730646B-60A6-4736-8081-35235C4DA134}"/>
    <cellStyle name="Comma 2 53" xfId="901" xr:uid="{00000000-0005-0000-0000-000085030000}"/>
    <cellStyle name="Comma 2 53 2" xfId="902" xr:uid="{00000000-0005-0000-0000-000086030000}"/>
    <cellStyle name="Comma 2 53 3" xfId="3105" xr:uid="{18E9A742-7482-4343-B446-6A74407F4B89}"/>
    <cellStyle name="Comma 2 54" xfId="903" xr:uid="{00000000-0005-0000-0000-000087030000}"/>
    <cellStyle name="Comma 2 54 2" xfId="904" xr:uid="{00000000-0005-0000-0000-000088030000}"/>
    <cellStyle name="Comma 2 54 3" xfId="3106" xr:uid="{1AF6AE64-DB8F-4B33-80B7-97EB80C88A92}"/>
    <cellStyle name="Comma 2 55" xfId="905" xr:uid="{00000000-0005-0000-0000-000089030000}"/>
    <cellStyle name="Comma 2 55 2" xfId="906" xr:uid="{00000000-0005-0000-0000-00008A030000}"/>
    <cellStyle name="Comma 2 55 3" xfId="3107" xr:uid="{8A08F75A-DF72-405E-83F6-F80F4A04D56D}"/>
    <cellStyle name="Comma 2 56" xfId="907" xr:uid="{00000000-0005-0000-0000-00008B030000}"/>
    <cellStyle name="Comma 2 56 2" xfId="908" xr:uid="{00000000-0005-0000-0000-00008C030000}"/>
    <cellStyle name="Comma 2 56 3" xfId="3108" xr:uid="{8577900C-603E-45C0-A1C8-DDCCCB68F57B}"/>
    <cellStyle name="Comma 2 57" xfId="909" xr:uid="{00000000-0005-0000-0000-00008D030000}"/>
    <cellStyle name="Comma 2 57 2" xfId="910" xr:uid="{00000000-0005-0000-0000-00008E030000}"/>
    <cellStyle name="Comma 2 57 3" xfId="3109" xr:uid="{4548BFEC-6F08-43C1-908B-AE03047B0833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2 3" xfId="3111" xr:uid="{78A87053-F310-469E-B75E-8F3C3CE3B64F}"/>
    <cellStyle name="Comma 2 58 3" xfId="914" xr:uid="{00000000-0005-0000-0000-000092030000}"/>
    <cellStyle name="Comma 2 58 3 2" xfId="915" xr:uid="{00000000-0005-0000-0000-000093030000}"/>
    <cellStyle name="Comma 2 58 3 3" xfId="3112" xr:uid="{E5C93B72-736D-4014-A3A7-8119EA45EA36}"/>
    <cellStyle name="Comma 2 58 4" xfId="916" xr:uid="{00000000-0005-0000-0000-000094030000}"/>
    <cellStyle name="Comma 2 58 4 2" xfId="917" xr:uid="{00000000-0005-0000-0000-000095030000}"/>
    <cellStyle name="Comma 2 58 4 3" xfId="3113" xr:uid="{12B0CA1A-DD18-42EB-8EA2-C30D64AB2CDB}"/>
    <cellStyle name="Comma 2 58 5" xfId="918" xr:uid="{00000000-0005-0000-0000-000096030000}"/>
    <cellStyle name="Comma 2 58 6" xfId="3110" xr:uid="{ABE3D2C6-A385-4141-8220-5CF5002296B0}"/>
    <cellStyle name="Comma 2 59" xfId="919" xr:uid="{00000000-0005-0000-0000-000097030000}"/>
    <cellStyle name="Comma 2 59 2" xfId="920" xr:uid="{00000000-0005-0000-0000-000098030000}"/>
    <cellStyle name="Comma 2 59 3" xfId="3114" xr:uid="{966D8D74-63D8-4F83-86F7-D90B48B13ADE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60 3" xfId="3115" xr:uid="{CBA10FC1-71F5-491F-A746-48348529D2D0}"/>
    <cellStyle name="Comma 2 61" xfId="2691" xr:uid="{119929EB-FFF5-4EB7-A063-EB104631357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8 3" xfId="3116" xr:uid="{7895E14F-6B9F-4E5D-987E-6DCCE641A2AB}"/>
    <cellStyle name="Comma 2 9" xfId="948" xr:uid="{00000000-0005-0000-0000-0000B4030000}"/>
    <cellStyle name="Comma 2 9 2" xfId="949" xr:uid="{00000000-0005-0000-0000-0000B5030000}"/>
    <cellStyle name="Comma 2 9 3" xfId="3117" xr:uid="{3C0C8D29-A8FC-4B22-B2C2-CD5619F4FCE5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2 3" xfId="3119" xr:uid="{BBE64F19-6DDB-4B0E-855F-8DBE7DE85715}"/>
    <cellStyle name="Comma 20 3" xfId="953" xr:uid="{00000000-0005-0000-0000-0000B9030000}"/>
    <cellStyle name="Comma 20 4" xfId="3118" xr:uid="{8DA3A481-B15C-44B5-8BD9-7EF501D94F04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2 3" xfId="3121" xr:uid="{1ADD6D14-A05B-40A4-8BC2-B83F674A8B02}"/>
    <cellStyle name="Comma 21 3" xfId="957" xr:uid="{00000000-0005-0000-0000-0000BD030000}"/>
    <cellStyle name="Comma 21 4" xfId="3120" xr:uid="{6560BB67-FD92-48F6-89B1-3B42D040D167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2 3" xfId="3123" xr:uid="{8662D34A-87FE-4E93-8D66-C4B9E2E8EC06}"/>
    <cellStyle name="Comma 22 3" xfId="961" xr:uid="{00000000-0005-0000-0000-0000C1030000}"/>
    <cellStyle name="Comma 22 4" xfId="3122" xr:uid="{AB787142-AA86-4106-9348-74B1F9707EEB}"/>
    <cellStyle name="Comma 23" xfId="962" xr:uid="{00000000-0005-0000-0000-0000C2030000}"/>
    <cellStyle name="Comma 23 2" xfId="963" xr:uid="{00000000-0005-0000-0000-0000C3030000}"/>
    <cellStyle name="Comma 23 3" xfId="3124" xr:uid="{C3C12BA6-2BD7-45B0-B747-B5DF41DE496F}"/>
    <cellStyle name="Comma 24" xfId="964" xr:uid="{00000000-0005-0000-0000-0000C4030000}"/>
    <cellStyle name="Comma 24 2" xfId="965" xr:uid="{00000000-0005-0000-0000-0000C5030000}"/>
    <cellStyle name="Comma 24 3" xfId="3125" xr:uid="{D1D0B624-15C5-4D4F-AB58-7A0B51960085}"/>
    <cellStyle name="Comma 25" xfId="966" xr:uid="{00000000-0005-0000-0000-0000C6030000}"/>
    <cellStyle name="Comma 25 2" xfId="967" xr:uid="{00000000-0005-0000-0000-0000C7030000}"/>
    <cellStyle name="Comma 25 3" xfId="3126" xr:uid="{1ABB76CA-D37E-40F3-8545-FC2C2CD95BAC}"/>
    <cellStyle name="Comma 26" xfId="968" xr:uid="{00000000-0005-0000-0000-0000C8030000}"/>
    <cellStyle name="Comma 26 2" xfId="969" xr:uid="{00000000-0005-0000-0000-0000C9030000}"/>
    <cellStyle name="Comma 26 3" xfId="3127" xr:uid="{FB999719-5279-46B4-9C20-889A05C67A86}"/>
    <cellStyle name="Comma 27" xfId="970" xr:uid="{00000000-0005-0000-0000-0000CA030000}"/>
    <cellStyle name="Comma 27 2" xfId="3128" xr:uid="{C30E9176-0C1A-48BE-B80B-5D2B7874FBD2}"/>
    <cellStyle name="Comma 28" xfId="971" xr:uid="{00000000-0005-0000-0000-0000CB030000}"/>
    <cellStyle name="Comma 28 2" xfId="972" xr:uid="{00000000-0005-0000-0000-0000CC030000}"/>
    <cellStyle name="Comma 28 3" xfId="3129" xr:uid="{85586FC9-F66B-4578-A216-BA54751C58DB}"/>
    <cellStyle name="Comma 29" xfId="973" xr:uid="{00000000-0005-0000-0000-0000CD030000}"/>
    <cellStyle name="Comma 29 2" xfId="974" xr:uid="{00000000-0005-0000-0000-0000CE030000}"/>
    <cellStyle name="Comma 29 3" xfId="3130" xr:uid="{558B8A42-9040-4FDA-A128-90AF94E0CF18}"/>
    <cellStyle name="Comma 3" xfId="975" xr:uid="{00000000-0005-0000-0000-0000CF030000}"/>
    <cellStyle name="Comma 3 10" xfId="976" xr:uid="{00000000-0005-0000-0000-0000D0030000}"/>
    <cellStyle name="Comma 3 11" xfId="3131" xr:uid="{1C12E760-6CAF-4BD4-BD12-3F13EC8F695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2 2" xfId="3135" xr:uid="{E221B4BD-1615-4D46-8777-5E4692689AC4}"/>
    <cellStyle name="Comma 3 2 2 2 3" xfId="981" xr:uid="{00000000-0005-0000-0000-0000D5030000}"/>
    <cellStyle name="Comma 3 2 2 2 3 2" xfId="3136" xr:uid="{8EEF7E98-A6E6-4B52-9E47-B6350A63318C}"/>
    <cellStyle name="Comma 3 2 2 2 4" xfId="982" xr:uid="{00000000-0005-0000-0000-0000D6030000}"/>
    <cellStyle name="Comma 3 2 2 2 4 2" xfId="3137" xr:uid="{9A2DF3B3-EB7A-4424-B65F-7B12AC49DE9B}"/>
    <cellStyle name="Comma 3 2 2 2 5" xfId="3134" xr:uid="{F3332EE1-586C-4AEB-B321-EFC9BBFEE295}"/>
    <cellStyle name="Comma 3 2 2 3" xfId="983" xr:uid="{00000000-0005-0000-0000-0000D7030000}"/>
    <cellStyle name="Comma 3 2 2 3 2" xfId="3138" xr:uid="{767F3952-CD37-427F-94F9-42C19890A6F9}"/>
    <cellStyle name="Comma 3 2 2 4" xfId="984" xr:uid="{00000000-0005-0000-0000-0000D8030000}"/>
    <cellStyle name="Comma 3 2 2 4 2" xfId="3139" xr:uid="{C6207382-D4E7-4B74-B8B7-F8E01C04BF7F}"/>
    <cellStyle name="Comma 3 2 2 5" xfId="985" xr:uid="{00000000-0005-0000-0000-0000D9030000}"/>
    <cellStyle name="Comma 3 2 2 5 2" xfId="3140" xr:uid="{7F06C688-C1FE-46D2-BEBE-4D6C53B90CE0}"/>
    <cellStyle name="Comma 3 2 2 6" xfId="3133" xr:uid="{510301FD-500C-4E5E-A635-63EF1EEAD036}"/>
    <cellStyle name="Comma 3 2 3" xfId="986" xr:uid="{00000000-0005-0000-0000-0000DA030000}"/>
    <cellStyle name="Comma 3 2 3 2" xfId="3141" xr:uid="{EF0D8DE0-3C5E-4E75-914A-88F2701EAB23}"/>
    <cellStyle name="Comma 3 2 4" xfId="987" xr:uid="{00000000-0005-0000-0000-0000DB030000}"/>
    <cellStyle name="Comma 3 2 4 2" xfId="3142" xr:uid="{F770057D-8D5F-4B9E-AEDB-33A888FFAA72}"/>
    <cellStyle name="Comma 3 2 5" xfId="988" xr:uid="{00000000-0005-0000-0000-0000DC030000}"/>
    <cellStyle name="Comma 3 2 5 2" xfId="3143" xr:uid="{D1950CEB-18F2-406D-879E-1ACA57621145}"/>
    <cellStyle name="Comma 3 2 6" xfId="989" xr:uid="{00000000-0005-0000-0000-0000DD030000}"/>
    <cellStyle name="Comma 3 2 7" xfId="3132" xr:uid="{876C8944-47A0-4EF2-AF00-52615A4B248D}"/>
    <cellStyle name="Comma 3 3" xfId="990" xr:uid="{00000000-0005-0000-0000-0000DE030000}"/>
    <cellStyle name="Comma 3 3 2" xfId="991" xr:uid="{00000000-0005-0000-0000-0000DF030000}"/>
    <cellStyle name="Comma 3 3 2 2" xfId="3145" xr:uid="{995BE09D-6D21-4F72-86C4-092F00C91DB9}"/>
    <cellStyle name="Comma 3 3 3" xfId="992" xr:uid="{00000000-0005-0000-0000-0000E0030000}"/>
    <cellStyle name="Comma 3 3 3 2" xfId="3146" xr:uid="{33DE9018-6CD5-4817-9680-C7B6CACC0BA4}"/>
    <cellStyle name="Comma 3 3 4" xfId="993" xr:uid="{00000000-0005-0000-0000-0000E1030000}"/>
    <cellStyle name="Comma 3 3 4 2" xfId="3147" xr:uid="{262BCFD5-2872-49B4-A206-7369120B3481}"/>
    <cellStyle name="Comma 3 3 5" xfId="3144" xr:uid="{1131D518-BDB7-488A-B1F2-B2C8942B1862}"/>
    <cellStyle name="Comma 3 4" xfId="994" xr:uid="{00000000-0005-0000-0000-0000E2030000}"/>
    <cellStyle name="Comma 3 4 2" xfId="995" xr:uid="{00000000-0005-0000-0000-0000E3030000}"/>
    <cellStyle name="Comma 3 4 2 2" xfId="3149" xr:uid="{47FA7E18-FC74-4AF4-807E-707EF684CEDA}"/>
    <cellStyle name="Comma 3 4 3" xfId="996" xr:uid="{00000000-0005-0000-0000-0000E4030000}"/>
    <cellStyle name="Comma 3 4 3 2" xfId="3150" xr:uid="{0C120D9D-80D9-4E59-86B9-95540507C15C}"/>
    <cellStyle name="Comma 3 4 4" xfId="997" xr:uid="{00000000-0005-0000-0000-0000E5030000}"/>
    <cellStyle name="Comma 3 4 4 2" xfId="3151" xr:uid="{A3FED434-C322-43AF-A473-349673162E1B}"/>
    <cellStyle name="Comma 3 4 5" xfId="3148" xr:uid="{3447AD81-1124-4869-9F48-2EC210490C11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2 2" xfId="3157" xr:uid="{A020DDAE-D95C-475F-B8EB-8A9505299CC0}"/>
    <cellStyle name="Comma 3 5 2 2 2 2 3" xfId="1004" xr:uid="{00000000-0005-0000-0000-0000EC030000}"/>
    <cellStyle name="Comma 3 5 2 2 2 2 3 2" xfId="3158" xr:uid="{2005CAB7-DAF1-43F4-B804-BDA5D9AADB9F}"/>
    <cellStyle name="Comma 3 5 2 2 2 2 4" xfId="1005" xr:uid="{00000000-0005-0000-0000-0000ED030000}"/>
    <cellStyle name="Comma 3 5 2 2 2 2 4 2" xfId="3159" xr:uid="{40A8EAD9-8C14-4309-AEE0-BDD768DF57AF}"/>
    <cellStyle name="Comma 3 5 2 2 2 2 5" xfId="1006" xr:uid="{00000000-0005-0000-0000-0000EE030000}"/>
    <cellStyle name="Comma 3 5 2 2 2 2 5 2" xfId="3160" xr:uid="{B80D2D68-E28B-40B6-9B5B-001B91B876A7}"/>
    <cellStyle name="Comma 3 5 2 2 2 2 6" xfId="3156" xr:uid="{3857FC0A-1FC3-4D3B-AD6C-F4AF28714095}"/>
    <cellStyle name="Comma 3 5 2 2 2 3" xfId="1007" xr:uid="{00000000-0005-0000-0000-0000EF030000}"/>
    <cellStyle name="Comma 3 5 2 2 2 3 2" xfId="3161" xr:uid="{C31BD69B-4DC1-4840-A42D-1DC8A7F5135B}"/>
    <cellStyle name="Comma 3 5 2 2 2 4" xfId="1008" xr:uid="{00000000-0005-0000-0000-0000F0030000}"/>
    <cellStyle name="Comma 3 5 2 2 2 4 2" xfId="3162" xr:uid="{D1293590-74C9-48A2-BF7A-789FD6F13F62}"/>
    <cellStyle name="Comma 3 5 2 2 2 5" xfId="1009" xr:uid="{00000000-0005-0000-0000-0000F1030000}"/>
    <cellStyle name="Comma 3 5 2 2 2 5 2" xfId="3163" xr:uid="{DDB635BC-7792-4AA2-80F1-4D933746255A}"/>
    <cellStyle name="Comma 3 5 2 2 2 6" xfId="3155" xr:uid="{685EB41F-89B6-4981-B598-311A336FE9CD}"/>
    <cellStyle name="Comma 3 5 2 2 3" xfId="1010" xr:uid="{00000000-0005-0000-0000-0000F2030000}"/>
    <cellStyle name="Comma 3 5 2 2 3 2" xfId="3164" xr:uid="{F168003E-ACDA-4971-B3FE-E779BF6B1582}"/>
    <cellStyle name="Comma 3 5 2 2 4" xfId="1011" xr:uid="{00000000-0005-0000-0000-0000F3030000}"/>
    <cellStyle name="Comma 3 5 2 2 4 2" xfId="3165" xr:uid="{AE03CCA9-E1E4-424E-9559-4104058C84F2}"/>
    <cellStyle name="Comma 3 5 2 2 5" xfId="1012" xr:uid="{00000000-0005-0000-0000-0000F4030000}"/>
    <cellStyle name="Comma 3 5 2 2 5 2" xfId="3166" xr:uid="{F379E24D-982A-4DA2-A4E7-BADDC47ACF0D}"/>
    <cellStyle name="Comma 3 5 2 2 6" xfId="3154" xr:uid="{98D8CABE-A6EE-40E8-B814-FEB8908F3E34}"/>
    <cellStyle name="Comma 3 5 2 3" xfId="1013" xr:uid="{00000000-0005-0000-0000-0000F5030000}"/>
    <cellStyle name="Comma 3 5 2 3 2" xfId="3167" xr:uid="{38C63C08-3075-4F4B-8573-856AC1CDEE63}"/>
    <cellStyle name="Comma 3 5 2 4" xfId="1014" xr:uid="{00000000-0005-0000-0000-0000F6030000}"/>
    <cellStyle name="Comma 3 5 2 4 2" xfId="3168" xr:uid="{060EF659-4517-41F9-AA73-A1916C5A3B28}"/>
    <cellStyle name="Comma 3 5 2 5" xfId="1015" xr:uid="{00000000-0005-0000-0000-0000F7030000}"/>
    <cellStyle name="Comma 3 5 2 5 2" xfId="3169" xr:uid="{4D25AC0A-33FD-49EE-8E49-0A462C22678D}"/>
    <cellStyle name="Comma 3 5 2 6" xfId="3153" xr:uid="{7C4D74B8-52C8-4AB0-A2E7-2AC1DC9422C4}"/>
    <cellStyle name="Comma 3 5 3" xfId="1016" xr:uid="{00000000-0005-0000-0000-0000F8030000}"/>
    <cellStyle name="Comma 3 5 3 2" xfId="1017" xr:uid="{00000000-0005-0000-0000-0000F9030000}"/>
    <cellStyle name="Comma 3 5 3 2 2" xfId="3171" xr:uid="{A57B6CF2-F74B-4886-996F-F562D4BC3933}"/>
    <cellStyle name="Comma 3 5 3 3" xfId="1018" xr:uid="{00000000-0005-0000-0000-0000FA030000}"/>
    <cellStyle name="Comma 3 5 3 3 2" xfId="3172" xr:uid="{6E7C0D8E-CAE6-4087-AE74-EB1FC9E6EE97}"/>
    <cellStyle name="Comma 3 5 3 4" xfId="1019" xr:uid="{00000000-0005-0000-0000-0000FB030000}"/>
    <cellStyle name="Comma 3 5 3 4 2" xfId="3173" xr:uid="{960A11AB-DDDE-4472-8E7F-3B703287FE67}"/>
    <cellStyle name="Comma 3 5 3 5" xfId="3170" xr:uid="{FA321AEC-0517-42B4-A463-8676DDCC91B8}"/>
    <cellStyle name="Comma 3 5 4" xfId="1020" xr:uid="{00000000-0005-0000-0000-0000FC030000}"/>
    <cellStyle name="Comma 3 5 4 2" xfId="3174" xr:uid="{4889B9FC-8607-4130-9BE7-92A0236736E5}"/>
    <cellStyle name="Comma 3 5 5" xfId="1021" xr:uid="{00000000-0005-0000-0000-0000FD030000}"/>
    <cellStyle name="Comma 3 5 5 2" xfId="3175" xr:uid="{A2030E3F-08FC-48E9-A02D-95E70DB3D81C}"/>
    <cellStyle name="Comma 3 5 6" xfId="1022" xr:uid="{00000000-0005-0000-0000-0000FE030000}"/>
    <cellStyle name="Comma 3 5 6 2" xfId="3176" xr:uid="{0B894AB4-20EC-4670-965E-4E6C9E2FFF60}"/>
    <cellStyle name="Comma 3 5 7" xfId="3152" xr:uid="{17672DDB-D8B5-4B3D-815A-9C588A497E52}"/>
    <cellStyle name="Comma 3 6" xfId="1023" xr:uid="{00000000-0005-0000-0000-0000FF030000}"/>
    <cellStyle name="Comma 3 6 2" xfId="3177" xr:uid="{08DBC276-C119-426D-847F-735FD99AA96B}"/>
    <cellStyle name="Comma 3 7" xfId="1024" xr:uid="{00000000-0005-0000-0000-000000040000}"/>
    <cellStyle name="Comma 3 7 2" xfId="3178" xr:uid="{0B70389D-AAA6-42F3-ABB8-F7B0BBA02B7F}"/>
    <cellStyle name="Comma 3 8" xfId="1025" xr:uid="{00000000-0005-0000-0000-000001040000}"/>
    <cellStyle name="Comma 3 8 2" xfId="3179" xr:uid="{451AFB79-B914-461E-821A-03ACD7FA0605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0 3" xfId="3180" xr:uid="{DBE703DA-CA5C-4F97-8D00-7C1C36D015D4}"/>
    <cellStyle name="Comma 31" xfId="1030" xr:uid="{00000000-0005-0000-0000-000006040000}"/>
    <cellStyle name="Comma 31 2" xfId="1031" xr:uid="{00000000-0005-0000-0000-000007040000}"/>
    <cellStyle name="Comma 31 3" xfId="3181" xr:uid="{8BD5B314-B7AA-4484-84BE-A0C67953456F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3 4" xfId="3182" xr:uid="{9F82FAF5-27C0-45C9-84D7-C51609381F8D}"/>
    <cellStyle name="Comma 34" xfId="1038" xr:uid="{00000000-0005-0000-0000-00000E040000}"/>
    <cellStyle name="Comma 34 2" xfId="1039" xr:uid="{00000000-0005-0000-0000-00000F040000}"/>
    <cellStyle name="Comma 34 3" xfId="3183" xr:uid="{290D026B-C2AE-4BFB-95A7-23045EB5D076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7 3" xfId="3184" xr:uid="{CFB81A28-96E9-4FC7-B4DE-5FA54AF0B23B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2 3" xfId="3186" xr:uid="{F7828FDB-280A-4DB2-A34D-13055E70D125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 6" xfId="3185" xr:uid="{DB7B830A-8ED3-475D-9BE0-A00F7F10C261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2 3" xfId="3187" xr:uid="{C0A33045-EC4F-4689-9FC0-9AACC9E26ED7}"/>
    <cellStyle name="Comma 45" xfId="1056" xr:uid="{00000000-0005-0000-0000-000020040000}"/>
    <cellStyle name="Comma 45 2" xfId="1057" xr:uid="{00000000-0005-0000-0000-000021040000}"/>
    <cellStyle name="Comma 45 3" xfId="3188" xr:uid="{0B8CEAE7-25EB-4EB1-976A-B083792EC9F7}"/>
    <cellStyle name="Comma 46" xfId="1058" xr:uid="{00000000-0005-0000-0000-000022040000}"/>
    <cellStyle name="Comma 46 2" xfId="1059" xr:uid="{00000000-0005-0000-0000-000023040000}"/>
    <cellStyle name="Comma 46 3" xfId="3189" xr:uid="{1F6CA30F-699C-407F-B511-70F041083585}"/>
    <cellStyle name="Comma 47" xfId="1060" xr:uid="{00000000-0005-0000-0000-000024040000}"/>
    <cellStyle name="Comma 47 2" xfId="1061" xr:uid="{00000000-0005-0000-0000-000025040000}"/>
    <cellStyle name="Comma 47 3" xfId="3190" xr:uid="{AEBE1380-B8FF-46B3-904B-55EC2EF60ED2}"/>
    <cellStyle name="Comma 48" xfId="1062" xr:uid="{00000000-0005-0000-0000-000026040000}"/>
    <cellStyle name="Comma 48 2" xfId="1063" xr:uid="{00000000-0005-0000-0000-000027040000}"/>
    <cellStyle name="Comma 48 3" xfId="3191" xr:uid="{5D415D29-14F6-4D51-B808-4067398BE1C0}"/>
    <cellStyle name="Comma 49" xfId="1064" xr:uid="{00000000-0005-0000-0000-000028040000}"/>
    <cellStyle name="Comma 49 2" xfId="1065" xr:uid="{00000000-0005-0000-0000-000029040000}"/>
    <cellStyle name="Comma 49 3" xfId="3192" xr:uid="{E9F78AAF-A5FE-49F1-B348-5828CC61D922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2 3" xfId="3193" xr:uid="{11197C28-5A30-4D7F-B516-24F3CC8C711E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0 3" xfId="3194" xr:uid="{F38B95C0-2520-4988-A7C3-052494202073}"/>
    <cellStyle name="Comma 51" xfId="1072" xr:uid="{00000000-0005-0000-0000-000030040000}"/>
    <cellStyle name="Comma 51 2" xfId="1073" xr:uid="{00000000-0005-0000-0000-000031040000}"/>
    <cellStyle name="Comma 51 3" xfId="3195" xr:uid="{78123E01-2BFA-4228-BD91-30EA91418C39}"/>
    <cellStyle name="Comma 52" xfId="1074" xr:uid="{00000000-0005-0000-0000-000032040000}"/>
    <cellStyle name="Comma 52 2" xfId="1075" xr:uid="{00000000-0005-0000-0000-000033040000}"/>
    <cellStyle name="Comma 52 3" xfId="3196" xr:uid="{617E6A58-3CD2-4746-8BB7-1993A4ABE718}"/>
    <cellStyle name="Comma 58" xfId="1076" xr:uid="{00000000-0005-0000-0000-000034040000}"/>
    <cellStyle name="Comma 58 2" xfId="1077" xr:uid="{00000000-0005-0000-0000-000035040000}"/>
    <cellStyle name="Comma 58 3" xfId="3197" xr:uid="{FF6F2D01-C2D5-4BD3-8A80-F034540D2D0B}"/>
    <cellStyle name="Comma 59" xfId="1078" xr:uid="{00000000-0005-0000-0000-000036040000}"/>
    <cellStyle name="Comma 59 2" xfId="1079" xr:uid="{00000000-0005-0000-0000-000037040000}"/>
    <cellStyle name="Comma 59 3" xfId="3198" xr:uid="{3CD6B4B8-BC11-4563-A15D-E1F35A8DD545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 2 3" xfId="3200" xr:uid="{CE698371-5B17-48D0-A1C8-7248F3664BE6}"/>
    <cellStyle name="Comma 6 3" xfId="3199" xr:uid="{931473CD-1404-47D7-B23E-F95DB265C92C}"/>
    <cellStyle name="Comma 62" xfId="1083" xr:uid="{00000000-0005-0000-0000-00003B040000}"/>
    <cellStyle name="Comma 62 2" xfId="1084" xr:uid="{00000000-0005-0000-0000-00003C040000}"/>
    <cellStyle name="Comma 62 3" xfId="3201" xr:uid="{74D48D40-EEEB-4642-8E2F-0F1E1A72FB61}"/>
    <cellStyle name="Comma 63" xfId="1085" xr:uid="{00000000-0005-0000-0000-00003D040000}"/>
    <cellStyle name="Comma 63 2" xfId="1086" xr:uid="{00000000-0005-0000-0000-00003E040000}"/>
    <cellStyle name="Comma 63 3" xfId="3202" xr:uid="{D85E5FCF-6A48-459E-AB81-A49ECBD3157C}"/>
    <cellStyle name="Comma 66" xfId="1087" xr:uid="{00000000-0005-0000-0000-00003F040000}"/>
    <cellStyle name="Comma 66 2" xfId="3203" xr:uid="{5B849F2D-25FB-4A0C-86EA-AD9A31722FC6}"/>
    <cellStyle name="Comma 67" xfId="1088" xr:uid="{00000000-0005-0000-0000-000040040000}"/>
    <cellStyle name="Comma 67 2" xfId="1089" xr:uid="{00000000-0005-0000-0000-000041040000}"/>
    <cellStyle name="Comma 67 3" xfId="3204" xr:uid="{9158DC6C-F342-4405-91FA-89D24E5F151A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2 3" xfId="3206" xr:uid="{8E31267B-C2A8-4C73-9DC7-B87522850602}"/>
    <cellStyle name="Comma 7 3" xfId="1093" xr:uid="{00000000-0005-0000-0000-000045040000}"/>
    <cellStyle name="Comma 7 3 2" xfId="1094" xr:uid="{00000000-0005-0000-0000-000046040000}"/>
    <cellStyle name="Comma 7 3 3" xfId="3207" xr:uid="{648F0BE3-19F6-40CE-8536-897CE90C6E10}"/>
    <cellStyle name="Comma 7 4" xfId="3205" xr:uid="{B12EFE5C-D056-4BAE-B5DA-7C1A3BF49D5E}"/>
    <cellStyle name="Comma 72" xfId="1095" xr:uid="{00000000-0005-0000-0000-000047040000}"/>
    <cellStyle name="Comma 72 2" xfId="3208" xr:uid="{139C9FD7-F04C-4FBE-A742-C8277169828F}"/>
    <cellStyle name="Comma 74" xfId="1096" xr:uid="{00000000-0005-0000-0000-000048040000}"/>
    <cellStyle name="Comma 74 2" xfId="1097" xr:uid="{00000000-0005-0000-0000-000049040000}"/>
    <cellStyle name="Comma 74 3" xfId="3209" xr:uid="{A83B0356-F25D-40E1-88D6-CB99F31B36AC}"/>
    <cellStyle name="Comma 75" xfId="1098" xr:uid="{00000000-0005-0000-0000-00004A040000}"/>
    <cellStyle name="Comma 75 2" xfId="1099" xr:uid="{00000000-0005-0000-0000-00004B040000}"/>
    <cellStyle name="Comma 75 3" xfId="3210" xr:uid="{B3B9310D-B0DE-4223-9104-E83DC45A99B8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2 3" xfId="3213" xr:uid="{8971175D-897D-4AE1-AD6B-222E20BFBB24}"/>
    <cellStyle name="Comma 8 2 3" xfId="1104" xr:uid="{00000000-0005-0000-0000-000050040000}"/>
    <cellStyle name="Comma 8 2 4" xfId="3212" xr:uid="{27C17A73-FA94-4E80-84C4-AD3DCC26A00F}"/>
    <cellStyle name="Comma 8 3" xfId="1105" xr:uid="{00000000-0005-0000-0000-000051040000}"/>
    <cellStyle name="Comma 8 4" xfId="3211" xr:uid="{AB0C3E73-BFFB-41C9-B5BA-01B4275A2DA9}"/>
    <cellStyle name="Comma 82" xfId="1106" xr:uid="{00000000-0005-0000-0000-000052040000}"/>
    <cellStyle name="Comma 82 2" xfId="1107" xr:uid="{00000000-0005-0000-0000-000053040000}"/>
    <cellStyle name="Comma 82 3" xfId="3214" xr:uid="{D687BE1B-E3BB-4964-BA0E-8280A9CAA302}"/>
    <cellStyle name="Comma 83" xfId="1108" xr:uid="{00000000-0005-0000-0000-000054040000}"/>
    <cellStyle name="Comma 83 2" xfId="1109" xr:uid="{00000000-0005-0000-0000-000055040000}"/>
    <cellStyle name="Comma 83 3" xfId="3215" xr:uid="{780B7EE8-5550-4279-82AB-1E74BF71339B}"/>
    <cellStyle name="Comma 85" xfId="1110" xr:uid="{00000000-0005-0000-0000-000056040000}"/>
    <cellStyle name="Comma 85 2" xfId="1111" xr:uid="{00000000-0005-0000-0000-000057040000}"/>
    <cellStyle name="Comma 85 3" xfId="3216" xr:uid="{1DAA1A9F-27B1-45A2-B55C-7067F16DAD86}"/>
    <cellStyle name="Comma 86" xfId="1112" xr:uid="{00000000-0005-0000-0000-000058040000}"/>
    <cellStyle name="Comma 86 2" xfId="1113" xr:uid="{00000000-0005-0000-0000-000059040000}"/>
    <cellStyle name="Comma 86 3" xfId="3217" xr:uid="{AD1EB67B-94CC-4400-BD5E-B645041C80CB}"/>
    <cellStyle name="Comma 89" xfId="1114" xr:uid="{00000000-0005-0000-0000-00005A040000}"/>
    <cellStyle name="Comma 89 2" xfId="3218" xr:uid="{B0087802-3BF4-4FDE-AA2C-B664F360661D}"/>
    <cellStyle name="Comma 9" xfId="1115" xr:uid="{00000000-0005-0000-0000-00005B040000}"/>
    <cellStyle name="Comma 9 2" xfId="1116" xr:uid="{00000000-0005-0000-0000-00005C040000}"/>
    <cellStyle name="Comma 9 2 2" xfId="3220" xr:uid="{F71699F3-3B3B-4FB2-89CD-A500BB3159A4}"/>
    <cellStyle name="Comma 9 3" xfId="1117" xr:uid="{00000000-0005-0000-0000-00005D040000}"/>
    <cellStyle name="Comma 9 3 2" xfId="3221" xr:uid="{51C18A76-9A74-4396-9DBF-C25BC8B4C409}"/>
    <cellStyle name="Comma 9 4" xfId="1118" xr:uid="{00000000-0005-0000-0000-00005E040000}"/>
    <cellStyle name="Comma 9 5" xfId="3219" xr:uid="{1EE17F7A-D5B8-4A73-A9A0-00424B40BDD0}"/>
    <cellStyle name="Comma 98" xfId="1119" xr:uid="{00000000-0005-0000-0000-00005F040000}"/>
    <cellStyle name="Comma 98 2" xfId="3222" xr:uid="{72830CE0-02C4-4D46-8A97-7DC21722AAAD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2 2" xfId="3223" xr:uid="{95FCC82A-2D1B-44A0-B680-2535DF12917B}"/>
    <cellStyle name="Currency [0] 3" xfId="1127" xr:uid="{00000000-0005-0000-0000-000067040000}"/>
    <cellStyle name="Currency [0] 3 2" xfId="3224" xr:uid="{6D8E86FE-8B13-4B0A-8443-555E9B35E747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2 2" xfId="3225" xr:uid="{469804F7-3008-40EE-8475-096C81A1903B}"/>
    <cellStyle name="Normal 16 3" xfId="1573" xr:uid="{00000000-0005-0000-0000-000026060000}"/>
    <cellStyle name="Normal 16 3 2" xfId="1574" xr:uid="{00000000-0005-0000-0000-000027060000}"/>
    <cellStyle name="Normal 16 3 2 2" xfId="3227" xr:uid="{80BCC00F-B4BA-4216-AF57-D314180E88FD}"/>
    <cellStyle name="Normal 16 3 3" xfId="3226" xr:uid="{BF46592C-7D9B-4E6A-A3BB-D6BB178D27C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 5" xfId="3228" xr:uid="{00E13CB6-6496-4455-9335-8882C57C172D}"/>
    <cellStyle name="Normal 18_4_Pembangunan JTM Baru Penyulang CPU 5" xfId="1596" xr:uid="{00000000-0005-0000-0000-00003D060000}"/>
    <cellStyle name="Normal 19" xfId="1597" xr:uid="{00000000-0005-0000-0000-00003E060000}"/>
    <cellStyle name="Normal 19 2" xfId="3229" xr:uid="{A9578905-9ACF-477E-895A-BCA084DCC6E7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6 2" xfId="3230" xr:uid="{1F218859-7734-4D1F-AE59-BA59E34B6CA2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2 2" xfId="3232" xr:uid="{40BD4EB5-9E35-4456-A74C-0718FFCDF708}"/>
    <cellStyle name="Normal 2 11 3" xfId="1618" xr:uid="{00000000-0005-0000-0000-000053060000}"/>
    <cellStyle name="Normal 2 11 3 2" xfId="3233" xr:uid="{174BE4FE-933D-4145-A6E6-512C9E3975C4}"/>
    <cellStyle name="Normal 2 11 4" xfId="1619" xr:uid="{00000000-0005-0000-0000-000054060000}"/>
    <cellStyle name="Normal 2 11 4 2" xfId="3234" xr:uid="{5DE56B66-9BA1-4A42-9035-CDE8F118CD1B}"/>
    <cellStyle name="Normal 2 11 5" xfId="3231" xr:uid="{37706F11-C1ED-4FCA-A0B1-0AABDFC4E71A}"/>
    <cellStyle name="Normal 2 12" xfId="1620" xr:uid="{00000000-0005-0000-0000-000055060000}"/>
    <cellStyle name="Normal 2 12 2" xfId="1621" xr:uid="{00000000-0005-0000-0000-000056060000}"/>
    <cellStyle name="Normal 2 12 2 2" xfId="3236" xr:uid="{459196FE-F4B4-4F89-BC3B-98DE7FCB3B77}"/>
    <cellStyle name="Normal 2 12 3" xfId="3235" xr:uid="{16C84BE4-D66D-42B0-B754-0C24BAC8391F}"/>
    <cellStyle name="Normal 2 12_SR DERET_ASLI" xfId="1622" xr:uid="{00000000-0005-0000-0000-000057060000}"/>
    <cellStyle name="Normal 2 13" xfId="1623" xr:uid="{00000000-0005-0000-0000-000058060000}"/>
    <cellStyle name="Normal 2 13 2" xfId="3237" xr:uid="{A09F2046-923A-4D22-85B8-1CF03F9D0D67}"/>
    <cellStyle name="Normal 2 14" xfId="1624" xr:uid="{00000000-0005-0000-0000-000059060000}"/>
    <cellStyle name="Normal 2 15" xfId="1625" xr:uid="{00000000-0005-0000-0000-00005A060000}"/>
    <cellStyle name="Normal 2 15 2" xfId="3238" xr:uid="{BCAD801C-2AB4-49B0-8C8E-1E14F89C9BD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0 2" xfId="3239" xr:uid="{7B513C56-06D9-4ACB-886F-46D882696D20}"/>
    <cellStyle name="Normal 2 2 11" xfId="1636" xr:uid="{00000000-0005-0000-0000-000065060000}"/>
    <cellStyle name="Normal 2 2 11 2" xfId="3240" xr:uid="{2AA80F82-6862-4DE9-81CC-A3FB1C18DED9}"/>
    <cellStyle name="Normal 2 2 12" xfId="1637" xr:uid="{00000000-0005-0000-0000-000066060000}"/>
    <cellStyle name="Normal 2 2 12 2" xfId="3241" xr:uid="{CA783BF4-8540-4F0A-A2C8-74A5FF901CF4}"/>
    <cellStyle name="Normal 2 2 13" xfId="1638" xr:uid="{00000000-0005-0000-0000-000067060000}"/>
    <cellStyle name="Normal 2 2 13 2" xfId="3242" xr:uid="{7E198B14-004D-4F32-B384-E73A0990EA79}"/>
    <cellStyle name="Normal 2 2 14" xfId="1639" xr:uid="{00000000-0005-0000-0000-000068060000}"/>
    <cellStyle name="Normal 2 2 14 2" xfId="3243" xr:uid="{F69A8638-E557-4FF9-AB38-7BE0DAD53FE4}"/>
    <cellStyle name="Normal 2 2 15" xfId="1640" xr:uid="{00000000-0005-0000-0000-000069060000}"/>
    <cellStyle name="Normal 2 2 15 2" xfId="3244" xr:uid="{F7D2C6F3-5459-4DE1-A13F-C9DCA548B3BA}"/>
    <cellStyle name="Normal 2 2 16" xfId="1641" xr:uid="{00000000-0005-0000-0000-00006A060000}"/>
    <cellStyle name="Normal 2 2 16 2" xfId="3245" xr:uid="{1E607877-055E-4349-ADBC-A6CED71C36AC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4 2" xfId="3246" xr:uid="{F35A8890-7C0F-49FC-ABDC-97F5D02302AC}"/>
    <cellStyle name="Normal 2 2 5" xfId="1674" xr:uid="{00000000-0005-0000-0000-00008B060000}"/>
    <cellStyle name="Normal 2 2 5 2" xfId="3247" xr:uid="{588C7E93-0BF6-4944-9A17-FD7B71128867}"/>
    <cellStyle name="Normal 2 2 6" xfId="1675" xr:uid="{00000000-0005-0000-0000-00008C060000}"/>
    <cellStyle name="Normal 2 2 6 2" xfId="3248" xr:uid="{5A8BE77A-6266-47E9-9860-ED67ABBFC909}"/>
    <cellStyle name="Normal 2 2 7" xfId="1676" xr:uid="{00000000-0005-0000-0000-00008D060000}"/>
    <cellStyle name="Normal 2 2 7 2" xfId="3249" xr:uid="{37E211E3-B185-434E-A067-861D36F60559}"/>
    <cellStyle name="Normal 2 2 8" xfId="1677" xr:uid="{00000000-0005-0000-0000-00008E060000}"/>
    <cellStyle name="Normal 2 2 8 2" xfId="3250" xr:uid="{058AB265-E415-40BB-8A82-C90B8AE796D7}"/>
    <cellStyle name="Normal 2 2 9" xfId="1678" xr:uid="{00000000-0005-0000-0000-00008F060000}"/>
    <cellStyle name="Normal 2 2 9 2" xfId="3251" xr:uid="{EC5DD65B-9D99-48BE-871C-3395949AFE5F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 4" xfId="2694" xr:uid="{B37BEAAF-FB27-40B1-9038-FD4B8C20F131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 3" xfId="3252" xr:uid="{4A28238C-69BF-406C-BD0B-7493632CABDE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 2" xfId="3253" xr:uid="{66C99F88-08AE-4FB5-B926-6E75D4D05C2E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10" xfId="3254" xr:uid="{9DA8B097-FF12-4490-8DA0-C8DA1F98C3F6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 2" xfId="3255" xr:uid="{8A69BF62-6B54-4D79-B82F-D047755DAD6A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 7" xfId="3256" xr:uid="{9DCF3126-65FD-431F-97FF-31FD047276AE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 3" xfId="3257" xr:uid="{7B527FBC-D906-4207-93EB-01313229CC0E}"/>
    <cellStyle name="Normal 21_DATA DINGO &amp; IMG _OK" xfId="1884" xr:uid="{00000000-0005-0000-0000-00005D070000}"/>
    <cellStyle name="Normal 22" xfId="1885" xr:uid="{00000000-0005-0000-0000-00005E070000}"/>
    <cellStyle name="Normal 22 2" xfId="3258" xr:uid="{DA1100D7-310A-4637-A096-379E4A3F86A8}"/>
    <cellStyle name="Normal 23" xfId="1886" xr:uid="{00000000-0005-0000-0000-00005F070000}"/>
    <cellStyle name="Normal 23 2" xfId="3259" xr:uid="{67E4670F-3F33-4688-AFA5-BCC4B6AA72C5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 5" xfId="2692" xr:uid="{44F62430-6188-47B9-AE7F-EB79CCC4D478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2 2" xfId="3261" xr:uid="{3E159338-D3F9-4B3D-B88D-4FE22516BED2}"/>
    <cellStyle name="Normal 8 3" xfId="2024" xr:uid="{00000000-0005-0000-0000-0000E9070000}"/>
    <cellStyle name="Normal 8 4" xfId="3260" xr:uid="{E2C51F0A-73AE-43E6-AC62-98B10C0EB78F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2 2" xfId="3265" xr:uid="{8F350100-C739-4180-A068-5F2FB842C2D3}"/>
    <cellStyle name="Normal 9 2 2 3" xfId="2046" xr:uid="{00000000-0005-0000-0000-0000FF070000}"/>
    <cellStyle name="Normal 9 2 2 3 2" xfId="3266" xr:uid="{F98B19BD-1C5E-4CDF-831C-74A602721705}"/>
    <cellStyle name="Normal 9 2 2 4" xfId="2047" xr:uid="{00000000-0005-0000-0000-000000080000}"/>
    <cellStyle name="Normal 9 2 2 4 2" xfId="3267" xr:uid="{D45E1165-7AA8-4D8C-B870-EADC19DF329D}"/>
    <cellStyle name="Normal 9 2 2 5" xfId="3264" xr:uid="{2AD69DF0-E355-4710-88F4-614B539DD7AA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2 2" xfId="3271" xr:uid="{4EEE29F5-48CC-4E50-B2E0-BF2B437DA8CF}"/>
    <cellStyle name="Normal 9 2 3 2 2 3" xfId="2052" xr:uid="{00000000-0005-0000-0000-000005080000}"/>
    <cellStyle name="Normal 9 2 3 2 2 3 2" xfId="3272" xr:uid="{60547F14-E138-4E27-99BF-836F02F0C2B2}"/>
    <cellStyle name="Normal 9 2 3 2 2 4" xfId="2053" xr:uid="{00000000-0005-0000-0000-000006080000}"/>
    <cellStyle name="Normal 9 2 3 2 2 4 2" xfId="3273" xr:uid="{F270A88A-D725-4C3B-B446-ABDA2A909B3D}"/>
    <cellStyle name="Normal 9 2 3 2 2 5" xfId="2054" xr:uid="{00000000-0005-0000-0000-000007080000}"/>
    <cellStyle name="Normal 9 2 3 2 2 5 2" xfId="3274" xr:uid="{7EC60295-A1E6-4E17-A437-D5CF1716BBE9}"/>
    <cellStyle name="Normal 9 2 3 2 2 6" xfId="3270" xr:uid="{DDF173A5-1711-4179-8AB5-C05CB9DC0351}"/>
    <cellStyle name="Normal 9 2 3 2 3" xfId="2055" xr:uid="{00000000-0005-0000-0000-000008080000}"/>
    <cellStyle name="Normal 9 2 3 2 3 2" xfId="2056" xr:uid="{00000000-0005-0000-0000-000009080000}"/>
    <cellStyle name="Normal 9 2 3 2 3 2 2" xfId="3276" xr:uid="{50A97F65-30E7-45BA-880F-93A33ED3EA30}"/>
    <cellStyle name="Normal 9 2 3 2 3 3" xfId="2057" xr:uid="{00000000-0005-0000-0000-00000A080000}"/>
    <cellStyle name="Normal 9 2 3 2 3 3 2" xfId="3277" xr:uid="{583C6C70-B038-4025-A938-70C9A2E2D481}"/>
    <cellStyle name="Normal 9 2 3 2 3 4" xfId="2058" xr:uid="{00000000-0005-0000-0000-00000B080000}"/>
    <cellStyle name="Normal 9 2 3 2 3 4 2" xfId="3278" xr:uid="{693F7350-8994-47C1-83DC-6989E8CC626D}"/>
    <cellStyle name="Normal 9 2 3 2 3 5" xfId="3275" xr:uid="{4E86051E-815F-481F-9D76-D810D018F615}"/>
    <cellStyle name="Normal 9 2 3 2 4" xfId="2059" xr:uid="{00000000-0005-0000-0000-00000C080000}"/>
    <cellStyle name="Normal 9 2 3 2 4 2" xfId="3279" xr:uid="{161C1D75-B03F-46EB-A5DA-6F940E3D62B2}"/>
    <cellStyle name="Normal 9 2 3 2 5" xfId="2060" xr:uid="{00000000-0005-0000-0000-00000D080000}"/>
    <cellStyle name="Normal 9 2 3 2 5 2" xfId="3280" xr:uid="{7FAC3F97-4F56-4E16-B732-190C4B8F3AEA}"/>
    <cellStyle name="Normal 9 2 3 2 6" xfId="2061" xr:uid="{00000000-0005-0000-0000-00000E080000}"/>
    <cellStyle name="Normal 9 2 3 2 6 2" xfId="3281" xr:uid="{D6EE37A7-674E-413E-96F4-5EFF87607155}"/>
    <cellStyle name="Normal 9 2 3 2 7" xfId="3269" xr:uid="{4A6B2967-2281-48A2-B71B-10FD663B16B1}"/>
    <cellStyle name="Normal 9 2 3 2_PETA POHON LITA TRW I 2010" xfId="2062" xr:uid="{00000000-0005-0000-0000-00000F080000}"/>
    <cellStyle name="Normal 9 2 3 3" xfId="2063" xr:uid="{00000000-0005-0000-0000-000010080000}"/>
    <cellStyle name="Normal 9 2 3 3 2" xfId="3282" xr:uid="{1627B9F1-161D-4473-B751-CA12F922FF38}"/>
    <cellStyle name="Normal 9 2 3 4" xfId="2064" xr:uid="{00000000-0005-0000-0000-000011080000}"/>
    <cellStyle name="Normal 9 2 3 4 2" xfId="3283" xr:uid="{E015B166-91A6-4A9C-901E-7EB8C70FBEA9}"/>
    <cellStyle name="Normal 9 2 3 5" xfId="2065" xr:uid="{00000000-0005-0000-0000-000012080000}"/>
    <cellStyle name="Normal 9 2 3 5 2" xfId="3284" xr:uid="{2D83EB4F-9E32-4FA9-8388-69789D3FF168}"/>
    <cellStyle name="Normal 9 2 3 6" xfId="3268" xr:uid="{115D64E1-AEAD-420B-85B8-521898BC46FE}"/>
    <cellStyle name="Normal 9 2 3_FORMAT PETA&amp;LOKASI RABAS2 JUNI 2010" xfId="2066" xr:uid="{00000000-0005-0000-0000-000013080000}"/>
    <cellStyle name="Normal 9 2 4" xfId="2067" xr:uid="{00000000-0005-0000-0000-000014080000}"/>
    <cellStyle name="Normal 9 2 4 2" xfId="3285" xr:uid="{A74933A4-0E17-42A8-8E25-AA6002297A55}"/>
    <cellStyle name="Normal 9 2 5" xfId="2068" xr:uid="{00000000-0005-0000-0000-000015080000}"/>
    <cellStyle name="Normal 9 2 5 2" xfId="3286" xr:uid="{9D3AD664-C763-43B9-AB34-13B5F0C02F31}"/>
    <cellStyle name="Normal 9 2 6" xfId="2069" xr:uid="{00000000-0005-0000-0000-000016080000}"/>
    <cellStyle name="Normal 9 2 6 2" xfId="3287" xr:uid="{A69E97E8-177A-4257-A916-2DA0209075A4}"/>
    <cellStyle name="Normal 9 2 7" xfId="3263" xr:uid="{B7D90789-1A48-466A-A456-97AC1D65C5F8}"/>
    <cellStyle name="Normal 9 2_ENTRI RABAS-RABAS TRW IV_LT_qq" xfId="2070" xr:uid="{00000000-0005-0000-0000-000017080000}"/>
    <cellStyle name="Normal 9 3" xfId="2071" xr:uid="{00000000-0005-0000-0000-000018080000}"/>
    <cellStyle name="Normal 9 3 2" xfId="3288" xr:uid="{DCC14D17-598E-4D77-AD62-BAB16B2394FE}"/>
    <cellStyle name="Normal 9 4" xfId="2072" xr:uid="{00000000-0005-0000-0000-000019080000}"/>
    <cellStyle name="Normal 9 4 2" xfId="3289" xr:uid="{94479833-7524-47AF-A727-43F916D2AE65}"/>
    <cellStyle name="Normal 9 5" xfId="2073" xr:uid="{00000000-0005-0000-0000-00001A080000}"/>
    <cellStyle name="Normal 9 5 2" xfId="3290" xr:uid="{00DA6A47-9CD7-4250-8A98-198C482F37E4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 8" xfId="3262" xr:uid="{7D930580-CBA0-45C0-962B-5257BAEA215B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 4" xfId="3291" xr:uid="{635301BC-F383-4E63-BF06-A50CA37FCD63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 4" xfId="3292" xr:uid="{FC7A31D4-D0D5-4DC0-9A7C-2D437D486A01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 4" xfId="3293" xr:uid="{D50CF4AC-B985-4C69-81E1-3BDA35AF95F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 4" xfId="3294" xr:uid="{1F04B7CF-6F4D-4E5C-B9E3-2932436C5F49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 4" xfId="3295" xr:uid="{5C632049-1586-4B5A-9123-1A05AFD9A02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 4" xfId="3296" xr:uid="{E3B5CF06-C930-4B74-A8B7-98418645863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 4" xfId="3297" xr:uid="{B289E0C4-5219-4328-AC08-6E5162768C21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 4" xfId="3298" xr:uid="{A022EFBD-0457-43FE-93A2-9680FCED381E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 4" xfId="3299" xr:uid="{20B1DF31-EE27-4BF4-9C5F-CB505333A17B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 4" xfId="3300" xr:uid="{7D5523E1-E51F-43FA-9C11-61AE1ECCD06A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 4" xfId="3301" xr:uid="{DF392157-20FB-4C10-AC87-00CA2B72942E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 4" xfId="3302" xr:uid="{2DE4B2FC-83A0-42D7-94B8-94B0547F0684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 4" xfId="3303" xr:uid="{54DE021C-7E40-4199-BB26-9C931E4F2FEC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 4" xfId="3304" xr:uid="{89E1DADF-8075-420F-8FEA-FA29055B5505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 4" xfId="3305" xr:uid="{8505BD6A-B679-47FB-A836-85B46333D10C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 4" xfId="3306" xr:uid="{F2AAE5A1-C9B7-46F7-A1D2-A6FA25CC02E5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 4" xfId="3307" xr:uid="{9B262350-0361-47E3-B23D-C3EFDD4AFE3F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 4" xfId="3308" xr:uid="{F8AA5604-C2D9-4BE0-B93D-9A34B1900D2B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 4" xfId="3309" xr:uid="{B5ACD420-A955-4AF6-9320-2EF6F5AD10C9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 4" xfId="3310" xr:uid="{61BF7309-909A-4ECA-B0AE-E074E4D3769C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 4" xfId="3311" xr:uid="{7093E9B6-ED01-45E0-BEC8-A2F2498F82EA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 4" xfId="3312" xr:uid="{4A7AED1F-3FC2-4C72-B973-8AF1D1B8ACDA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 4" xfId="3313" xr:uid="{24DB31D7-9DB4-467D-B95E-F0141D29C108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 4" xfId="3314" xr:uid="{D59BE19E-0575-4AF6-842F-E0BFB23AB60A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 4" xfId="3315" xr:uid="{9EBB00CF-22C4-430E-B2A9-891E8141BA22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 4" xfId="3316" xr:uid="{5E8F4200-D52D-4291-BDA0-96B2B0949589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 4" xfId="3317" xr:uid="{44B22F36-8559-4FBC-8FC5-88C3AEB460F1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 4" xfId="3318" xr:uid="{DCD141E3-E3B2-4EB9-8A62-746BE733B7B1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 4" xfId="3319" xr:uid="{2AB9B911-8824-40B6-B1FF-1885532D25C7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 4" xfId="3320" xr:uid="{8DA3D6C4-A746-4F96-A1BC-AF4943EAEA31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 4" xfId="3321" xr:uid="{C898CEFB-A1A9-4083-879D-94769BB17A0F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 4" xfId="3322" xr:uid="{919DCAFD-BA45-4718-8F96-8AEF4E0E0177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 4" xfId="3323" xr:uid="{22A8AD11-F50E-42E3-867A-1EF75F3B0F6C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 4" xfId="3324" xr:uid="{37ADA00E-43B3-4467-9C41-A2D09F2A8622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 4" xfId="3325" xr:uid="{7CEDF028-2CCC-4D96-B89C-27E3600BD081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 4" xfId="3326" xr:uid="{71D3340D-4E70-4BF5-8C08-A8151F7FB7D3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 4" xfId="3327" xr:uid="{626AA525-C2FF-4DC6-9BE0-104D273D2CCA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 4" xfId="3328" xr:uid="{E79AC231-CFB8-4D87-B05C-317D4419DA07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 4" xfId="3329" xr:uid="{C592B71B-8874-41FC-9CE1-95C9B48FCA3E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 4" xfId="3330" xr:uid="{BB0ABEC9-B454-4F77-834C-6D611339CF04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 4" xfId="3331" xr:uid="{71C853B7-736D-4801-B9FD-393232A7E1E2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 4" xfId="3332" xr:uid="{4A540369-4FAD-42A7-9CF0-8DE0EB3AB369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 4" xfId="3333" xr:uid="{9CF2F042-3B53-40BB-9D37-89DA46C9BAAC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 4" xfId="3334" xr:uid="{16808FD0-904B-4EF0-AE2E-96D0A166EB7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 4" xfId="3335" xr:uid="{96678D52-40D5-4321-A6B8-177DED92CCE3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 4" xfId="3336" xr:uid="{7B758A73-490D-4951-94FD-64039D089986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 4" xfId="3337" xr:uid="{B6470EC2-4A3D-4F01-AF60-F61B55ACB861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 4" xfId="3338" xr:uid="{171EA315-9363-46C1-B053-286CD271FCA4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 4" xfId="3339" xr:uid="{FC1FFDCA-E227-471E-AC42-2CC6A6D58D84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 4" xfId="3340" xr:uid="{BA2B0224-85F1-4C99-8702-2F088FFF9A85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 4" xfId="3341" xr:uid="{01A20DE4-A345-447B-9688-84BD6B61BB48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 4" xfId="3342" xr:uid="{0F6AAF5E-DBDE-4B3B-BE82-533A4842E6B1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 4" xfId="3343" xr:uid="{BFE5131E-F159-4CF4-AC7E-5B687C0D0158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 4" xfId="3344" xr:uid="{0939E711-E70E-44FC-8AF8-6EF4F68302DA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 4" xfId="3345" xr:uid="{CA6ECB73-DBF2-4037-9B0E-9DC3B2279B9C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 4" xfId="3346" xr:uid="{9117C561-A2A7-463B-8EB7-96CB7B3F2EB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 4" xfId="3347" xr:uid="{18B86224-717E-4BE5-AEF4-219EE9E90F24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 4" xfId="3348" xr:uid="{FAA7F6CE-FB6F-4C49-82DB-30E61BFFB3D5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 4" xfId="3349" xr:uid="{CE352438-E17A-43B1-B0DA-37B3E816F236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 4" xfId="3350" xr:uid="{62463FE0-83C0-4B86-8705-E4B5A1ED376C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 4" xfId="3351" xr:uid="{5326EB08-B7DB-4850-86AA-689A98FA75AE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 4" xfId="3352" xr:uid="{D9FA8E9A-0515-48DB-97FE-65AEB04846EB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 4" xfId="3353" xr:uid="{262FA922-FC5B-49C6-85F9-FDB3DFD4364C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2 2" xfId="3357" xr:uid="{DD7486DE-E2C2-4A39-B9B8-D6378B0F9E3A}"/>
    <cellStyle name="Percent 2 2 2 2 2 3" xfId="2528" xr:uid="{00000000-0005-0000-0000-0000E2090000}"/>
    <cellStyle name="Percent 2 2 2 2 2 3 2" xfId="3358" xr:uid="{00259B44-6ADD-4D0E-BD9D-EE1B25027B7C}"/>
    <cellStyle name="Percent 2 2 2 2 2 4" xfId="2529" xr:uid="{00000000-0005-0000-0000-0000E3090000}"/>
    <cellStyle name="Percent 2 2 2 2 2 4 2" xfId="3359" xr:uid="{1DAAB991-791B-451E-8AF9-2A7072F9A302}"/>
    <cellStyle name="Percent 2 2 2 2 2 5" xfId="2530" xr:uid="{00000000-0005-0000-0000-0000E4090000}"/>
    <cellStyle name="Percent 2 2 2 2 2 5 2" xfId="3360" xr:uid="{13B07252-A48C-4E8E-9BC5-9F43CB367FC7}"/>
    <cellStyle name="Percent 2 2 2 2 2 6" xfId="3356" xr:uid="{57F717F2-70A9-48EA-996C-1FDE7F63B093}"/>
    <cellStyle name="Percent 2 2 2 2 3" xfId="2531" xr:uid="{00000000-0005-0000-0000-0000E5090000}"/>
    <cellStyle name="Percent 2 2 2 2 3 2" xfId="3361" xr:uid="{4F23627D-E730-40B2-9256-C1893F84E964}"/>
    <cellStyle name="Percent 2 2 2 2 4" xfId="2532" xr:uid="{00000000-0005-0000-0000-0000E6090000}"/>
    <cellStyle name="Percent 2 2 2 2 4 2" xfId="3362" xr:uid="{7D4F670E-A5F3-40C1-A089-2D965529FDB6}"/>
    <cellStyle name="Percent 2 2 2 2 5" xfId="2533" xr:uid="{00000000-0005-0000-0000-0000E7090000}"/>
    <cellStyle name="Percent 2 2 2 2 5 2" xfId="3363" xr:uid="{CF3D46E1-1664-4669-8DBA-944C713820E0}"/>
    <cellStyle name="Percent 2 2 2 2 6" xfId="3355" xr:uid="{33234A2F-8380-4FBE-A1B0-E0DA3FD196B7}"/>
    <cellStyle name="Percent 2 2 2 3" xfId="2534" xr:uid="{00000000-0005-0000-0000-0000E8090000}"/>
    <cellStyle name="Percent 2 2 2 3 2" xfId="3364" xr:uid="{F6ED7FAE-5254-4767-B1AF-29F0982267BA}"/>
    <cellStyle name="Percent 2 2 2 4" xfId="2535" xr:uid="{00000000-0005-0000-0000-0000E9090000}"/>
    <cellStyle name="Percent 2 2 2 4 2" xfId="3365" xr:uid="{025FB050-A47C-471B-9057-194CAF7204F0}"/>
    <cellStyle name="Percent 2 2 2 5" xfId="2536" xr:uid="{00000000-0005-0000-0000-0000EA090000}"/>
    <cellStyle name="Percent 2 2 2 5 2" xfId="3366" xr:uid="{BCD720D7-B99B-496E-B492-CC76A9AEEE70}"/>
    <cellStyle name="Percent 2 2 2 6" xfId="2537" xr:uid="{00000000-0005-0000-0000-0000EB090000}"/>
    <cellStyle name="Percent 2 2 2 6 2" xfId="3367" xr:uid="{160F3877-FFC2-47BE-AD19-CD46F5B20C80}"/>
    <cellStyle name="Percent 2 2 2 7" xfId="2538" xr:uid="{00000000-0005-0000-0000-0000EC090000}"/>
    <cellStyle name="Percent 2 2 2 7 2" xfId="3368" xr:uid="{5604B4FD-D7D6-4785-8B30-303A5568E711}"/>
    <cellStyle name="Percent 2 2 2 8" xfId="3354" xr:uid="{BDC82254-05A1-45B8-889D-EFF86F44891B}"/>
    <cellStyle name="Percent 2 2 3" xfId="2539" xr:uid="{00000000-0005-0000-0000-0000ED090000}"/>
    <cellStyle name="Percent 2 2 3 2" xfId="3369" xr:uid="{D6C2D333-DE03-4AD8-936F-8EBAF2D95470}"/>
    <cellStyle name="Percent 2 2 4" xfId="2540" xr:uid="{00000000-0005-0000-0000-0000EE090000}"/>
    <cellStyle name="Percent 2 2 4 2" xfId="3370" xr:uid="{439D4188-3BAE-4367-BEEB-446B8E57D6B7}"/>
    <cellStyle name="Percent 2 2 5" xfId="2541" xr:uid="{00000000-0005-0000-0000-0000EF090000}"/>
    <cellStyle name="Percent 2 2 5 2" xfId="3371" xr:uid="{D48371FA-8F4E-4A46-81CF-6839B3BFFB9B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3 3" xfId="3372" xr:uid="{64E8287F-D1AE-4D25-972A-2F26578A16A3}"/>
    <cellStyle name="Percent 2 4" xfId="2546" xr:uid="{00000000-0005-0000-0000-0000F4090000}"/>
    <cellStyle name="Percent 2 4 2" xfId="3373" xr:uid="{EE9CC049-22CB-4AF6-AB8D-99C159BF05FE}"/>
    <cellStyle name="Percent 2 5" xfId="2547" xr:uid="{00000000-0005-0000-0000-0000F5090000}"/>
    <cellStyle name="Percent 2 5 2" xfId="3374" xr:uid="{6201348D-87C3-46E1-A64E-686A4208D4D0}"/>
    <cellStyle name="Percent 2 6" xfId="2548" xr:uid="{00000000-0005-0000-0000-0000F6090000}"/>
    <cellStyle name="Percent 2 6 2" xfId="3375" xr:uid="{C617A310-C6F5-4C9C-B18E-A49F46A8D29B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2 2" xfId="3378" xr:uid="{34A78789-1DEA-4AE6-B7BB-609ECE0F7C42}"/>
    <cellStyle name="Percent 5 2 3" xfId="2558" xr:uid="{00000000-0005-0000-0000-0000000A0000}"/>
    <cellStyle name="Percent 5 2 3 2" xfId="3379" xr:uid="{6B864B3D-F607-451F-BF07-960043CB4780}"/>
    <cellStyle name="Percent 5 2 4" xfId="2559" xr:uid="{00000000-0005-0000-0000-0000010A0000}"/>
    <cellStyle name="Percent 5 2 4 2" xfId="3380" xr:uid="{5BCD40C2-0186-48A1-A1DE-F6FB7C14C149}"/>
    <cellStyle name="Percent 5 2 5" xfId="2560" xr:uid="{00000000-0005-0000-0000-0000020A0000}"/>
    <cellStyle name="Percent 5 2 5 2" xfId="3381" xr:uid="{6629C552-C4FC-4AC1-A279-BB68B969038A}"/>
    <cellStyle name="Percent 5 2 6" xfId="2561" xr:uid="{00000000-0005-0000-0000-0000030A0000}"/>
    <cellStyle name="Percent 5 2 6 2" xfId="2562" xr:uid="{00000000-0005-0000-0000-0000040A0000}"/>
    <cellStyle name="Percent 5 2 7" xfId="3377" xr:uid="{7899507C-8EFE-4460-974F-3275793A3418}"/>
    <cellStyle name="Percent 5 3" xfId="2563" xr:uid="{00000000-0005-0000-0000-0000050A0000}"/>
    <cellStyle name="Percent 5 3 2" xfId="3382" xr:uid="{27B9418B-7B11-498C-BE81-BD848022CBB3}"/>
    <cellStyle name="Percent 5 4" xfId="2564" xr:uid="{00000000-0005-0000-0000-0000060A0000}"/>
    <cellStyle name="Percent 5 4 2" xfId="3383" xr:uid="{4172EAB5-259F-4B02-85CF-59DC3E2A750C}"/>
    <cellStyle name="Percent 5 5" xfId="2565" xr:uid="{00000000-0005-0000-0000-0000070A0000}"/>
    <cellStyle name="Percent 5 5 2" xfId="3384" xr:uid="{4BABFE33-1A53-4961-86CF-DB46740E1C4B}"/>
    <cellStyle name="Percent 5 6" xfId="3376" xr:uid="{F044D5E5-F63A-432E-904A-52D0C5953DFE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8 2" xfId="3385" xr:uid="{90CDB688-06A2-4304-9803-D9734EDDDABE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bt2 3" xfId="3386" xr:uid="{C388C377-9D31-4001-8867-7FA674D891F0}"/>
    <cellStyle name="subt1" xfId="2589" xr:uid="{00000000-0005-0000-0000-00001F0A0000}"/>
    <cellStyle name="subt1 2" xfId="2590" xr:uid="{00000000-0005-0000-0000-0000200A0000}"/>
    <cellStyle name="subt1 3" xfId="3387" xr:uid="{465694C6-D059-4306-8695-F4759D8BF803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0.41499999999999992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0.96094178803921293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097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097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536721" y="146775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306169</xdr:colOff>
      <xdr:row>17</xdr:row>
      <xdr:rowOff>142875</xdr:rowOff>
    </xdr:from>
    <xdr:to>
      <xdr:col>17</xdr:col>
      <xdr:colOff>190500</xdr:colOff>
      <xdr:row>22</xdr:row>
      <xdr:rowOff>145918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9E21847-5A9B-40D1-9883-011B1BFA7A80}"/>
            </a:ext>
          </a:extLst>
        </xdr:cNvPr>
        <xdr:cNvCxnSpPr/>
      </xdr:nvCxnSpPr>
      <xdr:spPr>
        <a:xfrm flipH="1">
          <a:off x="5182969" y="2762250"/>
          <a:ext cx="1027331" cy="765043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20</xdr:row>
      <xdr:rowOff>135689</xdr:rowOff>
    </xdr:from>
    <xdr:to>
      <xdr:col>14</xdr:col>
      <xdr:colOff>168132</xdr:colOff>
      <xdr:row>21</xdr:row>
      <xdr:rowOff>10886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2F6119CE-0368-49A4-A01C-E2816964E52C}"/>
            </a:ext>
          </a:extLst>
        </xdr:cNvPr>
        <xdr:cNvCxnSpPr>
          <a:cxnSpLocks/>
          <a:stCxn id="242" idx="7"/>
        </xdr:cNvCxnSpPr>
      </xdr:nvCxnSpPr>
      <xdr:spPr>
        <a:xfrm flipH="1">
          <a:off x="1300843" y="3216346"/>
          <a:ext cx="3749532" cy="27597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B8C8E68-4E1C-451B-9088-EF81CFB4F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87" y="192698"/>
          <a:ext cx="827374" cy="812260"/>
        </a:xfrm>
        <a:prstGeom prst="rect">
          <a:avLst/>
        </a:prstGeom>
      </xdr:spPr>
    </xdr:pic>
    <xdr:clientData/>
  </xdr:twoCellAnchor>
  <xdr:twoCellAnchor>
    <xdr:from>
      <xdr:col>26</xdr:col>
      <xdr:colOff>93498</xdr:colOff>
      <xdr:row>5</xdr:row>
      <xdr:rowOff>31607</xdr:rowOff>
    </xdr:from>
    <xdr:to>
      <xdr:col>29</xdr:col>
      <xdr:colOff>378135</xdr:colOff>
      <xdr:row>17</xdr:row>
      <xdr:rowOff>4634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5FF559FE-3B3D-4610-A5A3-0E9CD31F922E}"/>
            </a:ext>
          </a:extLst>
        </xdr:cNvPr>
        <xdr:cNvGrpSpPr/>
      </xdr:nvGrpSpPr>
      <xdr:grpSpPr>
        <a:xfrm>
          <a:off x="9581863" y="815588"/>
          <a:ext cx="1486253" cy="1826738"/>
          <a:chOff x="9713886" y="808452"/>
          <a:chExt cx="1342558" cy="1766630"/>
        </a:xfrm>
      </xdr:grpSpPr>
      <xdr:grpSp>
        <xdr:nvGrpSpPr>
          <xdr:cNvPr id="114" name="Group 13">
            <a:extLst>
              <a:ext uri="{FF2B5EF4-FFF2-40B4-BE49-F238E27FC236}">
                <a16:creationId xmlns:a16="http://schemas.microsoft.com/office/drawing/2014/main" id="{1392328E-D318-4532-8ADC-433EF7A9262F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173" name="Oval 1">
              <a:extLst>
                <a:ext uri="{FF2B5EF4-FFF2-40B4-BE49-F238E27FC236}">
                  <a16:creationId xmlns:a16="http://schemas.microsoft.com/office/drawing/2014/main" id="{269859A5-6170-4CB2-9871-7B3C9107A9D7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74" name="Straight Connector 3">
              <a:extLst>
                <a:ext uri="{FF2B5EF4-FFF2-40B4-BE49-F238E27FC236}">
                  <a16:creationId xmlns:a16="http://schemas.microsoft.com/office/drawing/2014/main" id="{247FF49D-1040-448A-ACC9-DD32A8C6CA54}"/>
                </a:ext>
              </a:extLst>
            </xdr:cNvPr>
            <xdr:cNvCxnSpPr>
              <a:stCxn id="130" idx="1"/>
              <a:endCxn id="13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5" name="Straight Connector 7">
              <a:extLst>
                <a:ext uri="{FF2B5EF4-FFF2-40B4-BE49-F238E27FC236}">
                  <a16:creationId xmlns:a16="http://schemas.microsoft.com/office/drawing/2014/main" id="{4BBBAC34-1568-47B8-8DAD-3C47DAEC150C}"/>
                </a:ext>
              </a:extLst>
            </xdr:cNvPr>
            <xdr:cNvCxnSpPr>
              <a:stCxn id="130" idx="3"/>
              <a:endCxn id="13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id="{B158E6CE-7D6E-475C-A8A3-CB8AD5EF5174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A84884A8-2261-49E7-A1F9-3BDB539181E5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170" name="Oval 169">
              <a:extLst>
                <a:ext uri="{FF2B5EF4-FFF2-40B4-BE49-F238E27FC236}">
                  <a16:creationId xmlns:a16="http://schemas.microsoft.com/office/drawing/2014/main" id="{0A78F262-AF33-4609-A17B-1645843ED538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71" name="Straight Connector 170">
              <a:extLst>
                <a:ext uri="{FF2B5EF4-FFF2-40B4-BE49-F238E27FC236}">
                  <a16:creationId xmlns:a16="http://schemas.microsoft.com/office/drawing/2014/main" id="{366BDAE4-ADC6-4D13-BE9E-17813018AB6C}"/>
                </a:ext>
              </a:extLst>
            </xdr:cNvPr>
            <xdr:cNvCxnSpPr>
              <a:stCxn id="170" idx="1"/>
              <a:endCxn id="17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2" name="Straight Connector 171">
              <a:extLst>
                <a:ext uri="{FF2B5EF4-FFF2-40B4-BE49-F238E27FC236}">
                  <a16:creationId xmlns:a16="http://schemas.microsoft.com/office/drawing/2014/main" id="{DF1A2C17-CF99-4CD1-B551-0CB6D9A1BF97}"/>
                </a:ext>
              </a:extLst>
            </xdr:cNvPr>
            <xdr:cNvCxnSpPr>
              <a:stCxn id="170" idx="3"/>
              <a:endCxn id="17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7" name="Oval 116">
            <a:extLst>
              <a:ext uri="{FF2B5EF4-FFF2-40B4-BE49-F238E27FC236}">
                <a16:creationId xmlns:a16="http://schemas.microsoft.com/office/drawing/2014/main" id="{9005D581-0DA5-4BF0-BC90-4313B674FA3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A3AAC857-67F5-4F72-A95D-F426DEFE24B7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99116364-31E1-47A9-8007-33087B507E97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A764E3E9-AED5-4516-9F99-2149BDE48E13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8BF9FEB3-0543-43CA-B015-23C21558A386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D6923920-B644-4A6B-9D9F-77879313993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CF214C96-8BA6-44A7-8382-12C474E303F7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C0992ED2-4DCA-4503-B31C-14A990E33A3B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5CCBC0A3-78A7-46D9-BC7F-95A7C71AF88A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C8C63844-A0A6-47FE-A060-9A4A29098BF5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973C8FDD-A47C-42AF-BC2A-AB24C1C7742B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68D86C06-4AE3-4FC4-A39E-45DC433A1ED8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A7878A09-21E7-455F-A3C4-61689FA4673E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Connector 50">
            <a:extLst>
              <a:ext uri="{FF2B5EF4-FFF2-40B4-BE49-F238E27FC236}">
                <a16:creationId xmlns:a16="http://schemas.microsoft.com/office/drawing/2014/main" id="{760AEF30-F7BC-48FE-9C3B-95D00212EC99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5C7319C9-365B-4DD3-9D82-AF8069DCCE37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52">
            <a:extLst>
              <a:ext uri="{FF2B5EF4-FFF2-40B4-BE49-F238E27FC236}">
                <a16:creationId xmlns:a16="http://schemas.microsoft.com/office/drawing/2014/main" id="{36B651F3-9247-4184-8DCF-6C7AAA0EC193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083F9C7D-E257-432D-9D78-0072AE17CC1C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4EB9E04B-3114-40D1-86A1-827EA8166C45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2BF73412-5848-4F7C-9B4F-B6A44CC0CDA4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A3AA218A-F535-4906-B9E5-8A3E41A47C53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6FA7DF33-277A-4D4B-A4F7-97E5911C47A2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C25A1855-F0F8-4780-A139-84C57532FFD6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8EF6B3E0-33A6-42AB-9BEC-D87C6BFD53C5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Isosceles Triangle 139">
            <a:extLst>
              <a:ext uri="{FF2B5EF4-FFF2-40B4-BE49-F238E27FC236}">
                <a16:creationId xmlns:a16="http://schemas.microsoft.com/office/drawing/2014/main" id="{ED624AF2-8B1D-4B8A-AD03-E3C72C81E82E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" name="Isosceles Triangle 140">
            <a:extLst>
              <a:ext uri="{FF2B5EF4-FFF2-40B4-BE49-F238E27FC236}">
                <a16:creationId xmlns:a16="http://schemas.microsoft.com/office/drawing/2014/main" id="{C0954A0D-BF14-4774-903E-2766D7A6D8F1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42" name="Group 73">
            <a:extLst>
              <a:ext uri="{FF2B5EF4-FFF2-40B4-BE49-F238E27FC236}">
                <a16:creationId xmlns:a16="http://schemas.microsoft.com/office/drawing/2014/main" id="{ECEF9B85-1182-4529-BCC1-3CD78C37A224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5392FA46-72A2-4BEA-B9FF-814FF42F434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169" name="Straight Connector 168">
              <a:extLst>
                <a:ext uri="{FF2B5EF4-FFF2-40B4-BE49-F238E27FC236}">
                  <a16:creationId xmlns:a16="http://schemas.microsoft.com/office/drawing/2014/main" id="{48E21424-2F35-4E2A-90BB-B8B4F22ED4B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3" name="Group 74">
            <a:extLst>
              <a:ext uri="{FF2B5EF4-FFF2-40B4-BE49-F238E27FC236}">
                <a16:creationId xmlns:a16="http://schemas.microsoft.com/office/drawing/2014/main" id="{3D89EDD0-0AF6-4928-9922-8D625732C3E1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F26CBC04-F2A6-49C7-AAC2-2C201820CD08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167" name="Straight Connector 166">
              <a:extLst>
                <a:ext uri="{FF2B5EF4-FFF2-40B4-BE49-F238E27FC236}">
                  <a16:creationId xmlns:a16="http://schemas.microsoft.com/office/drawing/2014/main" id="{F885CE72-59C7-4122-B5F9-FAFD49752576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4" name="Group 89">
            <a:extLst>
              <a:ext uri="{FF2B5EF4-FFF2-40B4-BE49-F238E27FC236}">
                <a16:creationId xmlns:a16="http://schemas.microsoft.com/office/drawing/2014/main" id="{E38AAC79-9736-4405-8181-8C704ACF3647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162" name="Straight Connector 161">
              <a:extLst>
                <a:ext uri="{FF2B5EF4-FFF2-40B4-BE49-F238E27FC236}">
                  <a16:creationId xmlns:a16="http://schemas.microsoft.com/office/drawing/2014/main" id="{678DC464-D584-4FD0-B9F1-449D95EADF64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3" name="Straight Connector 79">
              <a:extLst>
                <a:ext uri="{FF2B5EF4-FFF2-40B4-BE49-F238E27FC236}">
                  <a16:creationId xmlns:a16="http://schemas.microsoft.com/office/drawing/2014/main" id="{EAA75029-01B0-4C59-AEC4-ABC347B1126B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Straight Connector 80">
              <a:extLst>
                <a:ext uri="{FF2B5EF4-FFF2-40B4-BE49-F238E27FC236}">
                  <a16:creationId xmlns:a16="http://schemas.microsoft.com/office/drawing/2014/main" id="{1A0C0B8F-B7B2-430B-82D5-2899A347CB7A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5" name="Straight Connector 88">
              <a:extLst>
                <a:ext uri="{FF2B5EF4-FFF2-40B4-BE49-F238E27FC236}">
                  <a16:creationId xmlns:a16="http://schemas.microsoft.com/office/drawing/2014/main" id="{A54E7F36-574B-442E-8EE3-32820BEF9CAD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5" name="Group 90">
            <a:extLst>
              <a:ext uri="{FF2B5EF4-FFF2-40B4-BE49-F238E27FC236}">
                <a16:creationId xmlns:a16="http://schemas.microsoft.com/office/drawing/2014/main" id="{C6954AD4-E21C-437C-A664-B4E6DD4AE39D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158" name="Straight Connector 157">
              <a:extLst>
                <a:ext uri="{FF2B5EF4-FFF2-40B4-BE49-F238E27FC236}">
                  <a16:creationId xmlns:a16="http://schemas.microsoft.com/office/drawing/2014/main" id="{CC85C210-94CA-46BD-8F05-3089EE162BEF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Straight Connector 158">
              <a:extLst>
                <a:ext uri="{FF2B5EF4-FFF2-40B4-BE49-F238E27FC236}">
                  <a16:creationId xmlns:a16="http://schemas.microsoft.com/office/drawing/2014/main" id="{15BA98C1-E28B-4F3F-9D09-1739B9EC3887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0" name="Straight Connector 159">
              <a:extLst>
                <a:ext uri="{FF2B5EF4-FFF2-40B4-BE49-F238E27FC236}">
                  <a16:creationId xmlns:a16="http://schemas.microsoft.com/office/drawing/2014/main" id="{F08D1A48-9F90-4865-BC46-D63E24A931A7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1" name="Straight Connector 160">
              <a:extLst>
                <a:ext uri="{FF2B5EF4-FFF2-40B4-BE49-F238E27FC236}">
                  <a16:creationId xmlns:a16="http://schemas.microsoft.com/office/drawing/2014/main" id="{901CED83-7B6E-40F3-B216-D244C8BC32B8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6D5DF06E-962C-45C8-A2F1-B3727829BAA5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56F9C520-8256-488B-9E0A-794A0100C174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3EEBEA39-A573-4DC1-A500-6898E2865958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Straight Arrow Connector 148">
            <a:extLst>
              <a:ext uri="{FF2B5EF4-FFF2-40B4-BE49-F238E27FC236}">
                <a16:creationId xmlns:a16="http://schemas.microsoft.com/office/drawing/2014/main" id="{BC42C95F-41BB-4EF2-98B7-F04E401197AC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50" name="Group 155">
            <a:extLst>
              <a:ext uri="{FF2B5EF4-FFF2-40B4-BE49-F238E27FC236}">
                <a16:creationId xmlns:a16="http://schemas.microsoft.com/office/drawing/2014/main" id="{9EBE2CD0-BAB4-4E3F-BFF3-073F4FF5D05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155" name="Isosceles Triangle 154">
              <a:extLst>
                <a:ext uri="{FF2B5EF4-FFF2-40B4-BE49-F238E27FC236}">
                  <a16:creationId xmlns:a16="http://schemas.microsoft.com/office/drawing/2014/main" id="{2935D8E0-9E4A-4200-94AB-02EC84BE3D1E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6" name="Isosceles Triangle 155">
              <a:extLst>
                <a:ext uri="{FF2B5EF4-FFF2-40B4-BE49-F238E27FC236}">
                  <a16:creationId xmlns:a16="http://schemas.microsoft.com/office/drawing/2014/main" id="{6FAEB21E-D744-4DA5-B7BE-5860994C996E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7" name="Isosceles Triangle 156">
              <a:extLst>
                <a:ext uri="{FF2B5EF4-FFF2-40B4-BE49-F238E27FC236}">
                  <a16:creationId xmlns:a16="http://schemas.microsoft.com/office/drawing/2014/main" id="{3F72246E-1384-44BD-AC7F-7DF6E50A2FB6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51" name="Group 134">
            <a:extLst>
              <a:ext uri="{FF2B5EF4-FFF2-40B4-BE49-F238E27FC236}">
                <a16:creationId xmlns:a16="http://schemas.microsoft.com/office/drawing/2014/main" id="{DF280F17-7D47-4921-B209-EB41FDBD2F89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152" name="Isosceles Triangle 151">
              <a:extLst>
                <a:ext uri="{FF2B5EF4-FFF2-40B4-BE49-F238E27FC236}">
                  <a16:creationId xmlns:a16="http://schemas.microsoft.com/office/drawing/2014/main" id="{79405B2A-C30D-42D6-976B-26C3E834A44A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3" name="Isosceles Triangle 152">
              <a:extLst>
                <a:ext uri="{FF2B5EF4-FFF2-40B4-BE49-F238E27FC236}">
                  <a16:creationId xmlns:a16="http://schemas.microsoft.com/office/drawing/2014/main" id="{289464FB-DD80-4E56-B222-6D1105CAB307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4" name="Isosceles Triangle 153">
              <a:extLst>
                <a:ext uri="{FF2B5EF4-FFF2-40B4-BE49-F238E27FC236}">
                  <a16:creationId xmlns:a16="http://schemas.microsoft.com/office/drawing/2014/main" id="{E89B48DE-A4DC-4B12-A573-24A30FDAC707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4</xdr:col>
      <xdr:colOff>333375</xdr:colOff>
      <xdr:row>23</xdr:row>
      <xdr:rowOff>0</xdr:rowOff>
    </xdr:from>
    <xdr:to>
      <xdr:col>15</xdr:col>
      <xdr:colOff>17935</xdr:colOff>
      <xdr:row>23</xdr:row>
      <xdr:rowOff>22093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771820D9-F37A-4D36-B165-C3092F8564C9}"/>
            </a:ext>
          </a:extLst>
        </xdr:cNvPr>
        <xdr:cNvCxnSpPr/>
      </xdr:nvCxnSpPr>
      <xdr:spPr>
        <a:xfrm flipH="1" flipV="1">
          <a:off x="1400175" y="3533775"/>
          <a:ext cx="3875560" cy="22093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212830</xdr:colOff>
      <xdr:row>20</xdr:row>
      <xdr:rowOff>121484</xdr:rowOff>
    </xdr:from>
    <xdr:to>
      <xdr:col>7</xdr:col>
      <xdr:colOff>351339</xdr:colOff>
      <xdr:row>21</xdr:row>
      <xdr:rowOff>111838</xdr:rowOff>
    </xdr:to>
    <xdr:grpSp>
      <xdr:nvGrpSpPr>
        <xdr:cNvPr id="228" name="Group 227">
          <a:extLst>
            <a:ext uri="{FF2B5EF4-FFF2-40B4-BE49-F238E27FC236}">
              <a16:creationId xmlns:a16="http://schemas.microsoft.com/office/drawing/2014/main" id="{307111FA-B4B7-4668-BBB1-44D12F297EDE}"/>
            </a:ext>
          </a:extLst>
        </xdr:cNvPr>
        <xdr:cNvGrpSpPr/>
      </xdr:nvGrpSpPr>
      <xdr:grpSpPr>
        <a:xfrm rot="16200000">
          <a:off x="2422706" y="3223627"/>
          <a:ext cx="144220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29" name="Oval 228">
            <a:extLst>
              <a:ext uri="{FF2B5EF4-FFF2-40B4-BE49-F238E27FC236}">
                <a16:creationId xmlns:a16="http://schemas.microsoft.com/office/drawing/2014/main" id="{F9ED4C87-6150-4945-8C87-49F2B55B1BEA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30" name="Straight Connector 229">
            <a:extLst>
              <a:ext uri="{FF2B5EF4-FFF2-40B4-BE49-F238E27FC236}">
                <a16:creationId xmlns:a16="http://schemas.microsoft.com/office/drawing/2014/main" id="{3D184994-7E1B-4427-95C9-9239EFC28509}"/>
              </a:ext>
            </a:extLst>
          </xdr:cNvPr>
          <xdr:cNvCxnSpPr>
            <a:stCxn id="229" idx="1"/>
            <a:endCxn id="229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F934655D-489F-4898-86F2-9CFC30D32164}"/>
              </a:ext>
            </a:extLst>
          </xdr:cNvPr>
          <xdr:cNvCxnSpPr>
            <a:stCxn id="229" idx="3"/>
            <a:endCxn id="229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296664</xdr:colOff>
      <xdr:row>22</xdr:row>
      <xdr:rowOff>96629</xdr:rowOff>
    </xdr:from>
    <xdr:to>
      <xdr:col>14</xdr:col>
      <xdr:colOff>323850</xdr:colOff>
      <xdr:row>44</xdr:row>
      <xdr:rowOff>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E05B20C-3601-4CF5-82A9-E546934C3436}"/>
            </a:ext>
          </a:extLst>
        </xdr:cNvPr>
        <xdr:cNvCxnSpPr/>
      </xdr:nvCxnSpPr>
      <xdr:spPr>
        <a:xfrm>
          <a:off x="5173464" y="3478004"/>
          <a:ext cx="27186" cy="3265696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147848</xdr:colOff>
      <xdr:row>20</xdr:row>
      <xdr:rowOff>115440</xdr:rowOff>
    </xdr:from>
    <xdr:to>
      <xdr:col>14</xdr:col>
      <xdr:colOff>286357</xdr:colOff>
      <xdr:row>21</xdr:row>
      <xdr:rowOff>101311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3B1435CD-D09B-45FA-9D8A-77546CC5E06B}"/>
            </a:ext>
          </a:extLst>
        </xdr:cNvPr>
        <xdr:cNvGrpSpPr/>
      </xdr:nvGrpSpPr>
      <xdr:grpSpPr>
        <a:xfrm rot="16200000">
          <a:off x="5026965" y="3215342"/>
          <a:ext cx="139737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42" name="Oval 241">
            <a:extLst>
              <a:ext uri="{FF2B5EF4-FFF2-40B4-BE49-F238E27FC236}">
                <a16:creationId xmlns:a16="http://schemas.microsoft.com/office/drawing/2014/main" id="{8D0DCC4B-9B3D-4777-85C9-E3535E5013D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E63367DC-3C5D-4857-85FC-A3ACE62489A9}"/>
              </a:ext>
            </a:extLst>
          </xdr:cNvPr>
          <xdr:cNvCxnSpPr>
            <a:stCxn id="242" idx="1"/>
            <a:endCxn id="242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CC9FC11C-C5FE-48D7-A19B-FA22E5CDE9DB}"/>
              </a:ext>
            </a:extLst>
          </xdr:cNvPr>
          <xdr:cNvCxnSpPr>
            <a:stCxn id="242" idx="3"/>
            <a:endCxn id="242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132085</xdr:colOff>
      <xdr:row>24</xdr:row>
      <xdr:rowOff>42554</xdr:rowOff>
    </xdr:from>
    <xdr:to>
      <xdr:col>15</xdr:col>
      <xdr:colOff>270594</xdr:colOff>
      <xdr:row>25</xdr:row>
      <xdr:rowOff>24998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247CFC3A-DACB-41EA-8A50-72D3C8AD7DD3}"/>
            </a:ext>
          </a:extLst>
        </xdr:cNvPr>
        <xdr:cNvGrpSpPr/>
      </xdr:nvGrpSpPr>
      <xdr:grpSpPr>
        <a:xfrm rot="16200000">
          <a:off x="5393916" y="3756204"/>
          <a:ext cx="136309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46" name="Oval 245">
            <a:extLst>
              <a:ext uri="{FF2B5EF4-FFF2-40B4-BE49-F238E27FC236}">
                <a16:creationId xmlns:a16="http://schemas.microsoft.com/office/drawing/2014/main" id="{3A710EC4-FCF7-45AE-8EF1-AF0A808EE527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E0414630-0EF6-4CDA-97A7-00007C42CBAD}"/>
              </a:ext>
            </a:extLst>
          </xdr:cNvPr>
          <xdr:cNvCxnSpPr>
            <a:stCxn id="246" idx="1"/>
            <a:endCxn id="24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Connector 247">
            <a:extLst>
              <a:ext uri="{FF2B5EF4-FFF2-40B4-BE49-F238E27FC236}">
                <a16:creationId xmlns:a16="http://schemas.microsoft.com/office/drawing/2014/main" id="{78117EB0-60D5-40C5-A4BB-0C4368780D47}"/>
              </a:ext>
            </a:extLst>
          </xdr:cNvPr>
          <xdr:cNvCxnSpPr>
            <a:stCxn id="246" idx="3"/>
            <a:endCxn id="24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120596</xdr:colOff>
      <xdr:row>29</xdr:row>
      <xdr:rowOff>42439</xdr:rowOff>
    </xdr:from>
    <xdr:to>
      <xdr:col>15</xdr:col>
      <xdr:colOff>259105</xdr:colOff>
      <xdr:row>30</xdr:row>
      <xdr:rowOff>34408</xdr:rowOff>
    </xdr:to>
    <xdr:grpSp>
      <xdr:nvGrpSpPr>
        <xdr:cNvPr id="249" name="Group 248">
          <a:extLst>
            <a:ext uri="{FF2B5EF4-FFF2-40B4-BE49-F238E27FC236}">
              <a16:creationId xmlns:a16="http://schemas.microsoft.com/office/drawing/2014/main" id="{E147CAA8-E30C-40D6-92C7-5EE43398A851}"/>
            </a:ext>
          </a:extLst>
        </xdr:cNvPr>
        <xdr:cNvGrpSpPr/>
      </xdr:nvGrpSpPr>
      <xdr:grpSpPr>
        <a:xfrm rot="16200000">
          <a:off x="5381328" y="4526515"/>
          <a:ext cx="138507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50" name="Oval 249">
            <a:extLst>
              <a:ext uri="{FF2B5EF4-FFF2-40B4-BE49-F238E27FC236}">
                <a16:creationId xmlns:a16="http://schemas.microsoft.com/office/drawing/2014/main" id="{A0CDC286-0B38-40F2-93A6-9FD0047E92D3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1" name="Straight Connector 250">
            <a:extLst>
              <a:ext uri="{FF2B5EF4-FFF2-40B4-BE49-F238E27FC236}">
                <a16:creationId xmlns:a16="http://schemas.microsoft.com/office/drawing/2014/main" id="{E706ACE2-0EFA-4EC1-9E57-C09FD2714C5B}"/>
              </a:ext>
            </a:extLst>
          </xdr:cNvPr>
          <xdr:cNvCxnSpPr>
            <a:stCxn id="250" idx="1"/>
            <a:endCxn id="250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5E833B97-1383-4ED5-BE0B-47D258B70035}"/>
              </a:ext>
            </a:extLst>
          </xdr:cNvPr>
          <xdr:cNvCxnSpPr>
            <a:stCxn id="250" idx="3"/>
            <a:endCxn id="250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138023</xdr:colOff>
      <xdr:row>33</xdr:row>
      <xdr:rowOff>147746</xdr:rowOff>
    </xdr:from>
    <xdr:to>
      <xdr:col>15</xdr:col>
      <xdr:colOff>276532</xdr:colOff>
      <xdr:row>34</xdr:row>
      <xdr:rowOff>133617</xdr:rowOff>
    </xdr:to>
    <xdr:grpSp>
      <xdr:nvGrpSpPr>
        <xdr:cNvPr id="253" name="Group 252">
          <a:extLst>
            <a:ext uri="{FF2B5EF4-FFF2-40B4-BE49-F238E27FC236}">
              <a16:creationId xmlns:a16="http://schemas.microsoft.com/office/drawing/2014/main" id="{A640CF0D-FD6B-4060-B3E6-0403286D46E9}"/>
            </a:ext>
          </a:extLst>
        </xdr:cNvPr>
        <xdr:cNvGrpSpPr/>
      </xdr:nvGrpSpPr>
      <xdr:grpSpPr>
        <a:xfrm rot="16200000">
          <a:off x="5398141" y="5240571"/>
          <a:ext cx="139736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54" name="Oval 253">
            <a:extLst>
              <a:ext uri="{FF2B5EF4-FFF2-40B4-BE49-F238E27FC236}">
                <a16:creationId xmlns:a16="http://schemas.microsoft.com/office/drawing/2014/main" id="{58CCC56A-F4E2-46CC-A592-A52C60E03B1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E1CF55F1-A8C2-429E-9445-0B15FB617E2B}"/>
              </a:ext>
            </a:extLst>
          </xdr:cNvPr>
          <xdr:cNvCxnSpPr>
            <a:stCxn id="254" idx="1"/>
            <a:endCxn id="254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6E866C33-311F-4FBE-9102-EBAF8C02D0EA}"/>
              </a:ext>
            </a:extLst>
          </xdr:cNvPr>
          <xdr:cNvCxnSpPr>
            <a:stCxn id="254" idx="3"/>
            <a:endCxn id="254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129455</xdr:colOff>
      <xdr:row>39</xdr:row>
      <xdr:rowOff>67645</xdr:rowOff>
    </xdr:from>
    <xdr:to>
      <xdr:col>15</xdr:col>
      <xdr:colOff>267964</xdr:colOff>
      <xdr:row>40</xdr:row>
      <xdr:rowOff>53516</xdr:rowOff>
    </xdr:to>
    <xdr:grpSp>
      <xdr:nvGrpSpPr>
        <xdr:cNvPr id="257" name="Group 256">
          <a:extLst>
            <a:ext uri="{FF2B5EF4-FFF2-40B4-BE49-F238E27FC236}">
              <a16:creationId xmlns:a16="http://schemas.microsoft.com/office/drawing/2014/main" id="{50F5D7BA-709C-4FB2-91A1-6DB968832B43}"/>
            </a:ext>
          </a:extLst>
        </xdr:cNvPr>
        <xdr:cNvGrpSpPr/>
      </xdr:nvGrpSpPr>
      <xdr:grpSpPr>
        <a:xfrm rot="16200000">
          <a:off x="5389573" y="6098316"/>
          <a:ext cx="139736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58" name="Oval 257">
            <a:extLst>
              <a:ext uri="{FF2B5EF4-FFF2-40B4-BE49-F238E27FC236}">
                <a16:creationId xmlns:a16="http://schemas.microsoft.com/office/drawing/2014/main" id="{0719CE88-11C8-4AD5-A159-37A948E0495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2AF9957A-9758-498A-89DA-CF6AD9E91F08}"/>
              </a:ext>
            </a:extLst>
          </xdr:cNvPr>
          <xdr:cNvCxnSpPr>
            <a:stCxn id="258" idx="1"/>
            <a:endCxn id="258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Straight Connector 259">
            <a:extLst>
              <a:ext uri="{FF2B5EF4-FFF2-40B4-BE49-F238E27FC236}">
                <a16:creationId xmlns:a16="http://schemas.microsoft.com/office/drawing/2014/main" id="{EF13624B-D1EB-47B7-BB79-63F592656A14}"/>
              </a:ext>
            </a:extLst>
          </xdr:cNvPr>
          <xdr:cNvCxnSpPr>
            <a:stCxn id="258" idx="3"/>
            <a:endCxn id="258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219656</xdr:colOff>
      <xdr:row>20</xdr:row>
      <xdr:rowOff>139719</xdr:rowOff>
    </xdr:from>
    <xdr:to>
      <xdr:col>9</xdr:col>
      <xdr:colOff>358165</xdr:colOff>
      <xdr:row>21</xdr:row>
      <xdr:rowOff>116935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DCE3F28A-9145-4524-8FDF-AA73D1D309AF}"/>
            </a:ext>
          </a:extLst>
        </xdr:cNvPr>
        <xdr:cNvGrpSpPr/>
      </xdr:nvGrpSpPr>
      <xdr:grpSpPr>
        <a:xfrm rot="16200000">
          <a:off x="3198101" y="3235293"/>
          <a:ext cx="131082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30" name="Oval 329">
            <a:extLst>
              <a:ext uri="{FF2B5EF4-FFF2-40B4-BE49-F238E27FC236}">
                <a16:creationId xmlns:a16="http://schemas.microsoft.com/office/drawing/2014/main" id="{FD49B777-3AA8-4356-A276-86BD40F6587D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31" name="Straight Connector 330">
            <a:extLst>
              <a:ext uri="{FF2B5EF4-FFF2-40B4-BE49-F238E27FC236}">
                <a16:creationId xmlns:a16="http://schemas.microsoft.com/office/drawing/2014/main" id="{A47F473F-0DF0-4ABA-B870-6D51AB09A719}"/>
              </a:ext>
            </a:extLst>
          </xdr:cNvPr>
          <xdr:cNvCxnSpPr>
            <a:stCxn id="330" idx="1"/>
            <a:endCxn id="330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" name="Straight Connector 331">
            <a:extLst>
              <a:ext uri="{FF2B5EF4-FFF2-40B4-BE49-F238E27FC236}">
                <a16:creationId xmlns:a16="http://schemas.microsoft.com/office/drawing/2014/main" id="{25F09283-F92E-4360-B723-8640CEF8937F}"/>
              </a:ext>
            </a:extLst>
          </xdr:cNvPr>
          <xdr:cNvCxnSpPr>
            <a:stCxn id="330" idx="3"/>
            <a:endCxn id="330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319067</xdr:colOff>
      <xdr:row>20</xdr:row>
      <xdr:rowOff>127912</xdr:rowOff>
    </xdr:from>
    <xdr:to>
      <xdr:col>12</xdr:col>
      <xdr:colOff>76576</xdr:colOff>
      <xdr:row>21</xdr:row>
      <xdr:rowOff>105128</xdr:rowOff>
    </xdr:to>
    <xdr:grpSp>
      <xdr:nvGrpSpPr>
        <xdr:cNvPr id="333" name="Group 332">
          <a:extLst>
            <a:ext uri="{FF2B5EF4-FFF2-40B4-BE49-F238E27FC236}">
              <a16:creationId xmlns:a16="http://schemas.microsoft.com/office/drawing/2014/main" id="{FF75F227-B23F-4706-B21D-39F95663DC79}"/>
            </a:ext>
          </a:extLst>
        </xdr:cNvPr>
        <xdr:cNvGrpSpPr/>
      </xdr:nvGrpSpPr>
      <xdr:grpSpPr>
        <a:xfrm rot="16200000">
          <a:off x="4059512" y="3223486"/>
          <a:ext cx="131082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34" name="Oval 333">
            <a:extLst>
              <a:ext uri="{FF2B5EF4-FFF2-40B4-BE49-F238E27FC236}">
                <a16:creationId xmlns:a16="http://schemas.microsoft.com/office/drawing/2014/main" id="{F3E8012B-A12E-4B86-862B-2FAB36DD0E73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35" name="Straight Connector 334">
            <a:extLst>
              <a:ext uri="{FF2B5EF4-FFF2-40B4-BE49-F238E27FC236}">
                <a16:creationId xmlns:a16="http://schemas.microsoft.com/office/drawing/2014/main" id="{456BC656-F9F8-4807-A88E-CE7BBBA7B87E}"/>
              </a:ext>
            </a:extLst>
          </xdr:cNvPr>
          <xdr:cNvCxnSpPr>
            <a:stCxn id="334" idx="1"/>
            <a:endCxn id="334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Straight Connector 335">
            <a:extLst>
              <a:ext uri="{FF2B5EF4-FFF2-40B4-BE49-F238E27FC236}">
                <a16:creationId xmlns:a16="http://schemas.microsoft.com/office/drawing/2014/main" id="{C2450C14-9AA6-45C6-A7B4-366E7E750F67}"/>
              </a:ext>
            </a:extLst>
          </xdr:cNvPr>
          <xdr:cNvCxnSpPr>
            <a:stCxn id="334" idx="3"/>
            <a:endCxn id="334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276226</xdr:colOff>
      <xdr:row>24</xdr:row>
      <xdr:rowOff>66507</xdr:rowOff>
    </xdr:from>
    <xdr:to>
      <xdr:col>14</xdr:col>
      <xdr:colOff>94016</xdr:colOff>
      <xdr:row>40</xdr:row>
      <xdr:rowOff>114299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968A1240-1383-4BE5-B622-36D274E18FBC}"/>
            </a:ext>
          </a:extLst>
        </xdr:cNvPr>
        <xdr:cNvSpPr txBox="1"/>
      </xdr:nvSpPr>
      <xdr:spPr>
        <a:xfrm>
          <a:off x="3629026" y="3752682"/>
          <a:ext cx="1341790" cy="2495717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900" b="1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107731</xdr:colOff>
      <xdr:row>40</xdr:row>
      <xdr:rowOff>33459</xdr:rowOff>
    </xdr:from>
    <xdr:to>
      <xdr:col>15</xdr:col>
      <xdr:colOff>149740</xdr:colOff>
      <xdr:row>40</xdr:row>
      <xdr:rowOff>53208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B9484B22-7235-450E-8973-F03B4B09B0B0}"/>
            </a:ext>
          </a:extLst>
        </xdr:cNvPr>
        <xdr:cNvCxnSpPr>
          <a:cxnSpLocks/>
          <a:stCxn id="258" idx="1"/>
        </xdr:cNvCxnSpPr>
      </xdr:nvCxnSpPr>
      <xdr:spPr>
        <a:xfrm flipH="1">
          <a:off x="4984531" y="6167559"/>
          <a:ext cx="423009" cy="19749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219807</xdr:colOff>
      <xdr:row>21</xdr:row>
      <xdr:rowOff>80847</xdr:rowOff>
    </xdr:from>
    <xdr:to>
      <xdr:col>14</xdr:col>
      <xdr:colOff>168132</xdr:colOff>
      <xdr:row>21</xdr:row>
      <xdr:rowOff>117231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EB8481B3-0388-4D0E-A892-F5684B090C42}"/>
            </a:ext>
          </a:extLst>
        </xdr:cNvPr>
        <xdr:cNvCxnSpPr>
          <a:cxnSpLocks/>
          <a:endCxn id="242" idx="1"/>
        </xdr:cNvCxnSpPr>
      </xdr:nvCxnSpPr>
      <xdr:spPr>
        <a:xfrm flipV="1">
          <a:off x="1289538" y="3334001"/>
          <a:ext cx="3758325" cy="36384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250311</xdr:colOff>
      <xdr:row>25</xdr:row>
      <xdr:rowOff>5251</xdr:rowOff>
    </xdr:from>
    <xdr:to>
      <xdr:col>15</xdr:col>
      <xdr:colOff>276225</xdr:colOff>
      <xdr:row>44</xdr:row>
      <xdr:rowOff>47625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593639D-8F2D-4140-A986-79E169B91165}"/>
            </a:ext>
          </a:extLst>
        </xdr:cNvPr>
        <xdr:cNvCxnSpPr>
          <a:cxnSpLocks/>
          <a:endCxn id="246" idx="3"/>
        </xdr:cNvCxnSpPr>
      </xdr:nvCxnSpPr>
      <xdr:spPr>
        <a:xfrm flipH="1" flipV="1">
          <a:off x="5508111" y="3843826"/>
          <a:ext cx="25914" cy="2947499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286357</xdr:colOff>
      <xdr:row>21</xdr:row>
      <xdr:rowOff>32175</xdr:rowOff>
    </xdr:from>
    <xdr:to>
      <xdr:col>15</xdr:col>
      <xdr:colOff>201341</xdr:colOff>
      <xdr:row>24</xdr:row>
      <xdr:rowOff>42554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964AF84-91A3-4ED2-B657-7BABC8BD31D5}"/>
            </a:ext>
          </a:extLst>
        </xdr:cNvPr>
        <xdr:cNvCxnSpPr>
          <a:cxnSpLocks/>
          <a:stCxn id="246" idx="6"/>
          <a:endCxn id="242" idx="4"/>
        </xdr:cNvCxnSpPr>
      </xdr:nvCxnSpPr>
      <xdr:spPr>
        <a:xfrm flipH="1" flipV="1">
          <a:off x="5163157" y="3261150"/>
          <a:ext cx="295984" cy="467579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188241</xdr:colOff>
      <xdr:row>19</xdr:row>
      <xdr:rowOff>95620</xdr:rowOff>
    </xdr:from>
    <xdr:to>
      <xdr:col>7</xdr:col>
      <xdr:colOff>371190</xdr:colOff>
      <xdr:row>20</xdr:row>
      <xdr:rowOff>125328</xdr:rowOff>
    </xdr:to>
    <xdr:sp macro="" textlink="">
      <xdr:nvSpPr>
        <xdr:cNvPr id="348" name="Isosceles Triangle 347">
          <a:extLst>
            <a:ext uri="{FF2B5EF4-FFF2-40B4-BE49-F238E27FC236}">
              <a16:creationId xmlns:a16="http://schemas.microsoft.com/office/drawing/2014/main" id="{18D19E94-6370-4A12-B1DD-0D358AD38FE5}"/>
            </a:ext>
          </a:extLst>
        </xdr:cNvPr>
        <xdr:cNvSpPr/>
      </xdr:nvSpPr>
      <xdr:spPr>
        <a:xfrm>
          <a:off x="2398041" y="3019795"/>
          <a:ext cx="182949" cy="182108"/>
        </a:xfrm>
        <a:prstGeom prst="triangle">
          <a:avLst/>
        </a:prstGeom>
        <a:solidFill>
          <a:srgbClr val="FF0000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328449</xdr:colOff>
      <xdr:row>38</xdr:row>
      <xdr:rowOff>65487</xdr:rowOff>
    </xdr:from>
    <xdr:to>
      <xdr:col>14</xdr:col>
      <xdr:colOff>80799</xdr:colOff>
      <xdr:row>40</xdr:row>
      <xdr:rowOff>106089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BD31E7F3-1C8E-4EDE-8926-4A7F353AC768}"/>
            </a:ext>
          </a:extLst>
        </xdr:cNvPr>
        <xdr:cNvSpPr txBox="1"/>
      </xdr:nvSpPr>
      <xdr:spPr>
        <a:xfrm>
          <a:off x="4443249" y="5894787"/>
          <a:ext cx="514350" cy="34540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POMPA AIR</a:t>
          </a:r>
        </a:p>
      </xdr:txBody>
    </xdr:sp>
    <xdr:clientData/>
  </xdr:twoCellAnchor>
  <xdr:twoCellAnchor>
    <xdr:from>
      <xdr:col>7</xdr:col>
      <xdr:colOff>278023</xdr:colOff>
      <xdr:row>21</xdr:row>
      <xdr:rowOff>111838</xdr:rowOff>
    </xdr:from>
    <xdr:to>
      <xdr:col>7</xdr:col>
      <xdr:colOff>282086</xdr:colOff>
      <xdr:row>22</xdr:row>
      <xdr:rowOff>103892</xdr:rowOff>
    </xdr:to>
    <xdr:cxnSp macro="">
      <xdr:nvCxnSpPr>
        <xdr:cNvPr id="371" name="Straight Arrow Connector 370">
          <a:extLst>
            <a:ext uri="{FF2B5EF4-FFF2-40B4-BE49-F238E27FC236}">
              <a16:creationId xmlns:a16="http://schemas.microsoft.com/office/drawing/2014/main" id="{23837C6B-0B79-4EF2-BC09-41CCD111B0A0}"/>
            </a:ext>
          </a:extLst>
        </xdr:cNvPr>
        <xdr:cNvCxnSpPr>
          <a:stCxn id="229" idx="2"/>
        </xdr:cNvCxnSpPr>
      </xdr:nvCxnSpPr>
      <xdr:spPr>
        <a:xfrm flipH="1">
          <a:off x="2487823" y="3340813"/>
          <a:ext cx="4063" cy="14445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63100</xdr:colOff>
      <xdr:row>20</xdr:row>
      <xdr:rowOff>135271</xdr:rowOff>
    </xdr:from>
    <xdr:to>
      <xdr:col>9</xdr:col>
      <xdr:colOff>152400</xdr:colOff>
      <xdr:row>22</xdr:row>
      <xdr:rowOff>76200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5A11C4BE-86D2-4F20-B54A-8599E364AA40}"/>
            </a:ext>
          </a:extLst>
        </xdr:cNvPr>
        <xdr:cNvSpPr txBox="1"/>
      </xdr:nvSpPr>
      <xdr:spPr>
        <a:xfrm>
          <a:off x="2653900" y="3211846"/>
          <a:ext cx="470300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14</xdr:col>
      <xdr:colOff>80799</xdr:colOff>
      <xdr:row>39</xdr:row>
      <xdr:rowOff>85789</xdr:rowOff>
    </xdr:from>
    <xdr:to>
      <xdr:col>15</xdr:col>
      <xdr:colOff>149740</xdr:colOff>
      <xdr:row>39</xdr:row>
      <xdr:rowOff>87702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983A484E-4002-43E9-8BE1-C8C5FF12FCD5}"/>
            </a:ext>
          </a:extLst>
        </xdr:cNvPr>
        <xdr:cNvCxnSpPr>
          <a:cxnSpLocks/>
          <a:stCxn id="258" idx="7"/>
          <a:endCxn id="350" idx="3"/>
        </xdr:cNvCxnSpPr>
      </xdr:nvCxnSpPr>
      <xdr:spPr>
        <a:xfrm flipH="1" flipV="1">
          <a:off x="4957599" y="6067489"/>
          <a:ext cx="449941" cy="1913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4488</xdr:colOff>
      <xdr:row>11</xdr:row>
      <xdr:rowOff>27751</xdr:rowOff>
    </xdr:from>
    <xdr:to>
      <xdr:col>9</xdr:col>
      <xdr:colOff>157014</xdr:colOff>
      <xdr:row>20</xdr:row>
      <xdr:rowOff>65943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B02A166C-11C9-48D6-9D8A-CFD1AA6EF262}"/>
            </a:ext>
          </a:extLst>
        </xdr:cNvPr>
        <xdr:cNvSpPr txBox="1"/>
      </xdr:nvSpPr>
      <xdr:spPr>
        <a:xfrm>
          <a:off x="2598219" y="1734924"/>
          <a:ext cx="533526" cy="1430307"/>
        </a:xfrm>
        <a:prstGeom prst="rect">
          <a:avLst/>
        </a:prstGeom>
        <a:solidFill>
          <a:schemeClr val="lt1"/>
        </a:solidFill>
        <a:ln w="63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5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SYG 06</a:t>
          </a:r>
        </a:p>
        <a:p>
          <a:pPr algn="ctr"/>
          <a:r>
            <a:rPr lang="en-US" sz="5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51/24/9/A2</a:t>
          </a:r>
        </a:p>
        <a:p>
          <a:pPr algn="l"/>
          <a:endParaRPr lang="en-US" sz="5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5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C14-350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CC1-A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CC7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CM2-12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CG312A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2 CM2-11M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M8-02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CM2-11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CE1-3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F1-3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CM2-12A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CJ6-T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 TRF 50 KV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TRF 100 KV</a:t>
          </a:r>
        </a:p>
        <a:p>
          <a:pPr algn="l"/>
          <a:endParaRPr lang="en-US" sz="5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217103</xdr:colOff>
      <xdr:row>21</xdr:row>
      <xdr:rowOff>101311</xdr:rowOff>
    </xdr:from>
    <xdr:to>
      <xdr:col>15</xdr:col>
      <xdr:colOff>132086</xdr:colOff>
      <xdr:row>24</xdr:row>
      <xdr:rowOff>109976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F1992E1-B80C-4A7A-9C75-33D8A1F5E834}"/>
            </a:ext>
          </a:extLst>
        </xdr:cNvPr>
        <xdr:cNvCxnSpPr>
          <a:cxnSpLocks/>
          <a:stCxn id="246" idx="0"/>
          <a:endCxn id="242" idx="2"/>
        </xdr:cNvCxnSpPr>
      </xdr:nvCxnSpPr>
      <xdr:spPr>
        <a:xfrm flipH="1" flipV="1">
          <a:off x="5093903" y="3330286"/>
          <a:ext cx="295983" cy="465865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132086</xdr:colOff>
      <xdr:row>24</xdr:row>
      <xdr:rowOff>109976</xdr:rowOff>
    </xdr:from>
    <xdr:to>
      <xdr:col>15</xdr:col>
      <xdr:colOff>149739</xdr:colOff>
      <xdr:row>40</xdr:row>
      <xdr:rowOff>33267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CB2DACE-2C14-4789-ADEE-EB778C14B898}"/>
            </a:ext>
          </a:extLst>
        </xdr:cNvPr>
        <xdr:cNvCxnSpPr>
          <a:cxnSpLocks/>
          <a:stCxn id="258" idx="1"/>
          <a:endCxn id="246" idx="0"/>
        </xdr:cNvCxnSpPr>
      </xdr:nvCxnSpPr>
      <xdr:spPr>
        <a:xfrm flipH="1" flipV="1">
          <a:off x="5389886" y="3796151"/>
          <a:ext cx="17653" cy="2371216"/>
        </a:xfrm>
        <a:prstGeom prst="line">
          <a:avLst/>
        </a:prstGeom>
        <a:ln w="127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20</xdr:row>
      <xdr:rowOff>142875</xdr:rowOff>
    </xdr:from>
    <xdr:to>
      <xdr:col>11</xdr:col>
      <xdr:colOff>123825</xdr:colOff>
      <xdr:row>22</xdr:row>
      <xdr:rowOff>74279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3B21B52-3E15-41D4-A1F9-6426AADC04E4}"/>
            </a:ext>
          </a:extLst>
        </xdr:cNvPr>
        <xdr:cNvSpPr txBox="1"/>
      </xdr:nvSpPr>
      <xdr:spPr>
        <a:xfrm>
          <a:off x="3495675" y="3219450"/>
          <a:ext cx="361950" cy="236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14</xdr:col>
      <xdr:colOff>142875</xdr:colOff>
      <xdr:row>22</xdr:row>
      <xdr:rowOff>47626</xdr:rowOff>
    </xdr:from>
    <xdr:to>
      <xdr:col>15</xdr:col>
      <xdr:colOff>133350</xdr:colOff>
      <xdr:row>23</xdr:row>
      <xdr:rowOff>140955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917BDEC-422D-443F-8E1D-203571BC356E}"/>
            </a:ext>
          </a:extLst>
        </xdr:cNvPr>
        <xdr:cNvSpPr txBox="1"/>
      </xdr:nvSpPr>
      <xdr:spPr>
        <a:xfrm rot="2202606">
          <a:off x="5019675" y="3429001"/>
          <a:ext cx="371475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12</xdr:col>
      <xdr:colOff>238125</xdr:colOff>
      <xdr:row>20</xdr:row>
      <xdr:rowOff>123825</xdr:rowOff>
    </xdr:from>
    <xdr:to>
      <xdr:col>13</xdr:col>
      <xdr:colOff>228600</xdr:colOff>
      <xdr:row>22</xdr:row>
      <xdr:rowOff>64754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11F7227-7F64-4AF8-9234-080E792BD0F8}"/>
            </a:ext>
          </a:extLst>
        </xdr:cNvPr>
        <xdr:cNvSpPr txBox="1"/>
      </xdr:nvSpPr>
      <xdr:spPr>
        <a:xfrm>
          <a:off x="4352925" y="3200400"/>
          <a:ext cx="371475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14</xdr:col>
      <xdr:colOff>377198</xdr:colOff>
      <xdr:row>26</xdr:row>
      <xdr:rowOff>41903</xdr:rowOff>
    </xdr:from>
    <xdr:to>
      <xdr:col>15</xdr:col>
      <xdr:colOff>241927</xdr:colOff>
      <xdr:row>28</xdr:row>
      <xdr:rowOff>108578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367DF8-0499-4303-BC22-0AE3379BE4AA}"/>
            </a:ext>
          </a:extLst>
        </xdr:cNvPr>
        <xdr:cNvSpPr txBox="1"/>
      </xdr:nvSpPr>
      <xdr:spPr>
        <a:xfrm rot="5400000">
          <a:off x="5191125" y="4095751"/>
          <a:ext cx="371475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15</xdr:col>
      <xdr:colOff>9525</xdr:colOff>
      <xdr:row>31</xdr:row>
      <xdr:rowOff>0</xdr:rowOff>
    </xdr:from>
    <xdr:to>
      <xdr:col>15</xdr:col>
      <xdr:colOff>255254</xdr:colOff>
      <xdr:row>33</xdr:row>
      <xdr:rowOff>66675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F2B7459-3196-400D-8F41-E0EA004698D3}"/>
            </a:ext>
          </a:extLst>
        </xdr:cNvPr>
        <xdr:cNvSpPr txBox="1"/>
      </xdr:nvSpPr>
      <xdr:spPr>
        <a:xfrm rot="5400000">
          <a:off x="5204452" y="4806323"/>
          <a:ext cx="371475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15</xdr:col>
      <xdr:colOff>19050</xdr:colOff>
      <xdr:row>35</xdr:row>
      <xdr:rowOff>123825</xdr:rowOff>
    </xdr:from>
    <xdr:to>
      <xdr:col>15</xdr:col>
      <xdr:colOff>264779</xdr:colOff>
      <xdr:row>38</xdr:row>
      <xdr:rowOff>19050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41FD898-4ACD-422B-BDE2-BD977BB172A8}"/>
            </a:ext>
          </a:extLst>
        </xdr:cNvPr>
        <xdr:cNvSpPr txBox="1"/>
      </xdr:nvSpPr>
      <xdr:spPr>
        <a:xfrm rot="5400000">
          <a:off x="5213977" y="5539748"/>
          <a:ext cx="371475" cy="24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15</xdr:col>
      <xdr:colOff>0</xdr:colOff>
      <xdr:row>19</xdr:row>
      <xdr:rowOff>9525</xdr:rowOff>
    </xdr:from>
    <xdr:to>
      <xdr:col>15</xdr:col>
      <xdr:colOff>138509</xdr:colOff>
      <xdr:row>19</xdr:row>
      <xdr:rowOff>147796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77CF092-6DB3-4FA9-B06D-0769C3CD79EF}"/>
            </a:ext>
          </a:extLst>
        </xdr:cNvPr>
        <xdr:cNvGrpSpPr/>
      </xdr:nvGrpSpPr>
      <xdr:grpSpPr>
        <a:xfrm rot="16200000">
          <a:off x="5260850" y="2954829"/>
          <a:ext cx="138271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D2567344-EB6E-31C5-913E-19D131E91491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2FE920FC-6175-12B3-C559-338A9CD796C6}"/>
              </a:ext>
            </a:extLst>
          </xdr:cNvPr>
          <xdr:cNvCxnSpPr>
            <a:stCxn id="36" idx="1"/>
            <a:endCxn id="3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466AB482-56E1-4D39-65FB-4D67F3B6BAE3}"/>
              </a:ext>
            </a:extLst>
          </xdr:cNvPr>
          <xdr:cNvCxnSpPr>
            <a:stCxn id="36" idx="3"/>
            <a:endCxn id="3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373674</xdr:colOff>
      <xdr:row>19</xdr:row>
      <xdr:rowOff>36635</xdr:rowOff>
    </xdr:from>
    <xdr:to>
      <xdr:col>9</xdr:col>
      <xdr:colOff>240767</xdr:colOff>
      <xdr:row>19</xdr:row>
      <xdr:rowOff>36636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3B93FAB-74B4-4719-A3EC-0CF66E8498B0}"/>
            </a:ext>
          </a:extLst>
        </xdr:cNvPr>
        <xdr:cNvCxnSpPr/>
      </xdr:nvCxnSpPr>
      <xdr:spPr>
        <a:xfrm>
          <a:off x="2586405" y="2982058"/>
          <a:ext cx="629093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175846</xdr:colOff>
      <xdr:row>21</xdr:row>
      <xdr:rowOff>7327</xdr:rowOff>
    </xdr:from>
    <xdr:to>
      <xdr:col>5</xdr:col>
      <xdr:colOff>314355</xdr:colOff>
      <xdr:row>21</xdr:row>
      <xdr:rowOff>145598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E5E31CD-21AB-4915-9C95-9305CE582752}"/>
            </a:ext>
          </a:extLst>
        </xdr:cNvPr>
        <xdr:cNvGrpSpPr/>
      </xdr:nvGrpSpPr>
      <xdr:grpSpPr>
        <a:xfrm rot="16200000">
          <a:off x="1626696" y="3260362"/>
          <a:ext cx="138271" cy="1385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F2F81D2F-7DD4-4BF3-93AD-26C983FC6DED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1EA436D2-AE14-4655-A9E6-5F43D2B65A11}"/>
              </a:ext>
            </a:extLst>
          </xdr:cNvPr>
          <xdr:cNvCxnSpPr>
            <a:stCxn id="45" idx="1"/>
            <a:endCxn id="45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823390B4-33AA-70A5-F469-450A9B79E144}"/>
              </a:ext>
            </a:extLst>
          </xdr:cNvPr>
          <xdr:cNvCxnSpPr>
            <a:stCxn id="45" idx="3"/>
            <a:endCxn id="45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29308</xdr:colOff>
      <xdr:row>21</xdr:row>
      <xdr:rowOff>7327</xdr:rowOff>
    </xdr:from>
    <xdr:to>
      <xdr:col>7</xdr:col>
      <xdr:colOff>10258</xdr:colOff>
      <xdr:row>22</xdr:row>
      <xdr:rowOff>92597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DF95680-2E3F-4504-81FF-2C82EEAB9613}"/>
            </a:ext>
          </a:extLst>
        </xdr:cNvPr>
        <xdr:cNvSpPr txBox="1"/>
      </xdr:nvSpPr>
      <xdr:spPr>
        <a:xfrm>
          <a:off x="1861039" y="3260481"/>
          <a:ext cx="361950" cy="239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 editAs="oneCell">
    <xdr:from>
      <xdr:col>8</xdr:col>
      <xdr:colOff>554182</xdr:colOff>
      <xdr:row>9</xdr:row>
      <xdr:rowOff>86592</xdr:rowOff>
    </xdr:from>
    <xdr:to>
      <xdr:col>21</xdr:col>
      <xdr:colOff>744682</xdr:colOff>
      <xdr:row>65</xdr:row>
      <xdr:rowOff>99753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109CA-F6C4-4B75-85FE-6DDB6B6F3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7091" y="1454728"/>
          <a:ext cx="8070273" cy="8741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Assumptions (2)"/>
      <sheetName val="JTM"/>
      <sheetName val="L20Keu"/>
      <sheetName val="rkap2008"/>
      <sheetName val="UshDeb00"/>
      <sheetName val="Resume"/>
      <sheetName val="Sheet5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-BASE SUTT"/>
      <sheetName val="master rab"/>
      <sheetName val="L20Keu"/>
      <sheetName val="Rekapitulasi"/>
      <sheetName val="Data Base Konstruksi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D2. ANALISA HS INSHAR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NO. PRK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ca"/>
      <sheetName val="W-NAD"/>
      <sheetName val="sept"/>
      <sheetName val="W1"/>
      <sheetName val="Gangg_PL"/>
      <sheetName val="ANALISA SNI'08(ubh bgsting)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5" t="s">
        <v>1134</v>
      </c>
      <c r="C4" s="525"/>
      <c r="D4" s="525"/>
      <c r="E4" s="525"/>
      <c r="F4" s="525"/>
      <c r="G4" s="525"/>
      <c r="H4" s="525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6" t="s">
        <v>0</v>
      </c>
      <c r="C7" s="526" t="s">
        <v>1</v>
      </c>
      <c r="D7" s="527" t="s">
        <v>42</v>
      </c>
      <c r="E7" s="527" t="s">
        <v>43</v>
      </c>
      <c r="F7" s="527" t="s">
        <v>1135</v>
      </c>
      <c r="G7" s="528" t="s">
        <v>41</v>
      </c>
      <c r="H7" s="524" t="s">
        <v>1042</v>
      </c>
      <c r="I7" s="524" t="s">
        <v>1137</v>
      </c>
      <c r="J7" s="524" t="s">
        <v>1026</v>
      </c>
      <c r="K7" s="518" t="s">
        <v>1024</v>
      </c>
      <c r="L7" s="519"/>
    </row>
    <row r="8" spans="1:12" ht="15" customHeight="1">
      <c r="B8" s="526"/>
      <c r="C8" s="526"/>
      <c r="D8" s="527"/>
      <c r="E8" s="527"/>
      <c r="F8" s="527"/>
      <c r="G8" s="528"/>
      <c r="H8" s="524"/>
      <c r="I8" s="524"/>
      <c r="J8" s="524"/>
      <c r="K8" s="520"/>
      <c r="L8" s="521"/>
    </row>
    <row r="9" spans="1:12" ht="15" customHeight="1">
      <c r="B9" s="526"/>
      <c r="C9" s="526"/>
      <c r="D9" s="527"/>
      <c r="E9" s="527"/>
      <c r="F9" s="527"/>
      <c r="G9" s="528"/>
      <c r="H9" s="524"/>
      <c r="I9" s="524"/>
      <c r="J9" s="524"/>
      <c r="K9" s="522"/>
      <c r="L9" s="523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41.5 kVA MCCB 63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100 kVA Yzn5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31630800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Bh</v>
      </c>
      <c r="F15" s="138">
        <f t="shared" ca="1" si="2"/>
        <v>3</v>
      </c>
      <c r="G15" s="41">
        <f ca="1">IF(ISERROR(OFFSET('HARGA SATUAN'!$I$6,MATCH(C15,'HARGA SATUAN'!$C$7:$C$1492,0),0)),"",OFFSET('HARGA SATUAN'!$I$6,MATCH(C15,'HARGA SATUAN'!$C$7:$C$1492,0),0))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38">
        <f t="shared" ca="1" si="2"/>
        <v>3</v>
      </c>
      <c r="G16" s="41">
        <f ca="1">IF(ISERROR(OFFSET('HARGA SATUAN'!$I$6,MATCH(C16,'HARGA SATUAN'!$C$7:$C$1492,0),0)),"",OFFSET('HARGA SATUAN'!$I$6,MATCH(C16,'HARGA SATUAN'!$C$7:$C$1492,0),0))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9</v>
      </c>
      <c r="G17" s="41">
        <f ca="1">IF(ISERROR(OFFSET('HARGA SATUAN'!$I$6,MATCH(C17,'HARGA SATUAN'!$C$7:$C$1492,0),0)),"",OFFSET('HARGA SATUAN'!$I$6,MATCH(C17,'HARGA SATUAN'!$C$7:$C$1492,0),0))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3x70+1x70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38">
        <f t="shared" ca="1" si="2"/>
        <v>3</v>
      </c>
      <c r="G18" s="41">
        <f ca="1">IF(ISERROR(OFFSET('HARGA SATUAN'!$I$6,MATCH(C18,'HARGA SATUAN'!$C$7:$C$1492,0),0)),"",OFFSET('HARGA SATUAN'!$I$6,MATCH(C18,'HARGA SATUAN'!$C$7:$C$1492,0),0))</f>
        <v>54500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SATUAN'!$C$7:$C$1492,0),0)),"",OFFSET('HARGA SATUAN'!$D$6,MATCH(C19,'HARGA SATUAN'!$C$7:$C$1492,0),0))</f>
        <v>HDW</v>
      </c>
      <c r="E19" s="101" t="str">
        <f ca="1">IF(B19="+","Unit",IF(ISERROR(OFFSET('HARGA SATUAN'!$E$6,MATCH(C19,'HARGA SATUAN'!$C$7:$C$1492,0),0)),"",OFFSET('HARGA SATUAN'!$E$6,MATCH(C19,'HARGA SATUAN'!$C$7:$C$1492,0),0)))</f>
        <v>Unit</v>
      </c>
      <c r="F19" s="138">
        <f t="shared" ca="1" si="2"/>
        <v>1</v>
      </c>
      <c r="G19" s="41">
        <f ca="1">IF(ISERROR(OFFSET('HARGA SATUAN'!$I$6,MATCH(C19,'HARGA SATUAN'!$C$7:$C$1492,0),0)),"",OFFSET('HARGA SATUAN'!$I$6,MATCH(C19,'HARGA SATUAN'!$C$7:$C$1492,0),0))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SUMIFS(RAB!$F$14:$F$69,RAB!$C$14:$C$69,C714)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SUMIFS(RAB!$F$14:$F$69,RAB!$C$14:$C$69,C715)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SUMIFS(RAB!$F$14:$F$69,RAB!$C$14:$C$69,C716)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SUMIFS(RAB!$F$14:$F$69,RAB!$C$14:$C$69,C717)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SUMIFS(RAB!$F$14:$F$69,RAB!$C$14:$C$69,C718)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SUMIFS(RAB!$F$14:$F$69,RAB!$C$14:$C$69,C719)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SUMIFS(RAB!$F$14:$F$69,RAB!$C$14:$C$69,C720)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SUMIFS(RAB!$F$14:$F$69,RAB!$C$14:$C$69,C721)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SUMIFS(RAB!$F$14:$F$69,RAB!$C$14:$C$69,C722)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SUMIFS(RAB!$F$14:$F$69,RAB!$C$14:$C$69,C723)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SUMIFS(RAB!$F$14:$F$69,RAB!$C$14:$C$69,C724)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SUMIFS(RAB!$F$14:$F$69,RAB!$C$14:$C$69,C725)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SUMIFS(RAB!$F$14:$F$69,RAB!$C$14:$C$69,C726)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SUMIFS(RAB!$F$14:$F$69,RAB!$C$14:$C$69,C727)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SUMIFS(RAB!$F$14:$F$69,RAB!$C$14:$C$69,C728)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SUMIFS(RAB!$F$14:$F$69,RAB!$C$14:$C$69,C729)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SUMIFS(RAB!$F$14:$F$69,RAB!$C$14:$C$69,C730)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SUMIFS(RAB!$F$14:$F$69,RAB!$C$14:$C$69,C731)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SUMIFS(RAB!$F$14:$F$69,RAB!$C$14:$C$69,C732)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SUMIFS(RAB!$F$14:$F$69,RAB!$C$14:$C$69,C733)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SUMIFS(RAB!$F$14:$F$69,RAB!$C$14:$C$69,C734)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SUMIFS(RAB!$F$14:$F$69,RAB!$C$14:$C$69,C735)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SUMIFS(RAB!$F$14:$F$69,RAB!$C$14:$C$69,C736)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SUMIFS(RAB!$F$14:$F$69,RAB!$C$14:$C$69,C737)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SUMIFS(RAB!$F$14:$F$69,RAB!$C$14:$C$69,C738)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SUMIFS(RAB!$F$14:$F$69,RAB!$C$14:$C$69,C739)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SUMIFS(RAB!$F$14:$F$69,RAB!$C$14:$C$69,C740)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SUMIFS(RAB!$F$14:$F$69,RAB!$C$14:$C$69,C741)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SUMIFS(RAB!$F$14:$F$69,RAB!$C$14:$C$69,C742)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SUMIFS(RAB!$F$14:$F$69,RAB!$C$14:$C$69,C743)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SUMIFS(RAB!$F$14:$F$69,RAB!$C$14:$C$69,C744)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SUMIFS(RAB!$F$14:$F$69,RAB!$C$14:$C$69,C745)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SUMIFS(RAB!$F$14:$F$69,RAB!$C$14:$C$69,C746)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SUMIFS(RAB!$F$14:$F$69,RAB!$C$14:$C$69,C747)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SUMIFS(RAB!$F$14:$F$69,RAB!$C$14:$C$69,C748)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SUMIFS(RAB!$F$14:$F$69,RAB!$C$14:$C$69,C749)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SUMIFS(RAB!$F$14:$F$69,RAB!$C$14:$C$69,C750)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SUMIFS(RAB!$F$14:$F$69,RAB!$C$14:$C$69,C751)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SUMIFS(RAB!$F$14:$F$69,RAB!$C$14:$C$69,C752)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SUMIFS(RAB!$F$14:$F$69,RAB!$C$14:$C$69,C753)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SUMIFS(RAB!$F$14:$F$69,RAB!$C$14:$C$69,C754)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SUMIFS(RAB!$F$14:$F$69,RAB!$C$14:$C$69,C755)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SUMIFS(RAB!$F$14:$F$69,RAB!$C$14:$C$69,C756)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SUMIFS(RAB!$F$14:$F$69,RAB!$C$14:$C$69,C757)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SUMIFS(RAB!$F$14:$F$69,RAB!$C$14:$C$69,C758)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SUMIFS(RAB!$F$14:$F$69,RAB!$C$14:$C$69,C759)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SUMIFS(RAB!$F$14:$F$69,RAB!$C$14:$C$69,C760)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SUMIFS(RAB!$F$14:$F$69,RAB!$C$14:$C$69,C761)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SUMIFS(RAB!$F$14:$F$69,RAB!$C$14:$C$69,C762)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SUMIFS(RAB!$F$14:$F$69,RAB!$C$14:$C$69,C763)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SUMIFS(RAB!$F$14:$F$69,RAB!$C$14:$C$69,C764)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SUMIFS(RAB!$F$14:$F$69,RAB!$C$14:$C$69,C765)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SUMIFS(RAB!$F$14:$F$69,RAB!$C$14:$C$69,C766)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SUMIFS(RAB!$F$14:$F$69,RAB!$C$14:$C$69,C767)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SUMIFS(RAB!$F$14:$F$69,RAB!$C$14:$C$69,C768)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SUMIFS(RAB!$F$14:$F$69,RAB!$C$14:$C$69,C769)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SUMIFS(RAB!$F$14:$F$69,RAB!$C$14:$C$69,C770)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SUMIFS(RAB!$F$14:$F$69,RAB!$C$14:$C$69,C771)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SUMIFS(RAB!$F$14:$F$69,RAB!$C$14:$C$69,C772)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SUMIFS(RAB!$F$14:$F$69,RAB!$C$14:$C$69,C773)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SUMIFS(RAB!$F$14:$F$69,RAB!$C$14:$C$69,C774)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SUMIFS(RAB!$F$14:$F$69,RAB!$C$14:$C$69,C775)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SUMIFS(RAB!$F$14:$F$69,RAB!$C$14:$C$69,C776)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SUMIFS(RAB!$F$14:$F$69,RAB!$C$14:$C$69,C777)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SUMIFS(RAB!$F$14:$F$69,RAB!$C$14:$C$69,C778)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SUMIFS(RAB!$F$14:$F$69,RAB!$C$14:$C$69,C779)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SUMIFS(RAB!$F$14:$F$69,RAB!$C$14:$C$69,C780)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SUMIFS(RAB!$F$14:$F$69,RAB!$C$14:$C$69,C781)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SUMIFS(RAB!$F$14:$F$69,RAB!$C$14:$C$69,C782)</f>
        <v>1</v>
      </c>
      <c r="E782" s="26">
        <f t="shared" ca="1" si="34"/>
        <v>1</v>
      </c>
      <c r="F782" s="26">
        <f ca="1">IF(D782=0,0,SUM($E$713:E782))</f>
        <v>2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SUMIFS(RAB!$F$14:$F$69,RAB!$C$14:$C$69,C783)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SUMIFS(RAB!$F$14:$F$69,RAB!$C$14:$C$69,C784)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SUMIFS(RAB!$F$14:$F$69,RAB!$C$14:$C$69,C785)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SUMIFS(RAB!$F$14:$F$69,RAB!$C$14:$C$69,C786)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SUMIFS(RAB!$F$14:$F$69,RAB!$C$14:$C$69,C787)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SUMIFS(RAB!$F$14:$F$69,RAB!$C$14:$C$69,C788)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SUMIFS(RAB!$F$14:$F$69,RAB!$C$14:$C$69,C789)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SUMIFS(RAB!$F$14:$F$69,RAB!$C$14:$C$69,C790)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SUMIFS(RAB!$F$14:$F$69,RAB!$C$14:$C$69,C791)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SUMIFS(RAB!$F$14:$F$69,RAB!$C$14:$C$69,C792)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SUMIFS(RAB!$F$14:$F$69,RAB!$C$14:$C$69,C793)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SUMIFS(RAB!$F$14:$F$69,RAB!$C$14:$C$69,C794)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SUMIFS(RAB!$F$14:$F$69,RAB!$C$14:$C$69,C795)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SUMIFS(RAB!$F$14:$F$69,RAB!$C$14:$C$69,C796)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SUMIFS(RAB!$F$14:$F$69,RAB!$C$14:$C$69,C797)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SUMIFS(RAB!$F$14:$F$69,RAB!$C$14:$C$69,C798)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SUMIFS(RAB!$F$14:$F$69,RAB!$C$14:$C$69,C799)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SUMIFS(RAB!$F$14:$F$69,RAB!$C$14:$C$69,C800)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SUMIFS(RAB!$F$14:$F$69,RAB!$C$14:$C$69,C801)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SUMIFS(RAB!$F$14:$F$69,RAB!$C$14:$C$69,C802)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SUMIFS(RAB!$F$14:$F$69,RAB!$C$14:$C$69,C803)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SUMIFS(RAB!$F$14:$F$69,RAB!$C$14:$C$69,C804)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SUMIFS(RAB!$F$14:$F$69,RAB!$C$14:$C$69,C805)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SUMIFS(RAB!$F$14:$F$69,RAB!$C$14:$C$69,C806)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SUMIFS(RAB!$F$14:$F$69,RAB!$C$14:$C$69,C807)</f>
        <v>1</v>
      </c>
      <c r="E807" s="26">
        <f t="shared" ca="1" si="34"/>
        <v>1</v>
      </c>
      <c r="F807" s="26">
        <f ca="1">IF(D807=0,0,SUM($E$713:E807))</f>
        <v>3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SUMIFS(RAB!$F$14:$F$69,RAB!$C$14:$C$69,C808)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SUMIFS(RAB!$F$14:$F$69,RAB!$C$14:$C$69,C809)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SUMIFS(RAB!$F$14:$F$69,RAB!$C$14:$C$69,C810)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SUMIFS(RAB!$F$14:$F$69,RAB!$C$14:$C$69,C811)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SUMIFS(RAB!$F$14:$F$69,RAB!$C$14:$C$69,C812)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SUMIFS(RAB!$F$14:$F$69,RAB!$C$14:$C$69,C813)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SUMIFS(RAB!$F$14:$F$69,RAB!$C$14:$C$69,C814)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SUMIFS(RAB!$F$14:$F$69,RAB!$C$14:$C$69,C815)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SUMIFS(RAB!$F$14:$F$69,RAB!$C$14:$C$69,C816)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SUMIFS(RAB!$F$14:$F$69,RAB!$C$14:$C$69,C817)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SUMIFS(RAB!$F$14:$F$69,RAB!$C$14:$C$69,C818)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SUMIFS(RAB!$F$14:$F$69,RAB!$C$14:$C$69,C819)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SUMIFS(RAB!$F$14:$F$69,RAB!$C$14:$C$69,C820)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SUMIFS(RAB!$F$14:$F$69,RAB!$C$14:$C$69,C821)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SUMIFS(RAB!$F$14:$F$69,RAB!$C$14:$C$69,C822)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SUMIFS(RAB!$F$14:$F$69,RAB!$C$14:$C$69,C823)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SUMIFS(RAB!$F$14:$F$69,RAB!$C$14:$C$69,C824)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SUMIFS(RAB!$F$14:$F$69,RAB!$C$14:$C$69,C825)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SUMIFS(RAB!$F$14:$F$69,RAB!$C$14:$C$69,C826)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SUMIFS(RAB!$F$14:$F$69,RAB!$C$14:$C$69,C827)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SUMIFS(RAB!$F$14:$F$69,RAB!$C$14:$C$69,C828)</f>
        <v>9</v>
      </c>
      <c r="E828" s="26">
        <f t="shared" ca="1" si="34"/>
        <v>1</v>
      </c>
      <c r="F828" s="26">
        <f ca="1">IF(D828=0,0,SUM($E$713:E828))</f>
        <v>6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SUMIFS(RAB!$F$14:$F$69,RAB!$C$14:$C$69,C829)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SUMIFS(RAB!$F$14:$F$69,RAB!$C$14:$C$69,C830)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SUMIFS(RAB!$F$14:$F$69,RAB!$C$14:$C$69,C831)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SUMIFS(RAB!$F$14:$F$69,RAB!$C$14:$C$69,C832)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SUMIFS(RAB!$F$14:$F$69,RAB!$C$14:$C$69,C833)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SUMIFS(RAB!$F$14:$F$69,RAB!$C$14:$C$69,C834)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SUMIFS(RAB!$F$14:$F$69,RAB!$C$14:$C$69,C835)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SUMIFS(RAB!$F$14:$F$69,RAB!$C$14:$C$69,C836)</f>
        <v>3</v>
      </c>
      <c r="E836" s="26">
        <f t="shared" ca="1" si="34"/>
        <v>1</v>
      </c>
      <c r="F836" s="26">
        <f ca="1">IF(D836=0,0,SUM($E$713:E836))</f>
        <v>7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SUMIFS(RAB!$F$14:$F$69,RAB!$C$14:$C$69,C837)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SUMIFS(RAB!$F$14:$F$69,RAB!$C$14:$C$69,C838)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SUMIFS(RAB!$F$14:$F$69,RAB!$C$14:$C$69,C839)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SUMIFS(RAB!$F$14:$F$69,RAB!$C$14:$C$69,C840)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SUMIFS(RAB!$F$14:$F$69,RAB!$C$14:$C$69,C841)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SUMIFS(RAB!$F$14:$F$69,RAB!$C$14:$C$69,C842)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SUMIFS(RAB!$F$14:$F$69,RAB!$C$14:$C$69,C843)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SUMIFS(RAB!$F$14:$F$69,RAB!$C$14:$C$69,C844)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SUMIFS(RAB!$F$14:$F$69,RAB!$C$14:$C$69,C845)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SUMIFS(RAB!$F$14:$F$69,RAB!$C$14:$C$69,C846)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SUMIFS(RAB!$F$14:$F$69,RAB!$C$14:$C$69,C847)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SUMIFS(RAB!$F$14:$F$69,RAB!$C$14:$C$69,C848)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SUMIFS(RAB!$F$14:$F$69,RAB!$C$14:$C$69,C849)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SUMIFS(RAB!$F$14:$F$69,RAB!$C$14:$C$69,C850)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SUMIFS(RAB!$F$14:$F$69,RAB!$C$14:$C$69,C851)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SUMIFS(RAB!$F$14:$F$69,RAB!$C$14:$C$69,C852)</f>
        <v>1</v>
      </c>
      <c r="E852" s="26">
        <f t="shared" ca="1" si="35"/>
        <v>1</v>
      </c>
      <c r="F852" s="26">
        <f ca="1">IF(D852=0,0,SUM($E$713:E852))</f>
        <v>8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SUMIFS(RAB!$F$14:$F$69,RAB!$C$14:$C$69,C853)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SUMIFS(RAB!$F$14:$F$69,RAB!$C$14:$C$69,C854)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SUMIFS(RAB!$F$14:$F$69,RAB!$C$14:$C$69,C855)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SUMIFS(RAB!$F$14:$F$69,RAB!$C$14:$C$69,C856)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SUMIFS(RAB!$F$14:$F$69,RAB!$C$14:$C$69,C857)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SUMIFS(RAB!$F$14:$F$69,RAB!$C$14:$C$69,C858)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SUMIFS(RAB!$F$14:$F$69,RAB!$C$14:$C$69,C859)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SUMIFS(RAB!$F$14:$F$69,RAB!$C$14:$C$69,C860)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SUMIFS(RAB!$F$14:$F$69,RAB!$C$14:$C$69,C861)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SUMIFS(RAB!$F$14:$F$69,RAB!$C$14:$C$69,C862)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SUMIFS(RAB!$F$14:$F$69,RAB!$C$14:$C$69,C863)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SUMIFS(RAB!$F$14:$F$69,RAB!$C$14:$C$69,C864)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SUMIFS(RAB!$F$14:$F$69,RAB!$C$14:$C$69,C865)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SUMIFS(RAB!$F$14:$F$69,RAB!$C$14:$C$69,C866)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SUMIFS(RAB!$F$14:$F$69,RAB!$C$14:$C$69,C867)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SUMIFS(RAB!$F$14:$F$69,RAB!$C$14:$C$69,C868)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SUMIFS(RAB!$F$14:$F$69,RAB!$C$14:$C$69,C869)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SUMIFS(RAB!$F$14:$F$69,RAB!$C$14:$C$69,C870)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SUMIFS(RAB!$F$14:$F$69,RAB!$C$14:$C$69,C871)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SUMIFS(RAB!$F$14:$F$69,RAB!$C$14:$C$69,C872)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SUMIFS(RAB!$F$14:$F$69,RAB!$C$14:$C$69,C873)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SUMIFS(RAB!$F$14:$F$69,RAB!$C$14:$C$69,C874)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SUMIFS(RAB!$F$14:$F$69,RAB!$C$14:$C$69,C875)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SUMIFS(RAB!$F$14:$F$69,RAB!$C$14:$C$69,C876)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SUMIFS(RAB!$F$14:$F$69,RAB!$C$14:$C$69,C877)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SUMIFS(RAB!$F$14:$F$69,RAB!$C$14:$C$69,C878)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SUMIFS(RAB!$F$14:$F$69,RAB!$C$14:$C$69,C879)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SUMIFS(RAB!$F$14:$F$69,RAB!$C$14:$C$69,C880)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SUMIFS(RAB!$F$14:$F$69,RAB!$C$14:$C$69,C881)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SUMIFS(RAB!$F$14:$F$69,RAB!$C$14:$C$69,C882)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SUMIFS(RAB!$F$14:$F$69,RAB!$C$14:$C$69,C883)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SUMIFS(RAB!$F$14:$F$69,RAB!$C$14:$C$69,C884)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SUMIFS(RAB!$F$14:$F$69,RAB!$C$14:$C$69,C885)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SUMIFS(RAB!$F$14:$F$69,RAB!$C$14:$C$69,C886)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SUMIFS(RAB!$F$14:$F$69,RAB!$C$14:$C$69,C887)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SUMIFS(RAB!$F$14:$F$69,RAB!$C$14:$C$69,C888)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SUMIFS(RAB!$F$14:$F$69,RAB!$C$14:$C$69,C889)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SUMIFS(RAB!$F$14:$F$69,RAB!$C$14:$C$69,C890)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SUMIFS(RAB!$F$14:$F$69,RAB!$C$14:$C$69,C891)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SUMIFS(RAB!$F$14:$F$69,RAB!$C$14:$C$69,C892)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SUMIFS(RAB!$F$14:$F$69,RAB!$C$14:$C$69,C893)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SUMIFS(RAB!$F$14:$F$69,RAB!$C$14:$C$69,C894)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SUMIFS(RAB!$F$14:$F$69,RAB!$C$14:$C$69,C895)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SUMIFS(RAB!$F$14:$F$69,RAB!$C$14:$C$69,C896)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SUMIFS(RAB!$F$14:$F$69,RAB!$C$14:$C$69,C897)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SUMIFS(RAB!$F$14:$F$69,RAB!$C$14:$C$69,C898)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SUMIFS(RAB!$F$14:$F$69,RAB!$C$14:$C$69,C899)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SUMIFS(RAB!$F$14:$F$69,RAB!$C$14:$C$69,C900)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SUMIFS(RAB!$F$14:$F$69,RAB!$C$14:$C$69,C901)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SUMIFS(RAB!$F$14:$F$69,RAB!$C$14:$C$69,C902)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SUMIFS(RAB!$F$14:$F$69,RAB!$C$14:$C$69,C903)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SUMIFS(RAB!$F$14:$F$69,RAB!$C$14:$C$69,C904)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SUMIFS(RAB!$F$14:$F$69,RAB!$C$14:$C$69,C905)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SUMIFS(RAB!$F$14:$F$69,RAB!$C$14:$C$69,C906)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SUMIFS(RAB!$F$14:$F$69,RAB!$C$14:$C$69,C907)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SUMIFS(RAB!$F$14:$F$69,RAB!$C$14:$C$69,C908)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SUMIFS(RAB!$F$14:$F$69,RAB!$C$14:$C$69,C909)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SUMIFS(RAB!$F$14:$F$69,RAB!$C$14:$C$69,C910)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SUMIFS(RAB!$F$14:$F$69,RAB!$C$14:$C$69,C911)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SUMIFS(RAB!$F$14:$F$69,RAB!$C$14:$C$69,C912)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SUMIFS(RAB!$F$14:$F$69,RAB!$C$14:$C$69,C913)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SUMIFS(RAB!$F$14:$F$69,RAB!$C$14:$C$69,C914)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SUMIFS(RAB!$F$14:$F$69,RAB!$C$14:$C$69,C915)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SUMIFS(RAB!$F$14:$F$69,RAB!$C$14:$C$69,C916)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SUMIFS(RAB!$F$14:$F$69,RAB!$C$14:$C$69,C917)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SUMIFS(RAB!$F$14:$F$69,RAB!$C$14:$C$69,C918)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SUMIFS(RAB!$F$14:$F$69,RAB!$C$14:$C$69,C919)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SUMIFS(RAB!$F$14:$F$69,RAB!$C$14:$C$69,C920)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SUMIFS(RAB!$F$14:$F$69,RAB!$C$14:$C$69,C921)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SUMIFS(RAB!$F$14:$F$69,RAB!$C$14:$C$69,C922)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SUMIFS(RAB!$F$14:$F$69,RAB!$C$14:$C$69,C923)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SUMIFS(RAB!$F$14:$F$69,RAB!$C$14:$C$69,C924)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SUMIFS(RAB!$F$14:$F$69,RAB!$C$14:$C$69,C925)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SUMIFS(RAB!$F$14:$F$69,RAB!$C$14:$C$69,C926)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SUMIFS(RAB!$F$14:$F$69,RAB!$C$14:$C$69,C927)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SUMIFS(RAB!$F$14:$F$69,RAB!$C$14:$C$69,C928)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SUMIFS(RAB!$F$14:$F$69,RAB!$C$14:$C$69,C929)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SUMIFS(RAB!$F$14:$F$69,RAB!$C$14:$C$69,C930)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SUMIFS(RAB!$F$14:$F$69,RAB!$C$14:$C$69,C931)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SUMIFS(RAB!$F$14:$F$69,RAB!$C$14:$C$69,C932)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SUMIFS(RAB!$F$14:$F$69,RAB!$C$14:$C$69,C933)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SUMIFS(RAB!$F$14:$F$69,RAB!$C$14:$C$69,C934)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SUMIFS(RAB!$F$14:$F$69,RAB!$C$14:$C$69,C935)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SUMIFS(RAB!$F$14:$F$69,RAB!$C$14:$C$69,C936)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SUMIFS(RAB!$F$14:$F$69,RAB!$C$14:$C$69,C937)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SUMIFS(RAB!$F$14:$F$69,RAB!$C$14:$C$69,C938)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SUMIFS(RAB!$F$14:$F$69,RAB!$C$14:$C$69,C939)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SUMIFS(RAB!$F$14:$F$69,RAB!$C$14:$C$69,C940)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SUMIFS(RAB!$F$14:$F$69,RAB!$C$14:$C$69,C941)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SUMIFS(RAB!$F$14:$F$69,RAB!$C$14:$C$69,C942)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SUMIFS(RAB!$F$14:$F$69,RAB!$C$14:$C$69,C943)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SUMIFS(RAB!$F$14:$F$69,RAB!$C$14:$C$69,C944)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SUMIFS(RAB!$F$14:$F$69,RAB!$C$14:$C$69,C945)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SUMIFS(RAB!$F$14:$F$69,RAB!$C$14:$C$69,C946)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SUMIFS(RAB!$F$14:$F$69,RAB!$C$14:$C$69,C947)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SUMIFS(RAB!$F$14:$F$69,RAB!$C$14:$C$69,C948)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SUMIFS(RAB!$F$14:$F$69,RAB!$C$14:$C$69,C949)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SUMIFS(RAB!$F$14:$F$69,RAB!$C$14:$C$69,C950)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SUMIFS(RAB!$F$14:$F$69,RAB!$C$14:$C$69,C951)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SUMIFS(RAB!$F$14:$F$69,RAB!$C$14:$C$69,C952)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SUMIFS(RAB!$F$14:$F$69,RAB!$C$14:$C$69,C953)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SUMIFS(RAB!$F$14:$F$69,RAB!$C$14:$C$69,C954)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SUMIFS(RAB!$F$14:$F$69,RAB!$C$14:$C$69,C955)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SUMIFS(RAB!$F$14:$F$69,RAB!$C$14:$C$69,C956)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SUMIFS(RAB!$F$14:$F$69,RAB!$C$14:$C$69,C957)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SUMIFS(RAB!$F$14:$F$69,RAB!$C$14:$C$69,C958)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SUMIFS(RAB!$F$14:$F$69,RAB!$C$14:$C$69,C959)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SUMIFS(RAB!$F$14:$F$69,RAB!$C$14:$C$69,C960)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SUMIFS(RAB!$F$14:$F$69,RAB!$C$14:$C$69,C961)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SUMIFS(RAB!$F$14:$F$69,RAB!$C$14:$C$69,C962)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SUMIFS(RAB!$F$14:$F$69,RAB!$C$14:$C$69,C963)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SUMIFS(RAB!$F$14:$F$69,RAB!$C$14:$C$69,C964)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SUMIFS(RAB!$F$14:$F$69,RAB!$C$14:$C$69,C965)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SUMIFS(RAB!$F$14:$F$69,RAB!$C$14:$C$69,C966)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SUMIFS(RAB!$F$14:$F$69,RAB!$C$14:$C$69,C967)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SUMIFS(RAB!$F$14:$F$69,RAB!$C$14:$C$69,C968)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SUMIFS(RAB!$F$14:$F$69,RAB!$C$14:$C$69,C969)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SUMIFS(RAB!$F$14:$F$69,RAB!$C$14:$C$69,C970)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SUMIFS(RAB!$F$14:$F$69,RAB!$C$14:$C$69,C971)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SUMIFS(RAB!$F$14:$F$69,RAB!$C$14:$C$69,C972)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SUMIFS(RAB!$F$14:$F$69,RAB!$C$14:$C$69,C973)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SUMIFS(RAB!$F$14:$F$69,RAB!$C$14:$C$69,C974)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SUMIFS(RAB!$F$14:$F$69,RAB!$C$14:$C$69,C975)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SUMIFS(RAB!$F$14:$F$69,RAB!$C$14:$C$69,C976)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SUMIFS(RAB!$F$14:$F$69,RAB!$C$14:$C$69,C977)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SUMIFS(RAB!$F$14:$F$69,RAB!$C$14:$C$69,C978)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SUMIFS(RAB!$F$14:$F$69,RAB!$C$14:$C$69,C979)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SUMIFS(RAB!$F$14:$F$69,RAB!$C$14:$C$69,C980)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SUMIFS(RAB!$F$14:$F$69,RAB!$C$14:$C$69,C981)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SUMIFS(RAB!$F$14:$F$69,RAB!$C$14:$C$69,C982)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SUMIFS(RAB!$F$14:$F$69,RAB!$C$14:$C$69,C983)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SUMIFS(RAB!$F$14:$F$69,RAB!$C$14:$C$69,C984)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SUMIFS(RAB!$F$14:$F$69,RAB!$C$14:$C$69,C985)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SUMIFS(RAB!$F$14:$F$69,RAB!$C$14:$C$69,C986)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SUMIFS(RAB!$F$14:$F$69,RAB!$C$14:$C$69,C987)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SUMIFS(RAB!$F$14:$F$69,RAB!$C$14:$C$69,C988)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SUMIFS(RAB!$F$14:$F$69,RAB!$C$14:$C$69,C989)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SUMIFS(RAB!$F$14:$F$69,RAB!$C$14:$C$69,C990)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SUMIFS(RAB!$F$14:$F$69,RAB!$C$14:$C$69,C991)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SUMIFS(RAB!$F$14:$F$69,RAB!$C$14:$C$69,C992)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SUMIFS(RAB!$F$14:$F$69,RAB!$C$14:$C$69,C993)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SUMIFS(RAB!$F$14:$F$69,RAB!$C$14:$C$69,C994)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SUMIFS(RAB!$F$14:$F$69,RAB!$C$14:$C$69,C995)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SUMIFS(RAB!$F$14:$F$69,RAB!$C$14:$C$69,C996)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SUMIFS(RAB!$F$14:$F$69,RAB!$C$14:$C$69,C997)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SUMIFS(RAB!$F$14:$F$69,RAB!$C$14:$C$69,C998)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SUMIFS(RAB!$F$14:$F$69,RAB!$C$14:$C$69,C999)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SUMIFS(RAB!$F$14:$F$69,RAB!$C$14:$C$69,C1000)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SUMIFS(RAB!$F$14:$F$69,RAB!$C$14:$C$69,C1001)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SUMIFS(RAB!$F$14:$F$69,RAB!$C$14:$C$69,C1002)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SUMIFS(RAB!$F$14:$F$69,RAB!$C$14:$C$69,C1003)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SUMIFS(RAB!$F$14:$F$69,RAB!$C$14:$C$69,C1004)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SUMIFS(RAB!$F$14:$F$69,RAB!$C$14:$C$69,C1005)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SUMIFS(RAB!$F$14:$F$69,RAB!$C$14:$C$69,C1006)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SUMIFS(RAB!$F$14:$F$69,RAB!$C$14:$C$69,C1007)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SUMIFS(RAB!$F$14:$F$69,RAB!$C$14:$C$69,C1008)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SUMIFS(RAB!$F$14:$F$69,RAB!$C$14:$C$69,C1009)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SUMIFS(RAB!$F$14:$F$69,RAB!$C$14:$C$69,C1010)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SUMIFS(RAB!$F$14:$F$69,RAB!$C$14:$C$69,C1011)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SUMIFS(RAB!$F$14:$F$69,RAB!$C$14:$C$69,C1012)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SUMIFS(RAB!$F$14:$F$69,RAB!$C$14:$C$69,C1013)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SUMIFS(RAB!$F$14:$F$69,RAB!$C$14:$C$69,C1014)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SUMIFS(RAB!$F$14:$F$69,RAB!$C$14:$C$69,C1015)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SUMIFS(RAB!$F$14:$F$69,RAB!$C$14:$C$69,C1016)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SUMIFS(RAB!$F$14:$F$69,RAB!$C$14:$C$69,C1017)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SUMIFS(RAB!$F$14:$F$69,RAB!$C$14:$C$69,C1018)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SUMIFS(RAB!$F$14:$F$69,RAB!$C$14:$C$69,C1019)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SUMIFS(RAB!$F$14:$F$69,RAB!$C$14:$C$69,C1020)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SUMIFS(RAB!$F$14:$F$69,RAB!$C$14:$C$69,C1021)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SUMIFS(RAB!$F$14:$F$69,RAB!$C$14:$C$69,C1022)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SUMIFS(RAB!$F$14:$F$69,RAB!$C$14:$C$69,C1023)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SUMIFS(RAB!$F$14:$F$69,RAB!$C$14:$C$69,C1024)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SUMIFS(RAB!$F$14:$F$69,RAB!$C$14:$C$69,C1025)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SUMIFS(RAB!$F$14:$F$69,RAB!$C$14:$C$69,C1026)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SUMIFS(RAB!$F$14:$F$69,RAB!$C$14:$C$69,C1027)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SUMIFS(RAB!$F$14:$F$69,RAB!$C$14:$C$69,C1028)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SUMIFS(RAB!$F$14:$F$69,RAB!$C$14:$C$69,C1029)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SUMIFS(RAB!$F$14:$F$69,RAB!$C$14:$C$69,C1030)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SUMIFS(RAB!$F$14:$F$69,RAB!$C$14:$C$69,C1031)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SUMIFS(RAB!$F$14:$F$69,RAB!$C$14:$C$69,C1032)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SUMIFS(RAB!$F$14:$F$69,RAB!$C$14:$C$69,C1033)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SUMIFS(RAB!$F$14:$F$69,RAB!$C$14:$C$69,C1034)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SUMIFS(RAB!$F$14:$F$69,RAB!$C$14:$C$69,C1035)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SUMIFS(RAB!$F$14:$F$69,RAB!$C$14:$C$69,C1036)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SUMIFS(RAB!$F$14:$F$69,RAB!$C$14:$C$69,C1037)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SUMIFS(RAB!$F$14:$F$69,RAB!$C$14:$C$69,C1038)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SUMIFS(RAB!$F$14:$F$69,RAB!$C$14:$C$69,C1039)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SUMIFS(RAB!$F$14:$F$69,RAB!$C$14:$C$69,C1040)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SUMIFS(RAB!$F$14:$F$69,RAB!$C$14:$C$69,C1041)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SUMIFS(RAB!$F$14:$F$69,RAB!$C$14:$C$69,C1042)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SUMIFS(RAB!$F$14:$F$69,RAB!$C$14:$C$69,C1043)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SUMIFS(RAB!$F$14:$F$69,RAB!$C$14:$C$69,C1044)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SUMIFS(RAB!$F$14:$F$69,RAB!$C$14:$C$69,C1045)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SUMIFS(RAB!$F$14:$F$69,RAB!$C$14:$C$69,C1046)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SUMIFS(RAB!$F$14:$F$69,RAB!$C$14:$C$69,C1047)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SUMIFS(RAB!$F$14:$F$69,RAB!$C$14:$C$69,C1048)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SUMIFS(RAB!$F$14:$F$69,RAB!$C$14:$C$69,C1049)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SUMIFS(RAB!$F$14:$F$69,RAB!$C$14:$C$69,C1050)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SUMIFS(RAB!$F$14:$F$69,RAB!$C$14:$C$69,C1051)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SUMIFS(RAB!$F$14:$F$69,RAB!$C$14:$C$69,C1052)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SUMIFS(RAB!$F$14:$F$69,RAB!$C$14:$C$69,C1053)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SUMIFS(RAB!$F$14:$F$69,RAB!$C$14:$C$69,C1054)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SUMIFS(RAB!$F$14:$F$69,RAB!$C$14:$C$69,C1055)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SUMIFS(RAB!$F$14:$F$69,RAB!$C$14:$C$69,C1056)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SUMIFS(RAB!$F$14:$F$69,RAB!$C$14:$C$69,C1057)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SUMIFS(RAB!$F$14:$F$69,RAB!$C$14:$C$69,C1058)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SUMIFS(RAB!$F$14:$F$69,RAB!$C$14:$C$69,C1059)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SUMIFS(RAB!$F$14:$F$69,RAB!$C$14:$C$69,C1060)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SUMIFS(RAB!$F$14:$F$69,RAB!$C$14:$C$69,C1061)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SUMIFS(RAB!$F$14:$F$69,RAB!$C$14:$C$69,C1062)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SUMIFS(RAB!$F$14:$F$69,RAB!$C$14:$C$69,C1063)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SUMIFS(RAB!$F$14:$F$69,RAB!$C$14:$C$69,C1064)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SUMIFS(RAB!$F$14:$F$69,RAB!$C$14:$C$69,C1065)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SUMIFS(RAB!$F$14:$F$69,RAB!$C$14:$C$69,C1066)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SUMIFS(RAB!$F$14:$F$69,RAB!$C$14:$C$69,C1067)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SUMIFS(RAB!$F$14:$F$69,RAB!$C$14:$C$69,C1068)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SUMIFS(RAB!$F$14:$F$69,RAB!$C$14:$C$69,C1069)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SUMIFS(RAB!$F$14:$F$69,RAB!$C$14:$C$69,C1070)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SUMIFS(RAB!$F$14:$F$69,RAB!$C$14:$C$69,C1071)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SUMIFS(RAB!$F$14:$F$69,RAB!$C$14:$C$69,C1072)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SUMIFS(RAB!$F$14:$F$69,RAB!$C$14:$C$69,C1073)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SUMIFS(RAB!$F$14:$F$69,RAB!$C$14:$C$69,C1074)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SUMIFS(RAB!$F$14:$F$69,RAB!$C$14:$C$69,C1075)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SUMIFS(RAB!$F$14:$F$69,RAB!$C$14:$C$69,C1076)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SUMIFS(RAB!$F$14:$F$69,RAB!$C$14:$C$69,C1077)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SUMIFS(RAB!$F$14:$F$69,RAB!$C$14:$C$69,C1078)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SUMIFS(RAB!$F$14:$F$69,RAB!$C$14:$C$69,C1079)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SUMIFS(RAB!$F$14:$F$69,RAB!$C$14:$C$69,C1080)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SUMIFS(RAB!$F$14:$F$69,RAB!$C$14:$C$69,C1081)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SUMIFS(RAB!$F$14:$F$69,RAB!$C$14:$C$69,C1082)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SUMIFS(RAB!$F$14:$F$69,RAB!$C$14:$C$69,C1083)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SUMIFS(RAB!$F$14:$F$69,RAB!$C$14:$C$69,C1084)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SUMIFS(RAB!$F$14:$F$69,RAB!$C$14:$C$69,C1085)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SUMIFS(RAB!$F$14:$F$69,RAB!$C$14:$C$69,C1086)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SUMIFS(RAB!$F$14:$F$69,RAB!$C$14:$C$69,C1087)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SUMIFS(RAB!$F$14:$F$69,RAB!$C$14:$C$69,C1088)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SUMIFS(RAB!$F$14:$F$69,RAB!$C$14:$C$69,C1089)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SUMIFS(RAB!$F$14:$F$69,RAB!$C$14:$C$69,C1090)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SUMIFS(RAB!$F$14:$F$69,RAB!$C$14:$C$69,C1091)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SUMIFS(RAB!$F$14:$F$69,RAB!$C$14:$C$69,C1092)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SUMIFS(RAB!$F$14:$F$69,RAB!$C$14:$C$69,C1093)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SUMIFS(RAB!$F$14:$F$69,RAB!$C$14:$C$69,C1094)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SUMIFS(RAB!$F$14:$F$69,RAB!$C$14:$C$69,C1095)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SUMIFS(RAB!$F$14:$F$69,RAB!$C$14:$C$69,C1096)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SUMIFS(RAB!$F$14:$F$69,RAB!$C$14:$C$69,C1097)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SUMIFS(RAB!$F$14:$F$69,RAB!$C$14:$C$69,C1098)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SUMIFS(RAB!$F$14:$F$69,RAB!$C$14:$C$69,C1099)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SUMIFS(RAB!$F$14:$F$69,RAB!$C$14:$C$69,C1100)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SUMIFS(RAB!$F$14:$F$69,RAB!$C$14:$C$69,C1101)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SUMIFS(RAB!$F$14:$F$69,RAB!$C$14:$C$69,C1102)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SUMIFS(RAB!$F$14:$F$69,RAB!$C$14:$C$69,C1103)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SUMIFS(RAB!$F$14:$F$69,RAB!$C$14:$C$69,C1104)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SUMIFS(RAB!$F$14:$F$69,RAB!$C$14:$C$69,C1105)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SUMIFS(RAB!$F$14:$F$69,RAB!$C$14:$C$69,C1106)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SUMIFS(RAB!$F$14:$F$69,RAB!$C$14:$C$69,C1107)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SUMIFS(RAB!$F$14:$F$69,RAB!$C$14:$C$69,C1108)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SUMIFS(RAB!$F$14:$F$69,RAB!$C$14:$C$69,C1109)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SUMIFS(RAB!$F$14:$F$69,RAB!$C$14:$C$69,C1110)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SUMIFS(RAB!$F$14:$F$69,RAB!$C$14:$C$69,C1111)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SUMIFS(RAB!$F$14:$F$69,RAB!$C$14:$C$69,C1112)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SUMIFS(RAB!$F$14:$F$69,RAB!$C$14:$C$69,C1113)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SUMIFS(RAB!$F$14:$F$69,RAB!$C$14:$C$69,C1114)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SUMIFS(RAB!$F$14:$F$69,RAB!$C$14:$C$69,C1115)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SUMIFS(RAB!$F$14:$F$69,RAB!$C$14:$C$69,C1116)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SUMIFS(RAB!$F$14:$F$69,RAB!$C$14:$C$69,C1117)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SUMIFS(RAB!$F$14:$F$69,RAB!$C$14:$C$69,C1118)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SUMIFS(RAB!$F$14:$F$69,RAB!$C$14:$C$69,C1119)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SUMIFS(RAB!$F$14:$F$69,RAB!$C$14:$C$69,C1120)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SUMIFS(RAB!$F$14:$F$69,RAB!$C$14:$C$69,C1121)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SUMIFS(RAB!$F$14:$F$69,RAB!$C$14:$C$69,C1122)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SUMIFS(RAB!$F$14:$F$69,RAB!$C$14:$C$69,C1123)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SUMIFS(RAB!$F$14:$F$69,RAB!$C$14:$C$69,C1124)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SUMIFS(RAB!$F$14:$F$69,RAB!$C$14:$C$69,C1125)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SUMIFS(RAB!$F$14:$F$69,RAB!$C$14:$C$69,C1126)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SUMIFS(RAB!$F$14:$F$69,RAB!$C$14:$C$69,C1127)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SUMIFS(RAB!$F$14:$F$69,RAB!$C$14:$C$69,C1128)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SUMIFS(RAB!$F$14:$F$69,RAB!$C$14:$C$69,C1129)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SUMIFS(RAB!$F$14:$F$69,RAB!$C$14:$C$69,C1130)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SUMIFS(RAB!$F$14:$F$69,RAB!$C$14:$C$69,C1131)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SUMIFS(RAB!$F$14:$F$69,RAB!$C$14:$C$69,C1132)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SUMIFS(RAB!$F$14:$F$69,RAB!$C$14:$C$69,C1133)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SUMIFS(RAB!$F$14:$F$69,RAB!$C$14:$C$69,C1134)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SUMIFS(RAB!$F$14:$F$69,RAB!$C$14:$C$69,C1135)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SUMIFS(RAB!$F$14:$F$69,RAB!$C$14:$C$69,C1136)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SUMIFS(RAB!$F$14:$F$69,RAB!$C$14:$C$69,C1137)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SUMIFS(RAB!$F$14:$F$69,RAB!$C$14:$C$69,C1138)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SUMIFS(RAB!$F$14:$F$69,RAB!$C$14:$C$69,C1139)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SUMIFS(RAB!$F$14:$F$69,RAB!$C$14:$C$69,C1140)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SUMIFS(RAB!$F$14:$F$69,RAB!$C$14:$C$69,C1141)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SUMIFS(RAB!$F$14:$F$69,RAB!$C$14:$C$69,C1142)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SUMIFS(RAB!$F$14:$F$69,RAB!$C$14:$C$69,C1143)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SUMIFS(RAB!$F$14:$F$69,RAB!$C$14:$C$69,C1144)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SUMIFS(RAB!$F$14:$F$69,RAB!$C$14:$C$69,C1145)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SUMIFS(RAB!$F$14:$F$69,RAB!$C$14:$C$69,C1146)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SUMIFS(RAB!$F$14:$F$69,RAB!$C$14:$C$69,C1147)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SUMIFS(RAB!$F$14:$F$69,RAB!$C$14:$C$69,C1148)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SUMIFS(RAB!$F$14:$F$69,RAB!$C$14:$C$69,C1149)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SUMIFS(RAB!$F$14:$F$69,RAB!$C$14:$C$69,C1150)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SUMIFS(RAB!$F$14:$F$69,RAB!$C$14:$C$69,C1151)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SUMIFS(RAB!$F$14:$F$69,RAB!$C$14:$C$69,C1152)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SUMIFS(RAB!$F$14:$F$69,RAB!$C$14:$C$69,C1153)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SUMIFS(RAB!$F$14:$F$69,RAB!$C$14:$C$69,C1154)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SUMIFS(RAB!$F$14:$F$69,RAB!$C$14:$C$69,C1155)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SUMIFS(RAB!$F$14:$F$69,RAB!$C$14:$C$69,C1156)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SUMIFS(RAB!$F$14:$F$69,RAB!$C$14:$C$69,C1157)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SUMIFS(RAB!$F$14:$F$69,RAB!$C$14:$C$69,C1158)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SUMIFS(RAB!$F$14:$F$69,RAB!$C$14:$C$69,C1159)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SUMIFS(RAB!$F$14:$F$69,RAB!$C$14:$C$69,C1160)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SUMIFS(RAB!$F$14:$F$69,RAB!$C$14:$C$69,C1161)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SUMIFS(RAB!$F$14:$F$69,RAB!$C$14:$C$69,C1162)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SUMIFS(RAB!$F$14:$F$69,RAB!$C$14:$C$69,C1163)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SUMIFS(RAB!$F$14:$F$69,RAB!$C$14:$C$69,C1164)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SUMIFS(RAB!$F$14:$F$69,RAB!$C$14:$C$69,C1165)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SUMIFS(RAB!$F$14:$F$69,RAB!$C$14:$C$69,C1166)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SUMIFS(RAB!$F$14:$F$69,RAB!$C$14:$C$69,C1167)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SUMIFS(RAB!$F$14:$F$69,RAB!$C$14:$C$69,C1168)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SUMIFS(RAB!$F$14:$F$69,RAB!$C$14:$C$69,C1169)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SUMIFS(RAB!$F$14:$F$69,RAB!$C$14:$C$69,C1170)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SUMIFS(RAB!$F$14:$F$69,RAB!$C$14:$C$69,C1171)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SUMIFS(RAB!$F$14:$F$69,RAB!$C$14:$C$69,C1172)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SUMIFS(RAB!$F$14:$F$69,RAB!$C$14:$C$69,C1173)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SUMIFS(RAB!$F$14:$F$69,RAB!$C$14:$C$69,C1174)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SUMIFS(RAB!$F$14:$F$69,RAB!$C$14:$C$69,C1175)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SUMIFS(RAB!$F$14:$F$69,RAB!$C$14:$C$69,C1176)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SUMIFS(RAB!$F$14:$F$69,RAB!$C$14:$C$69,C1177)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SUMIFS(RAB!$F$14:$F$69,RAB!$C$14:$C$69,C1178)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SUMIFS(RAB!$F$14:$F$69,RAB!$C$14:$C$69,C1179)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SUMIFS(RAB!$F$14:$F$69,RAB!$C$14:$C$69,C1180)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SUMIFS(RAB!$F$14:$F$69,RAB!$C$14:$C$69,C1181)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SUMIFS(RAB!$F$14:$F$69,RAB!$C$14:$C$69,C1182)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SUMIFS(RAB!$F$14:$F$69,RAB!$C$14:$C$69,C1183)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SUMIFS(RAB!$F$14:$F$69,RAB!$C$14:$C$69,C1184)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SUMIFS(RAB!$F$14:$F$69,RAB!$C$14:$C$69,C1185)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SUMIFS(RAB!$F$14:$F$69,RAB!$C$14:$C$69,C1186)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SUMIFS(RAB!$F$14:$F$69,RAB!$C$14:$C$69,C1187)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SUMIFS(RAB!$F$14:$F$69,RAB!$C$14:$C$69,C1188)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SUMIFS(RAB!$F$14:$F$69,RAB!$C$14:$C$69,C1189)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SUMIFS(RAB!$F$14:$F$69,RAB!$C$14:$C$69,C1190)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SUMIFS(RAB!$F$14:$F$69,RAB!$C$14:$C$69,C1191)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SUMIFS(RAB!$F$14:$F$69,RAB!$C$14:$C$69,C1192)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SUMIFS(RAB!$F$14:$F$69,RAB!$C$14:$C$69,C1193)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SUMIFS(RAB!$F$14:$F$69,RAB!$C$14:$C$69,C1194)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SUMIFS(RAB!$F$14:$F$69,RAB!$C$14:$C$69,C1195)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SUMIFS(RAB!$F$14:$F$69,RAB!$C$14:$C$69,C1196)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SUMIFS(RAB!$F$14:$F$69,RAB!$C$14:$C$69,C1197)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SUMIFS(RAB!$F$14:$F$69,RAB!$C$14:$C$69,C1198)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SUMIFS(RAB!$F$14:$F$69,RAB!$C$14:$C$69,C1199)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SUMIFS(RAB!$F$14:$F$69,RAB!$C$14:$C$69,C1200)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SUMIFS(RAB!$F$14:$F$69,RAB!$C$14:$C$69,C1201)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SUMIFS(RAB!$F$14:$F$69,RAB!$C$14:$C$69,C1202)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SUMIFS(RAB!$F$14:$F$69,RAB!$C$14:$C$69,C1203)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SUMIFS(RAB!$F$14:$F$69,RAB!$C$14:$C$69,C1204)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SUMIFS(RAB!$F$14:$F$69,RAB!$C$14:$C$69,C1205)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SUMIFS(RAB!$F$14:$F$69,RAB!$C$14:$C$69,C1206)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SUMIFS(RAB!$F$14:$F$69,RAB!$C$14:$C$69,C1207)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SUMIFS(RAB!$F$14:$F$69,RAB!$C$14:$C$69,C1208)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SUMIFS(RAB!$F$14:$F$69,RAB!$C$14:$C$69,C1209)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SUMIFS(RAB!$F$14:$F$69,RAB!$C$14:$C$69,C1210)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SUMIFS(RAB!$F$14:$F$69,RAB!$C$14:$C$69,C1211)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SUMIFS(RAB!$F$14:$F$69,RAB!$C$14:$C$69,C1212)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SUMIFS(RAB!$F$14:$F$69,RAB!$C$14:$C$69,C1213)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SUMIFS(RAB!$F$14:$F$69,RAB!$C$14:$C$69,C1214)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SUMIFS(RAB!$F$14:$F$69,RAB!$C$14:$C$69,C1215)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SUMIFS(RAB!$F$14:$F$69,RAB!$C$14:$C$69,C1216)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SUMIFS(RAB!$F$14:$F$69,RAB!$C$14:$C$69,C1217)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SUMIFS(RAB!$F$14:$F$69,RAB!$C$14:$C$69,C1218)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SUMIFS(RAB!$F$14:$F$69,RAB!$C$14:$C$69,C1219)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SUMIFS(RAB!$F$14:$F$69,RAB!$C$14:$C$69,C1220)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SUMIFS(RAB!$F$14:$F$69,RAB!$C$14:$C$69,C1221)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SUMIFS(RAB!$F$14:$F$69,RAB!$C$14:$C$69,C1222)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SUMIFS(RAB!$F$14:$F$69,RAB!$C$14:$C$69,C1223)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SUMIFS(RAB!$F$14:$F$69,RAB!$C$14:$C$69,C1224)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SUMIFS(RAB!$F$14:$F$69,RAB!$C$14:$C$69,C1225)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SUMIFS(RAB!$F$14:$F$69,RAB!$C$14:$C$69,C1226)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SUMIFS(RAB!$F$14:$F$69,RAB!$C$14:$C$69,C1227)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SUMIFS(RAB!$F$14:$F$69,RAB!$C$14:$C$69,C1228)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SUMIFS(RAB!$F$14:$F$69,RAB!$C$14:$C$69,C1229)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SUMIFS(RAB!$F$14:$F$69,RAB!$C$14:$C$69,C1230)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SUMIFS(RAB!$F$14:$F$69,RAB!$C$14:$C$69,C1231)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SUMIFS(RAB!$F$14:$F$69,RAB!$C$14:$C$69,C1232)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SUMIFS(RAB!$F$14:$F$69,RAB!$C$14:$C$69,C1233)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SUMIFS(RAB!$F$14:$F$69,RAB!$C$14:$C$69,C1234)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SUMIFS(RAB!$F$14:$F$69,RAB!$C$14:$C$69,C1235)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SUMIFS(RAB!$F$14:$F$69,RAB!$C$14:$C$69,C1236)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SUMIFS(RAB!$F$14:$F$69,RAB!$C$14:$C$69,C1237)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SUMIFS(RAB!$F$14:$F$69,RAB!$C$14:$C$69,C1238)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SUMIFS(RAB!$F$14:$F$69,RAB!$C$14:$C$69,C1239)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SUMIFS(RAB!$F$14:$F$69,RAB!$C$14:$C$69,C1240)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SUMIFS(RAB!$F$14:$F$69,RAB!$C$14:$C$69,C1241)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SUMIFS(RAB!$F$14:$F$69,RAB!$C$14:$C$69,C1242)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SUMIFS(RAB!$F$14:$F$69,RAB!$C$14:$C$69,C1243)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SUMIFS(RAB!$F$14:$F$69,RAB!$C$14:$C$69,C1244)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SUMIFS(RAB!$F$14:$F$69,RAB!$C$14:$C$69,C1245)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SUMIFS(RAB!$F$14:$F$69,RAB!$C$14:$C$69,C1246)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SUMIFS(RAB!$F$14:$F$69,RAB!$C$14:$C$69,C1247)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SUMIFS(RAB!$F$14:$F$69,RAB!$C$14:$C$69,C1248)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SUMIFS(RAB!$F$14:$F$69,RAB!$C$14:$C$69,C1249)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SUMIFS(RAB!$F$14:$F$69,RAB!$C$14:$C$69,C1250)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SUMIFS(RAB!$F$14:$F$69,RAB!$C$14:$C$69,C1251)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SUMIFS(RAB!$F$14:$F$69,RAB!$C$14:$C$69,C1252)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SUMIFS(RAB!$F$14:$F$69,RAB!$C$14:$C$69,C1253)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SUMIFS(RAB!$F$14:$F$69,RAB!$C$14:$C$69,C1254)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SUMIFS(RAB!$F$14:$F$69,RAB!$C$14:$C$69,C1255)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SUMIFS(RAB!$F$14:$F$69,RAB!$C$14:$C$69,C1256)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SUMIFS(RAB!$F$14:$F$69,RAB!$C$14:$C$69,C1257)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SUMIFS(RAB!$F$14:$F$69,RAB!$C$14:$C$69,C1258)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SUMIFS(RAB!$F$14:$F$69,RAB!$C$14:$C$69,C1259)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SUMIFS(RAB!$F$14:$F$69,RAB!$C$14:$C$69,C1260)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SUMIFS(RAB!$F$14:$F$69,RAB!$C$14:$C$69,C1261)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SUMIFS(RAB!$F$14:$F$69,RAB!$C$14:$C$69,C1262)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SUMIFS(RAB!$F$14:$F$69,RAB!$C$14:$C$69,C1263)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SUMIFS(RAB!$F$14:$F$69,RAB!$C$14:$C$69,C1264)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SUMIFS(RAB!$F$14:$F$69,RAB!$C$14:$C$69,C1265)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SUMIFS(RAB!$F$14:$F$69,RAB!$C$14:$C$69,C1266)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SUMIFS(RAB!$F$14:$F$69,RAB!$C$14:$C$69,C1267)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SUMIFS(RAB!$F$14:$F$69,RAB!$C$14:$C$69,C1268)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SUMIFS(RAB!$F$14:$F$69,RAB!$C$14:$C$69,C1269)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SUMIFS(RAB!$F$14:$F$69,RAB!$C$14:$C$69,C1270)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SUMIFS(RAB!$F$14:$F$69,RAB!$C$14:$C$69,C1271)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SUMIFS(RAB!$F$14:$F$69,RAB!$C$14:$C$69,C1272)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SUMIFS(RAB!$F$14:$F$69,RAB!$C$14:$C$69,C1273)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SUMIFS(RAB!$F$14:$F$69,RAB!$C$14:$C$69,C1274)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SUMIFS(RAB!$F$14:$F$69,RAB!$C$14:$C$69,C1275)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SUMIFS(RAB!$F$14:$F$69,RAB!$C$14:$C$69,C1276)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SUMIFS(RAB!$F$14:$F$69,RAB!$C$14:$C$69,C1277)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SUMIFS(RAB!$F$14:$F$69,RAB!$C$14:$C$69,C1278)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SUMIFS(RAB!$F$14:$F$69,RAB!$C$14:$C$69,C1279)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SUMIFS(RAB!$F$14:$F$69,RAB!$C$14:$C$69,C1280)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SUMIFS(RAB!$F$14:$F$69,RAB!$C$14:$C$69,C1281)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SUMIFS(RAB!$F$14:$F$69,RAB!$C$14:$C$69,C1282)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SUMIFS(RAB!$F$14:$F$69,RAB!$C$14:$C$69,C1283)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SUMIFS(RAB!$F$14:$F$69,RAB!$C$14:$C$69,C1284)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SUMIFS(RAB!$F$14:$F$69,RAB!$C$14:$C$69,C1285)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SUMIFS(RAB!$F$14:$F$69,RAB!$C$14:$C$69,C1286)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SUMIFS(RAB!$F$14:$F$69,RAB!$C$14:$C$69,C1287)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SUMIFS(RAB!$F$14:$F$69,RAB!$C$14:$C$69,C1288)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SUMIFS(RAB!$F$14:$F$69,RAB!$C$14:$C$69,C1289)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SUMIFS(RAB!$F$14:$F$69,RAB!$C$14:$C$69,C1290)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SUMIFS(RAB!$F$14:$F$69,RAB!$C$14:$C$69,C1291)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SUMIFS(RAB!$F$14:$F$69,RAB!$C$14:$C$69,C1292)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SUMIFS(RAB!$F$14:$F$69,RAB!$C$14:$C$69,C1293)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SUMIFS(RAB!$F$14:$F$69,RAB!$C$14:$C$69,C1294)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SUMIFS(RAB!$F$14:$F$69,RAB!$C$14:$C$69,C1295)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SUMIFS(RAB!$F$14:$F$69,RAB!$C$14:$C$69,C1296)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SUMIFS(RAB!$F$14:$F$69,RAB!$C$14:$C$69,C1297)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SUMIFS(RAB!$F$14:$F$69,RAB!$C$14:$C$69,C1298)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SUMIFS(RAB!$F$14:$F$69,RAB!$C$14:$C$69,C1299)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SUMIFS(RAB!$F$14:$F$69,RAB!$C$14:$C$69,C1300)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SUMIFS(RAB!$F$14:$F$69,RAB!$C$14:$C$69,C1301)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SUMIFS(RAB!$F$14:$F$69,RAB!$C$14:$C$69,C1302)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SUMIFS(RAB!$F$14:$F$69,RAB!$C$14:$C$69,C1303)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SUMIFS(RAB!$F$14:$F$69,RAB!$C$14:$C$69,C1304)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SUMIFS(RAB!$F$14:$F$69,RAB!$C$14:$C$69,C1305)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SUMIFS(RAB!$F$14:$F$69,RAB!$C$14:$C$69,C1306)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SUMIFS(RAB!$F$14:$F$69,RAB!$C$14:$C$69,C1307)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SUMIFS(RAB!$F$14:$F$69,RAB!$C$14:$C$69,C1308)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SUMIFS(RAB!$F$14:$F$69,RAB!$C$14:$C$69,C1309)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SUMIFS(RAB!$F$14:$F$69,RAB!$C$14:$C$69,C1310)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SUMIFS(RAB!$F$14:$F$69,RAB!$C$14:$C$69,C1311)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SUMIFS(RAB!$F$14:$F$69,RAB!$C$14:$C$69,C1312)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SUMIFS(RAB!$F$14:$F$69,RAB!$C$14:$C$69,C1313)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SUMIFS(RAB!$F$14:$F$69,RAB!$C$14:$C$69,C1314)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SUMIFS(RAB!$F$14:$F$69,RAB!$C$14:$C$69,C1315)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SUMIFS(RAB!$F$14:$F$69,RAB!$C$14:$C$69,C1316)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SUMIFS(RAB!$F$14:$F$69,RAB!$C$14:$C$69,C1317)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SUMIFS(RAB!$F$14:$F$69,RAB!$C$14:$C$69,C1318)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SUMIFS(RAB!$F$14:$F$69,RAB!$C$14:$C$69,C1319)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SUMIFS(RAB!$F$14:$F$69,RAB!$C$14:$C$69,C1320)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2" priority="5" operator="equal">
      <formula>0</formula>
    </cfRule>
  </conditionalFormatting>
  <conditionalFormatting sqref="A10:L65536">
    <cfRule type="cellIs" dxfId="51" priority="1" operator="equal">
      <formula>0</formula>
    </cfRule>
  </conditionalFormatting>
  <conditionalFormatting sqref="C12:C711">
    <cfRule type="cellIs" dxfId="50" priority="66" stopIfTrue="1" operator="equal">
      <formula>0</formula>
    </cfRule>
  </conditionalFormatting>
  <conditionalFormatting sqref="E712:E65536">
    <cfRule type="cellIs" dxfId="49" priority="16" stopIfTrue="1" operator="equal">
      <formula>0</formula>
    </cfRule>
  </conditionalFormatting>
  <conditionalFormatting sqref="G1:G11 E6:E11 E1:E3 H7 H10:H11 F10:F711 G712:G65536">
    <cfRule type="cellIs" dxfId="48" priority="69" stopIfTrue="1" operator="equal">
      <formula>0</formula>
    </cfRule>
  </conditionalFormatting>
  <conditionalFormatting sqref="G12:H711">
    <cfRule type="cellIs" dxfId="47" priority="12" stopIfTrue="1" operator="equal">
      <formula>0</formula>
    </cfRule>
  </conditionalFormatting>
  <conditionalFormatting sqref="I7:K7">
    <cfRule type="cellIs" dxfId="46" priority="4" stopIfTrue="1" operator="equal">
      <formula>0</formula>
    </cfRule>
  </conditionalFormatting>
  <conditionalFormatting sqref="I10:L711">
    <cfRule type="cellIs" dxfId="45" priority="2" stopIfTrue="1" operator="equal">
      <formula>0</formula>
    </cfRule>
  </conditionalFormatting>
  <conditionalFormatting sqref="L1:L6">
    <cfRule type="cellIs" dxfId="44" priority="10" operator="equal">
      <formula>0</formula>
    </cfRule>
  </conditionalFormatting>
  <conditionalFormatting sqref="M1:IV1048576 A8:G9">
    <cfRule type="cellIs" dxfId="4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C97E-D646-4661-8C10-9B8942A1920C}">
  <sheetPr>
    <tabColor rgb="FFFF6699"/>
  </sheetPr>
  <dimension ref="C1:AD55"/>
  <sheetViews>
    <sheetView showGridLines="0" view="pageBreakPreview" topLeftCell="A37" zoomScale="130" zoomScaleNormal="115" zoomScaleSheetLayoutView="130" workbookViewId="0">
      <selection activeCell="Y56" sqref="Y56"/>
    </sheetView>
  </sheetViews>
  <sheetFormatPr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9" t="s">
        <v>1439</v>
      </c>
      <c r="X2" s="700"/>
      <c r="Y2" s="700"/>
      <c r="Z2" s="700"/>
      <c r="AA2" s="700"/>
      <c r="AB2" s="700"/>
      <c r="AC2" s="700"/>
      <c r="AD2" s="701"/>
    </row>
    <row r="3" spans="3:30">
      <c r="C3" s="238"/>
      <c r="W3" s="702"/>
      <c r="X3" s="703"/>
      <c r="Y3" s="703"/>
      <c r="Z3" s="703"/>
      <c r="AA3" s="703"/>
      <c r="AB3" s="703"/>
      <c r="AC3" s="703"/>
      <c r="AD3" s="704"/>
    </row>
    <row r="4" spans="3:30">
      <c r="C4" s="238"/>
      <c r="W4" s="239" t="s">
        <v>987</v>
      </c>
      <c r="AD4" s="240"/>
    </row>
    <row r="5" spans="3:30">
      <c r="C5" s="238"/>
      <c r="W5" s="241" t="s">
        <v>991</v>
      </c>
      <c r="X5" s="648" t="s">
        <v>990</v>
      </c>
      <c r="Y5" s="648"/>
      <c r="Z5" s="648"/>
      <c r="AA5" s="648" t="s">
        <v>988</v>
      </c>
      <c r="AB5" s="648"/>
      <c r="AC5" s="648" t="s">
        <v>989</v>
      </c>
      <c r="AD5" s="649"/>
    </row>
    <row r="6" spans="3:30">
      <c r="C6" s="238"/>
      <c r="W6" s="241">
        <v>1</v>
      </c>
      <c r="X6" s="648" t="s">
        <v>993</v>
      </c>
      <c r="Y6" s="648"/>
      <c r="Z6" s="648"/>
      <c r="AA6" s="648"/>
      <c r="AB6" s="648"/>
      <c r="AC6" s="648"/>
      <c r="AD6" s="649"/>
    </row>
    <row r="7" spans="3:30">
      <c r="C7" s="238"/>
      <c r="E7" s="489" t="s">
        <v>1607</v>
      </c>
      <c r="W7" s="241">
        <v>2</v>
      </c>
      <c r="X7" s="648" t="s">
        <v>994</v>
      </c>
      <c r="Y7" s="648"/>
      <c r="Z7" s="648"/>
      <c r="AA7" s="648"/>
      <c r="AB7" s="648"/>
      <c r="AC7" s="648"/>
      <c r="AD7" s="649"/>
    </row>
    <row r="8" spans="3:30">
      <c r="C8" s="238"/>
      <c r="W8" s="241">
        <v>3</v>
      </c>
      <c r="X8" s="648" t="s">
        <v>995</v>
      </c>
      <c r="Y8" s="648"/>
      <c r="Z8" s="648"/>
      <c r="AA8" s="648"/>
      <c r="AB8" s="648"/>
      <c r="AC8" s="648"/>
      <c r="AD8" s="649"/>
    </row>
    <row r="9" spans="3:30">
      <c r="C9" s="238"/>
      <c r="W9" s="241">
        <v>4</v>
      </c>
      <c r="X9" s="648" t="s">
        <v>996</v>
      </c>
      <c r="Y9" s="648"/>
      <c r="Z9" s="648"/>
      <c r="AA9" s="648"/>
      <c r="AB9" s="648"/>
      <c r="AC9" s="648"/>
      <c r="AD9" s="649"/>
    </row>
    <row r="10" spans="3:30">
      <c r="C10" s="238"/>
      <c r="W10" s="241">
        <v>5</v>
      </c>
      <c r="X10" s="648" t="s">
        <v>997</v>
      </c>
      <c r="Y10" s="648"/>
      <c r="Z10" s="648"/>
      <c r="AA10" s="648"/>
      <c r="AB10" s="648"/>
      <c r="AC10" s="648"/>
      <c r="AD10" s="649"/>
    </row>
    <row r="11" spans="3:30">
      <c r="C11" s="238"/>
      <c r="W11" s="241">
        <v>6</v>
      </c>
      <c r="X11" s="648" t="s">
        <v>998</v>
      </c>
      <c r="Y11" s="648"/>
      <c r="Z11" s="648"/>
      <c r="AA11" s="648"/>
      <c r="AB11" s="648"/>
      <c r="AC11" s="648"/>
      <c r="AD11" s="649"/>
    </row>
    <row r="12" spans="3:30">
      <c r="C12" s="238"/>
      <c r="W12" s="241">
        <v>7</v>
      </c>
      <c r="X12" s="648" t="s">
        <v>999</v>
      </c>
      <c r="Y12" s="648"/>
      <c r="Z12" s="648"/>
      <c r="AA12" s="648"/>
      <c r="AB12" s="648"/>
      <c r="AC12" s="648"/>
      <c r="AD12" s="649"/>
    </row>
    <row r="13" spans="3:30" ht="12.75" customHeight="1">
      <c r="C13" s="238"/>
      <c r="W13" s="241">
        <v>8</v>
      </c>
      <c r="X13" s="648" t="s">
        <v>1000</v>
      </c>
      <c r="Y13" s="648"/>
      <c r="Z13" s="648"/>
      <c r="AA13" s="648"/>
      <c r="AB13" s="648"/>
      <c r="AC13" s="648"/>
      <c r="AD13" s="649"/>
    </row>
    <row r="14" spans="3:30">
      <c r="C14" s="238"/>
      <c r="W14" s="241">
        <v>9</v>
      </c>
      <c r="X14" s="648" t="s">
        <v>1001</v>
      </c>
      <c r="Y14" s="648"/>
      <c r="Z14" s="648"/>
      <c r="AA14" s="648"/>
      <c r="AB14" s="648"/>
      <c r="AC14" s="648"/>
      <c r="AD14" s="649"/>
    </row>
    <row r="15" spans="3:30">
      <c r="C15" s="238"/>
      <c r="W15" s="241">
        <v>10</v>
      </c>
      <c r="X15" s="648" t="s">
        <v>1010</v>
      </c>
      <c r="Y15" s="648"/>
      <c r="Z15" s="648"/>
      <c r="AA15" s="648"/>
      <c r="AB15" s="648"/>
      <c r="AC15" s="648"/>
      <c r="AD15" s="649"/>
    </row>
    <row r="16" spans="3:30">
      <c r="C16" s="238"/>
      <c r="W16" s="241">
        <v>11</v>
      </c>
      <c r="X16" s="648" t="s">
        <v>1455</v>
      </c>
      <c r="Y16" s="648"/>
      <c r="Z16" s="648"/>
      <c r="AA16" s="648"/>
      <c r="AB16" s="648"/>
      <c r="AC16" s="648"/>
      <c r="AD16" s="649"/>
    </row>
    <row r="17" spans="3:30">
      <c r="C17" s="238"/>
      <c r="S17" s="242"/>
      <c r="W17" s="241">
        <v>12</v>
      </c>
      <c r="X17" s="648" t="s">
        <v>1011</v>
      </c>
      <c r="Y17" s="648"/>
      <c r="Z17" s="648"/>
      <c r="AA17" s="648"/>
      <c r="AB17" s="648"/>
      <c r="AC17" s="648"/>
      <c r="AD17" s="649"/>
    </row>
    <row r="18" spans="3:30">
      <c r="C18" s="243"/>
      <c r="D18" s="244"/>
      <c r="E18" s="244"/>
      <c r="W18" s="241">
        <v>13</v>
      </c>
      <c r="X18" s="648"/>
      <c r="Y18" s="648"/>
      <c r="Z18" s="648"/>
      <c r="AA18" s="648"/>
      <c r="AB18" s="648"/>
      <c r="AC18" s="648"/>
      <c r="AD18" s="649"/>
    </row>
    <row r="19" spans="3:30">
      <c r="C19" s="238"/>
      <c r="W19" s="245"/>
      <c r="X19" s="697"/>
      <c r="Y19" s="697"/>
      <c r="Z19" s="697"/>
      <c r="AA19" s="697"/>
      <c r="AB19" s="697"/>
      <c r="AC19" s="697"/>
      <c r="AD19" s="698"/>
    </row>
    <row r="20" spans="3:30">
      <c r="C20" s="238"/>
      <c r="W20" s="684" t="s">
        <v>992</v>
      </c>
      <c r="X20" s="685"/>
      <c r="Y20" s="685"/>
      <c r="Z20" s="685"/>
      <c r="AA20" s="685"/>
      <c r="AB20" s="685"/>
      <c r="AC20" s="685"/>
      <c r="AD20" s="686"/>
    </row>
    <row r="21" spans="3:30">
      <c r="C21" s="238"/>
      <c r="W21" s="687" t="s">
        <v>985</v>
      </c>
      <c r="X21" s="688"/>
      <c r="Y21" s="688"/>
      <c r="Z21" s="689"/>
      <c r="AA21" s="690" t="s">
        <v>986</v>
      </c>
      <c r="AB21" s="691"/>
      <c r="AC21" s="691"/>
      <c r="AD21" s="692"/>
    </row>
    <row r="22" spans="3:30">
      <c r="C22" s="238"/>
      <c r="W22" s="693"/>
      <c r="X22" s="694"/>
      <c r="Y22" s="491"/>
      <c r="Z22" s="492"/>
      <c r="AA22" s="695"/>
      <c r="AB22" s="696"/>
      <c r="AC22" s="248"/>
      <c r="AD22" s="249"/>
    </row>
    <row r="23" spans="3:30">
      <c r="C23" s="238"/>
      <c r="W23" s="693"/>
      <c r="X23" s="694"/>
      <c r="Y23" s="491"/>
      <c r="Z23" s="492"/>
      <c r="AA23" s="682"/>
      <c r="AB23" s="683"/>
      <c r="AC23" s="248"/>
      <c r="AD23" s="249"/>
    </row>
    <row r="24" spans="3:30">
      <c r="C24" s="238"/>
      <c r="W24" s="677"/>
      <c r="X24" s="679"/>
      <c r="Y24" s="246"/>
      <c r="Z24" s="247"/>
      <c r="AA24" s="680"/>
      <c r="AB24" s="681"/>
      <c r="AC24" s="248"/>
      <c r="AD24" s="249"/>
    </row>
    <row r="25" spans="3:30">
      <c r="C25" s="238"/>
      <c r="W25" s="677"/>
      <c r="X25" s="679"/>
      <c r="Y25" s="246"/>
      <c r="Z25" s="247"/>
      <c r="AA25" s="682"/>
      <c r="AB25" s="683"/>
      <c r="AC25" s="248"/>
      <c r="AD25" s="249"/>
    </row>
    <row r="26" spans="3:30">
      <c r="C26" s="238"/>
      <c r="W26" s="479"/>
      <c r="X26" s="480"/>
      <c r="Y26" s="246"/>
      <c r="Z26" s="247"/>
      <c r="AA26" s="682"/>
      <c r="AB26" s="683"/>
      <c r="AC26" s="248"/>
      <c r="AD26" s="249"/>
    </row>
    <row r="27" spans="3:30">
      <c r="C27" s="238"/>
      <c r="W27" s="479"/>
      <c r="X27" s="480"/>
      <c r="Y27" s="246"/>
      <c r="Z27" s="247"/>
      <c r="AA27" s="676"/>
      <c r="AB27" s="671"/>
      <c r="AC27" s="248"/>
      <c r="AD27" s="249"/>
    </row>
    <row r="28" spans="3:30">
      <c r="C28" s="238"/>
      <c r="W28" s="479"/>
      <c r="X28" s="480"/>
      <c r="Y28" s="246"/>
      <c r="Z28" s="247"/>
      <c r="AA28" s="676"/>
      <c r="AB28" s="671"/>
      <c r="AC28" s="248"/>
      <c r="AD28" s="249"/>
    </row>
    <row r="29" spans="3:30">
      <c r="C29" s="238"/>
      <c r="W29" s="479"/>
      <c r="X29" s="480"/>
      <c r="Y29" s="246"/>
      <c r="Z29" s="247"/>
      <c r="AA29" s="676"/>
      <c r="AB29" s="671"/>
      <c r="AC29" s="248"/>
      <c r="AD29" s="249"/>
    </row>
    <row r="30" spans="3:30" ht="11.25" customHeight="1">
      <c r="C30" s="238"/>
      <c r="W30" s="481"/>
      <c r="X30" s="482"/>
      <c r="Y30" s="246"/>
      <c r="Z30" s="247"/>
      <c r="AA30" s="676"/>
      <c r="AB30" s="671"/>
      <c r="AC30" s="248"/>
      <c r="AD30" s="249"/>
    </row>
    <row r="31" spans="3:30">
      <c r="C31" s="238"/>
      <c r="U31" s="250"/>
      <c r="W31" s="479"/>
      <c r="X31" s="480"/>
      <c r="Y31" s="246"/>
      <c r="Z31" s="247"/>
      <c r="AA31" s="676"/>
      <c r="AB31" s="671"/>
      <c r="AC31" s="248"/>
      <c r="AD31" s="249"/>
    </row>
    <row r="32" spans="3:30">
      <c r="C32" s="238"/>
      <c r="U32" s="250"/>
      <c r="W32" s="479"/>
      <c r="X32" s="480"/>
      <c r="Y32" s="246"/>
      <c r="Z32" s="247"/>
      <c r="AA32" s="676"/>
      <c r="AB32" s="671"/>
      <c r="AC32" s="248"/>
      <c r="AD32" s="249"/>
    </row>
    <row r="33" spans="3:30">
      <c r="C33" s="238"/>
      <c r="W33" s="479"/>
      <c r="X33" s="480"/>
      <c r="Y33" s="246"/>
      <c r="Z33" s="247"/>
      <c r="AA33" s="676"/>
      <c r="AB33" s="671"/>
      <c r="AC33" s="248"/>
      <c r="AD33" s="249"/>
    </row>
    <row r="34" spans="3:30">
      <c r="C34" s="238"/>
      <c r="W34" s="479"/>
      <c r="X34" s="480"/>
      <c r="Y34" s="246"/>
      <c r="Z34" s="247"/>
      <c r="AA34" s="676"/>
      <c r="AB34" s="671"/>
      <c r="AC34" s="248"/>
      <c r="AD34" s="249"/>
    </row>
    <row r="35" spans="3:30">
      <c r="C35" s="238"/>
      <c r="W35" s="677"/>
      <c r="X35" s="678"/>
      <c r="Y35" s="246"/>
      <c r="Z35" s="247"/>
      <c r="AA35" s="676"/>
      <c r="AB35" s="671"/>
      <c r="AC35" s="248"/>
      <c r="AD35" s="249"/>
    </row>
    <row r="36" spans="3:30">
      <c r="C36" s="238"/>
      <c r="W36" s="668"/>
      <c r="X36" s="669"/>
      <c r="Y36" s="246"/>
      <c r="Z36" s="251"/>
      <c r="AA36" s="670"/>
      <c r="AB36" s="671"/>
      <c r="AC36" s="248"/>
      <c r="AD36" s="249"/>
    </row>
    <row r="37" spans="3:30" ht="12.75" customHeight="1">
      <c r="C37" s="238"/>
      <c r="W37" s="672"/>
      <c r="X37" s="673"/>
      <c r="Y37" s="246"/>
      <c r="Z37" s="251"/>
      <c r="AA37" s="674"/>
      <c r="AB37" s="675"/>
      <c r="AC37" s="252"/>
      <c r="AD37" s="253"/>
    </row>
    <row r="38" spans="3:30" ht="12.75" customHeight="1">
      <c r="C38" s="238"/>
      <c r="W38" s="672"/>
      <c r="X38" s="673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2"/>
      <c r="X39" s="673"/>
      <c r="Y39" s="254"/>
      <c r="Z39" s="257"/>
      <c r="AA39" s="664"/>
      <c r="AB39" s="665"/>
      <c r="AC39" s="252"/>
      <c r="AD39" s="253"/>
    </row>
    <row r="40" spans="3:30" ht="12" customHeight="1">
      <c r="C40" s="238"/>
      <c r="W40" s="660"/>
      <c r="X40" s="661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62"/>
      <c r="X41" s="663"/>
      <c r="Y41" s="260"/>
      <c r="Z41" s="261"/>
      <c r="AA41" s="664"/>
      <c r="AB41" s="665"/>
      <c r="AC41" s="252"/>
      <c r="AD41" s="253"/>
    </row>
    <row r="42" spans="3:30" ht="12" customHeight="1">
      <c r="C42" s="238"/>
      <c r="W42" s="666" t="s">
        <v>1456</v>
      </c>
      <c r="X42" s="667"/>
      <c r="Y42" s="667"/>
      <c r="Z42" s="667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45" t="s">
        <v>11</v>
      </c>
      <c r="X44" s="646"/>
      <c r="Y44" s="648"/>
      <c r="Z44" s="648"/>
      <c r="AA44" s="648"/>
      <c r="AB44" s="648"/>
      <c r="AC44" s="648"/>
      <c r="AD44" s="649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45" t="s">
        <v>984</v>
      </c>
      <c r="X45" s="646"/>
      <c r="Y45" s="648">
        <v>1</v>
      </c>
      <c r="Z45" s="648"/>
      <c r="AA45" s="648"/>
      <c r="AB45" s="648" t="s">
        <v>12</v>
      </c>
      <c r="AC45" s="648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45" t="s">
        <v>15</v>
      </c>
      <c r="X46" s="646"/>
      <c r="Y46" s="659"/>
      <c r="Z46" s="659"/>
      <c r="AA46" s="659"/>
      <c r="AB46" s="648" t="s">
        <v>16</v>
      </c>
      <c r="AC46" s="648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53" t="s">
        <v>17</v>
      </c>
      <c r="X47" s="653"/>
      <c r="Y47" s="653"/>
      <c r="Z47" s="653"/>
      <c r="AA47" s="653"/>
      <c r="AB47" s="653"/>
      <c r="AC47" s="653"/>
      <c r="AD47" s="654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55" t="str">
        <f>RAB!G6</f>
        <v>POMPA AIR JATENG LAND</v>
      </c>
      <c r="X48" s="655"/>
      <c r="Y48" s="655"/>
      <c r="Z48" s="655"/>
      <c r="AA48" s="655"/>
      <c r="AB48" s="655"/>
      <c r="AC48" s="655"/>
      <c r="AD48" s="656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55"/>
      <c r="X49" s="655"/>
      <c r="Y49" s="655"/>
      <c r="Z49" s="655"/>
      <c r="AA49" s="655"/>
      <c r="AB49" s="655"/>
      <c r="AC49" s="655"/>
      <c r="AD49" s="656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655"/>
      <c r="X50" s="655"/>
      <c r="Y50" s="655"/>
      <c r="Z50" s="655"/>
      <c r="AA50" s="655"/>
      <c r="AB50" s="655"/>
      <c r="AC50" s="655"/>
      <c r="AD50" s="656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657"/>
      <c r="X51" s="657"/>
      <c r="Y51" s="657"/>
      <c r="Z51" s="657"/>
      <c r="AA51" s="657"/>
      <c r="AB51" s="657"/>
      <c r="AC51" s="657"/>
      <c r="AD51" s="658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45" t="s">
        <v>18</v>
      </c>
      <c r="X52" s="646"/>
      <c r="Y52" s="648" t="s">
        <v>1632</v>
      </c>
      <c r="Z52" s="648"/>
      <c r="AA52" s="648"/>
      <c r="AB52" s="648"/>
      <c r="AC52" s="648"/>
      <c r="AD52" s="649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45" t="s">
        <v>19</v>
      </c>
      <c r="X53" s="646"/>
      <c r="Y53" s="648" t="s">
        <v>1633</v>
      </c>
      <c r="Z53" s="648"/>
      <c r="AA53" s="648"/>
      <c r="AB53" s="648"/>
      <c r="AC53" s="648"/>
      <c r="AD53" s="649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45" t="s">
        <v>20</v>
      </c>
      <c r="X54" s="646"/>
      <c r="Y54" s="647" t="s">
        <v>1630</v>
      </c>
      <c r="Z54" s="647"/>
      <c r="AA54" s="647"/>
      <c r="AB54" s="648"/>
      <c r="AC54" s="648"/>
      <c r="AD54" s="649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50" t="s">
        <v>21</v>
      </c>
      <c r="X55" s="651"/>
      <c r="Y55" s="647" t="s">
        <v>1634</v>
      </c>
      <c r="Z55" s="647"/>
      <c r="AA55" s="647"/>
      <c r="AB55" s="647"/>
      <c r="AC55" s="647"/>
      <c r="AD55" s="652"/>
    </row>
  </sheetData>
  <mergeCells count="101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55" zoomScaleNormal="55" zoomScaleSheetLayoutView="55" workbookViewId="0">
      <selection activeCell="Z32" sqref="Z32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705" t="s">
        <v>1528</v>
      </c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  <c r="X4" s="706"/>
      <c r="Y4" s="706"/>
      <c r="Z4" s="706"/>
      <c r="AA4" s="706"/>
      <c r="AB4" s="706"/>
      <c r="AC4" s="707"/>
      <c r="AD4" s="217"/>
      <c r="AE4" s="216"/>
      <c r="AF4" s="216"/>
    </row>
    <row r="5" spans="2:32" ht="13.5" customHeight="1">
      <c r="B5" s="215"/>
      <c r="C5" s="215"/>
      <c r="D5" s="708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  <c r="U5" s="709"/>
      <c r="V5" s="709"/>
      <c r="W5" s="709"/>
      <c r="X5" s="709"/>
      <c r="Y5" s="709"/>
      <c r="Z5" s="709"/>
      <c r="AA5" s="709"/>
      <c r="AB5" s="709"/>
      <c r="AC5" s="710"/>
      <c r="AD5" s="217"/>
      <c r="AE5" s="216"/>
      <c r="AF5" s="216"/>
    </row>
    <row r="6" spans="2:32" ht="12.75" customHeight="1">
      <c r="B6" s="215"/>
      <c r="C6" s="215"/>
      <c r="D6" s="708"/>
      <c r="E6" s="709"/>
      <c r="F6" s="709"/>
      <c r="G6" s="709"/>
      <c r="H6" s="709"/>
      <c r="I6" s="709"/>
      <c r="J6" s="709"/>
      <c r="K6" s="709"/>
      <c r="L6" s="709"/>
      <c r="M6" s="709"/>
      <c r="N6" s="709"/>
      <c r="O6" s="709"/>
      <c r="P6" s="709"/>
      <c r="Q6" s="709"/>
      <c r="R6" s="709"/>
      <c r="S6" s="709"/>
      <c r="T6" s="709"/>
      <c r="U6" s="709"/>
      <c r="V6" s="709"/>
      <c r="W6" s="709"/>
      <c r="X6" s="709"/>
      <c r="Y6" s="709"/>
      <c r="Z6" s="709"/>
      <c r="AA6" s="709"/>
      <c r="AB6" s="709"/>
      <c r="AC6" s="710"/>
      <c r="AE6" s="216"/>
      <c r="AF6" s="216"/>
    </row>
    <row r="7" spans="2:32" ht="12.75" customHeight="1" thickBot="1">
      <c r="B7" s="215"/>
      <c r="C7" s="215"/>
      <c r="D7" s="711"/>
      <c r="E7" s="712"/>
      <c r="F7" s="712"/>
      <c r="G7" s="712"/>
      <c r="H7" s="712"/>
      <c r="I7" s="712"/>
      <c r="J7" s="712"/>
      <c r="K7" s="712"/>
      <c r="L7" s="712"/>
      <c r="M7" s="712"/>
      <c r="N7" s="712"/>
      <c r="O7" s="712"/>
      <c r="P7" s="712"/>
      <c r="Q7" s="712"/>
      <c r="R7" s="712"/>
      <c r="S7" s="712"/>
      <c r="T7" s="712"/>
      <c r="U7" s="712"/>
      <c r="V7" s="712"/>
      <c r="W7" s="712"/>
      <c r="X7" s="712"/>
      <c r="Y7" s="712"/>
      <c r="Z7" s="712"/>
      <c r="AA7" s="712"/>
      <c r="AB7" s="712"/>
      <c r="AC7" s="713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topLeftCell="A8" zoomScale="55" zoomScaleNormal="40" zoomScaleSheetLayoutView="55" workbookViewId="0">
      <selection activeCell="G19" sqref="G18:G19"/>
    </sheetView>
  </sheetViews>
  <sheetFormatPr defaultRowHeight="12.75"/>
  <cols>
    <col min="1" max="1" width="1.7109375" style="424" customWidth="1"/>
    <col min="2" max="2" width="10.7109375" style="424" customWidth="1"/>
    <col min="3" max="3" width="2.5703125" style="424" customWidth="1"/>
    <col min="4" max="20" width="9.140625" style="424"/>
    <col min="21" max="21" width="14.5703125" style="424" customWidth="1"/>
    <col min="22" max="22" width="3.140625" style="424" customWidth="1"/>
    <col min="23" max="26" width="9.140625" style="424"/>
    <col min="27" max="27" width="2.85546875" style="424" customWidth="1"/>
    <col min="28" max="30" width="4.7109375" style="424" customWidth="1"/>
    <col min="31" max="31" width="1.7109375" style="424" customWidth="1"/>
    <col min="32" max="16384" width="9.140625" style="424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9" t="s">
        <v>1527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182"/>
      <c r="X3" s="435"/>
      <c r="Y3" s="435"/>
      <c r="Z3" s="435"/>
      <c r="AA3" s="435"/>
      <c r="AB3" s="435"/>
      <c r="AC3" s="425"/>
    </row>
    <row r="4" spans="1:29" ht="18.75" customHeight="1">
      <c r="A4" s="181"/>
      <c r="C4" s="709"/>
      <c r="D4" s="709"/>
      <c r="E4" s="709"/>
      <c r="F4" s="709"/>
      <c r="G4" s="709"/>
      <c r="H4" s="709"/>
      <c r="I4" s="709"/>
      <c r="J4" s="709"/>
      <c r="K4" s="709"/>
      <c r="L4" s="709"/>
      <c r="M4" s="709"/>
      <c r="N4" s="709"/>
      <c r="O4" s="709"/>
      <c r="P4" s="709"/>
      <c r="Q4" s="709"/>
      <c r="R4" s="709"/>
      <c r="S4" s="709"/>
      <c r="T4" s="709"/>
      <c r="U4" s="709"/>
      <c r="V4" s="709"/>
      <c r="W4" s="182"/>
      <c r="X4" s="435"/>
      <c r="Y4" s="435"/>
      <c r="Z4" s="435"/>
      <c r="AA4" s="435"/>
      <c r="AB4" s="435"/>
      <c r="AC4" s="425"/>
    </row>
    <row r="5" spans="1:29" ht="12.75" customHeight="1">
      <c r="A5" s="181"/>
      <c r="C5" s="426"/>
      <c r="W5" s="182"/>
    </row>
    <row r="6" spans="1:29" ht="12.75" customHeight="1">
      <c r="A6" s="181"/>
      <c r="C6" s="714" t="s">
        <v>1606</v>
      </c>
      <c r="D6" s="714"/>
      <c r="E6" s="714"/>
      <c r="F6" s="714"/>
      <c r="G6" s="714"/>
      <c r="H6" s="714"/>
      <c r="I6" s="714"/>
      <c r="J6" s="714"/>
      <c r="K6" s="714"/>
      <c r="L6" s="714"/>
      <c r="M6" s="714"/>
      <c r="W6" s="182"/>
      <c r="Y6" s="427"/>
      <c r="Z6" s="427"/>
      <c r="AA6" s="427"/>
      <c r="AB6" s="428"/>
      <c r="AC6" s="428"/>
    </row>
    <row r="7" spans="1:29" ht="18" customHeight="1">
      <c r="A7" s="181"/>
      <c r="C7" s="714"/>
      <c r="D7" s="714"/>
      <c r="E7" s="714"/>
      <c r="F7" s="714"/>
      <c r="G7" s="714"/>
      <c r="H7" s="714"/>
      <c r="I7" s="714"/>
      <c r="J7" s="714"/>
      <c r="K7" s="714"/>
      <c r="L7" s="714"/>
      <c r="M7" s="714"/>
      <c r="W7" s="182"/>
      <c r="Y7" s="427"/>
      <c r="Z7" s="427"/>
      <c r="AA7" s="427"/>
      <c r="AB7" s="428"/>
      <c r="AC7" s="428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9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30"/>
      <c r="S54" s="430"/>
      <c r="T54" s="430"/>
      <c r="U54" s="431"/>
      <c r="V54" s="431"/>
      <c r="W54" s="183"/>
      <c r="X54" s="431"/>
      <c r="Y54" s="431"/>
      <c r="Z54" s="431"/>
      <c r="AA54" s="431"/>
      <c r="AB54" s="431"/>
      <c r="AC54" s="431"/>
      <c r="AD54" s="431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36"/>
      <c r="S55" s="437"/>
      <c r="T55" s="437"/>
      <c r="U55" s="186"/>
      <c r="V55" s="187"/>
      <c r="W55" s="188"/>
      <c r="X55" s="431"/>
      <c r="Y55" s="431"/>
      <c r="Z55" s="431"/>
      <c r="AA55" s="432"/>
      <c r="AB55" s="432"/>
      <c r="AC55" s="432"/>
      <c r="AD55" s="432"/>
    </row>
    <row r="56" spans="1:30">
      <c r="U56" s="431"/>
      <c r="V56" s="432"/>
      <c r="W56" s="431"/>
      <c r="X56" s="431"/>
      <c r="Y56" s="431"/>
      <c r="Z56" s="431"/>
      <c r="AA56" s="432"/>
      <c r="AB56" s="431"/>
      <c r="AC56" s="431"/>
      <c r="AD56" s="431"/>
    </row>
    <row r="57" spans="1:30">
      <c r="U57" s="431"/>
      <c r="V57" s="432"/>
      <c r="W57" s="431"/>
      <c r="X57" s="431"/>
      <c r="Y57" s="431"/>
      <c r="Z57" s="431"/>
      <c r="AA57" s="431"/>
      <c r="AB57" s="431"/>
      <c r="AC57" s="431"/>
      <c r="AD57" s="431"/>
    </row>
    <row r="58" spans="1:30">
      <c r="U58" s="431"/>
      <c r="V58" s="432"/>
      <c r="W58" s="431"/>
      <c r="X58" s="431"/>
      <c r="Y58" s="431"/>
      <c r="Z58" s="431"/>
      <c r="AA58" s="431"/>
      <c r="AB58" s="431"/>
      <c r="AC58" s="431"/>
      <c r="AD58" s="431"/>
    </row>
    <row r="59" spans="1:30">
      <c r="U59" s="431"/>
      <c r="V59" s="432"/>
      <c r="W59" s="431"/>
      <c r="X59" s="431"/>
      <c r="Y59" s="431"/>
      <c r="Z59" s="431"/>
      <c r="AA59" s="431"/>
      <c r="AB59" s="431"/>
      <c r="AC59" s="431"/>
      <c r="AD59" s="431"/>
    </row>
    <row r="60" spans="1:30">
      <c r="U60" s="431"/>
      <c r="V60" s="432"/>
      <c r="W60" s="431"/>
      <c r="X60" s="431"/>
      <c r="Y60" s="431"/>
      <c r="Z60" s="431"/>
      <c r="AA60" s="432"/>
      <c r="AB60" s="431"/>
      <c r="AC60" s="431"/>
      <c r="AD60" s="431"/>
    </row>
    <row r="61" spans="1:30">
      <c r="U61" s="431"/>
      <c r="V61" s="432"/>
      <c r="W61" s="431"/>
      <c r="X61" s="431"/>
      <c r="Y61" s="431"/>
      <c r="Z61" s="431"/>
      <c r="AA61" s="431"/>
      <c r="AB61" s="431"/>
      <c r="AC61" s="431"/>
      <c r="AD61" s="431"/>
    </row>
    <row r="62" spans="1:30">
      <c r="U62" s="431"/>
      <c r="V62" s="432"/>
      <c r="W62" s="431"/>
      <c r="X62" s="431"/>
      <c r="Y62" s="431"/>
      <c r="Z62" s="431"/>
      <c r="AA62" s="431"/>
      <c r="AB62" s="431"/>
      <c r="AC62" s="431"/>
      <c r="AD62" s="431"/>
    </row>
    <row r="63" spans="1:30">
      <c r="U63" s="431"/>
      <c r="V63" s="432"/>
      <c r="W63" s="431"/>
      <c r="X63" s="431"/>
      <c r="Y63" s="431"/>
      <c r="Z63" s="431"/>
      <c r="AA63" s="431"/>
      <c r="AB63" s="431"/>
      <c r="AC63" s="431"/>
      <c r="AD63" s="431"/>
    </row>
    <row r="64" spans="1:30">
      <c r="U64" s="431"/>
      <c r="V64" s="432"/>
      <c r="W64" s="431"/>
      <c r="X64" s="431"/>
      <c r="Y64" s="431"/>
      <c r="Z64" s="431"/>
      <c r="AA64" s="431"/>
      <c r="AB64" s="431"/>
      <c r="AC64" s="431"/>
      <c r="AD64" s="431"/>
    </row>
    <row r="65" spans="5:30">
      <c r="U65" s="431"/>
      <c r="V65" s="432"/>
      <c r="W65" s="431"/>
      <c r="X65" s="431"/>
      <c r="Y65" s="431"/>
      <c r="Z65" s="431"/>
      <c r="AA65" s="431"/>
      <c r="AB65" s="431"/>
      <c r="AC65" s="431"/>
      <c r="AD65" s="431"/>
    </row>
    <row r="66" spans="5:30" ht="6" customHeight="1"/>
    <row r="73" spans="5:30">
      <c r="M73" s="433"/>
    </row>
    <row r="74" spans="5:30" ht="15" customHeight="1">
      <c r="E74" s="434"/>
      <c r="M74" s="433"/>
    </row>
    <row r="75" spans="5:30" ht="15" customHeight="1">
      <c r="E75" s="434"/>
      <c r="M75" s="433"/>
    </row>
    <row r="76" spans="5:30" ht="15" customHeight="1">
      <c r="E76" s="434"/>
      <c r="M76" s="433"/>
    </row>
    <row r="77" spans="5:30" ht="15" customHeight="1">
      <c r="E77" s="434"/>
      <c r="M77" s="433"/>
    </row>
    <row r="78" spans="5:30" ht="15" customHeight="1">
      <c r="E78" s="434"/>
      <c r="M78" s="433"/>
    </row>
    <row r="79" spans="5:30" ht="15" customHeight="1">
      <c r="E79" s="434"/>
      <c r="M79" s="433"/>
    </row>
    <row r="80" spans="5:30" ht="15" customHeight="1">
      <c r="E80" s="434"/>
      <c r="M80" s="433"/>
    </row>
    <row r="81" spans="5:13" ht="15" customHeight="1">
      <c r="E81" s="434"/>
      <c r="M81" s="433"/>
    </row>
    <row r="82" spans="5:13" ht="15" customHeight="1">
      <c r="E82" s="434"/>
      <c r="M82" s="433"/>
    </row>
    <row r="83" spans="5:13" ht="15" customHeight="1">
      <c r="E83" s="434"/>
      <c r="M83" s="433"/>
    </row>
    <row r="84" spans="5:13" ht="15" customHeight="1">
      <c r="E84" s="434"/>
      <c r="M84" s="433"/>
    </row>
    <row r="85" spans="5:13" ht="15" customHeight="1">
      <c r="E85" s="434"/>
      <c r="M85" s="433"/>
    </row>
    <row r="86" spans="5:13" ht="15" customHeight="1">
      <c r="E86" s="434"/>
      <c r="M86" s="433"/>
    </row>
    <row r="87" spans="5:13" ht="15" customHeight="1">
      <c r="E87" s="434"/>
      <c r="M87" s="433"/>
    </row>
    <row r="88" spans="5:13" ht="15" customHeight="1">
      <c r="E88" s="434"/>
      <c r="M88" s="433"/>
    </row>
    <row r="89" spans="5:13" ht="15" customHeight="1">
      <c r="E89" s="434"/>
      <c r="M89" s="433"/>
    </row>
    <row r="90" spans="5:13" ht="15" customHeight="1">
      <c r="E90" s="434"/>
      <c r="M90" s="433"/>
    </row>
    <row r="91" spans="5:13" ht="15" customHeight="1">
      <c r="E91" s="434"/>
      <c r="M91" s="433"/>
    </row>
    <row r="92" spans="5:13" ht="15" customHeight="1">
      <c r="E92" s="434"/>
      <c r="M92" s="433"/>
    </row>
    <row r="93" spans="5:13" ht="15" customHeight="1">
      <c r="E93" s="434"/>
      <c r="M93" s="433"/>
    </row>
    <row r="94" spans="5:13" ht="15" customHeight="1">
      <c r="E94" s="434"/>
      <c r="M94" s="433"/>
    </row>
    <row r="95" spans="5:13" ht="15" customHeight="1">
      <c r="E95" s="434"/>
      <c r="M95" s="433"/>
    </row>
    <row r="96" spans="5:13" ht="15" customHeight="1">
      <c r="E96" s="434"/>
    </row>
    <row r="97" spans="5:5" ht="15" customHeight="1">
      <c r="E97" s="434"/>
    </row>
    <row r="98" spans="5:5" ht="15" customHeight="1">
      <c r="E98" s="434"/>
    </row>
    <row r="99" spans="5:5" ht="15" customHeight="1">
      <c r="E99" s="434"/>
    </row>
    <row r="100" spans="5:5" ht="15" customHeight="1">
      <c r="E100" s="434"/>
    </row>
    <row r="101" spans="5:5" ht="15" customHeight="1">
      <c r="E101" s="434"/>
    </row>
    <row r="102" spans="5:5" ht="15" customHeight="1">
      <c r="E102" s="434"/>
    </row>
    <row r="103" spans="5:5" ht="15" customHeight="1">
      <c r="E103" s="434"/>
    </row>
    <row r="104" spans="5:5" ht="15" customHeight="1">
      <c r="E104" s="434"/>
    </row>
    <row r="105" spans="5:5" ht="15" customHeight="1">
      <c r="E105" s="434"/>
    </row>
    <row r="106" spans="5:5" ht="15" customHeight="1">
      <c r="E106" s="434"/>
    </row>
    <row r="107" spans="5:5" ht="15" customHeight="1">
      <c r="E107" s="434"/>
    </row>
    <row r="108" spans="5:5" ht="15" customHeight="1">
      <c r="E108" s="434"/>
    </row>
    <row r="109" spans="5:5" ht="15" customHeight="1">
      <c r="E109" s="434"/>
    </row>
    <row r="110" spans="5:5" ht="15" customHeight="1">
      <c r="E110" s="434"/>
    </row>
    <row r="111" spans="5:5" ht="15" customHeight="1">
      <c r="E111" s="434"/>
    </row>
    <row r="112" spans="5:5" ht="15" customHeight="1">
      <c r="E112" s="434"/>
    </row>
    <row r="113" spans="5:5" ht="15" customHeight="1">
      <c r="E113" s="434"/>
    </row>
    <row r="114" spans="5:5" ht="15" customHeight="1">
      <c r="E114" s="434"/>
    </row>
    <row r="115" spans="5:5" ht="15" customHeight="1">
      <c r="E115" s="434"/>
    </row>
    <row r="116" spans="5:5" ht="15" customHeight="1">
      <c r="E116" s="434"/>
    </row>
    <row r="117" spans="5:5" ht="15" customHeight="1">
      <c r="E117" s="434"/>
    </row>
    <row r="118" spans="5:5" ht="15" customHeight="1">
      <c r="E118" s="434"/>
    </row>
    <row r="119" spans="5:5" ht="15" customHeight="1">
      <c r="E119" s="434"/>
    </row>
    <row r="120" spans="5:5">
      <c r="E120" s="434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56">
        <v>1</v>
      </c>
    </row>
    <row r="2" spans="1:11" ht="48" customHeight="1">
      <c r="A2" s="456">
        <v>3</v>
      </c>
    </row>
    <row r="4" spans="1:11" ht="48" customHeight="1">
      <c r="C4" s="456">
        <v>1</v>
      </c>
    </row>
    <row r="5" spans="1:11" ht="48" customHeight="1">
      <c r="C5" s="456">
        <v>3</v>
      </c>
    </row>
    <row r="7" spans="1:11" ht="48" customHeight="1">
      <c r="E7" s="456">
        <v>1</v>
      </c>
    </row>
    <row r="8" spans="1:11" ht="48" customHeight="1">
      <c r="E8" s="456">
        <v>3</v>
      </c>
    </row>
    <row r="10" spans="1:11" ht="48" customHeight="1">
      <c r="G10" s="456">
        <v>3</v>
      </c>
    </row>
    <row r="11" spans="1:11" ht="48" customHeight="1">
      <c r="G11" s="456">
        <v>1</v>
      </c>
    </row>
    <row r="13" spans="1:11" ht="48" customHeight="1">
      <c r="I13" s="456">
        <v>3</v>
      </c>
    </row>
    <row r="14" spans="1:11" ht="48" customHeight="1">
      <c r="I14" s="456">
        <v>1</v>
      </c>
    </row>
    <row r="16" spans="1:11" ht="48" customHeight="1">
      <c r="K16" s="456">
        <v>3</v>
      </c>
    </row>
    <row r="17" spans="11:21" ht="48" customHeight="1">
      <c r="K17" s="456">
        <v>1</v>
      </c>
    </row>
    <row r="19" spans="11:21" ht="48" customHeight="1">
      <c r="M19" s="456">
        <v>3</v>
      </c>
    </row>
    <row r="20" spans="11:21" ht="48" customHeight="1">
      <c r="M20" s="456">
        <v>1</v>
      </c>
    </row>
    <row r="22" spans="11:21" ht="48" customHeight="1">
      <c r="O22" s="456">
        <v>3</v>
      </c>
    </row>
    <row r="23" spans="11:21" ht="48" customHeight="1">
      <c r="O23" s="456">
        <v>1</v>
      </c>
    </row>
    <row r="25" spans="11:21" ht="57" customHeight="1">
      <c r="Q25" s="456">
        <v>3</v>
      </c>
    </row>
    <row r="26" spans="11:21" ht="57" customHeight="1">
      <c r="Q26" s="456">
        <v>1</v>
      </c>
    </row>
    <row r="28" spans="11:21" ht="57" customHeight="1">
      <c r="S28" s="456">
        <v>3</v>
      </c>
    </row>
    <row r="29" spans="11:21" ht="57" customHeight="1">
      <c r="S29" s="456">
        <v>1</v>
      </c>
    </row>
    <row r="31" spans="11:21" ht="57" customHeight="1">
      <c r="U31" s="456">
        <v>3</v>
      </c>
    </row>
    <row r="32" spans="11:21" ht="57" customHeight="1">
      <c r="U32" s="45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9" t="s">
        <v>1127</v>
      </c>
      <c r="C4" s="529"/>
      <c r="D4" s="529"/>
      <c r="E4" s="529"/>
      <c r="F4" s="529"/>
      <c r="G4" s="529"/>
      <c r="H4" s="529"/>
      <c r="I4" s="529"/>
      <c r="J4" s="529"/>
      <c r="K4" s="529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3" t="str">
        <f>RAB!G6</f>
        <v>POMPA AIR JATENG LAND</v>
      </c>
      <c r="H6" s="553"/>
      <c r="I6" s="553"/>
      <c r="J6" s="553"/>
      <c r="K6" s="55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KI JATENGLAND DS BATU, KARANGTENGAH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0" t="s">
        <v>0</v>
      </c>
      <c r="C11" s="532" t="s">
        <v>1</v>
      </c>
      <c r="D11" s="535" t="s">
        <v>42</v>
      </c>
      <c r="E11" s="535" t="s">
        <v>43</v>
      </c>
      <c r="F11" s="535" t="s">
        <v>2</v>
      </c>
      <c r="G11" s="537" t="s">
        <v>41</v>
      </c>
      <c r="H11" s="535" t="s">
        <v>3</v>
      </c>
      <c r="I11" s="535"/>
      <c r="J11" s="535"/>
      <c r="K11" s="540"/>
      <c r="M11" s="33"/>
      <c r="N11" s="33"/>
      <c r="O11" s="33"/>
      <c r="P11" s="33"/>
      <c r="R11" s="34"/>
      <c r="S11" s="74"/>
      <c r="T11" s="74"/>
    </row>
    <row r="12" spans="1:21" ht="15" customHeight="1">
      <c r="B12" s="531"/>
      <c r="C12" s="533"/>
      <c r="D12" s="536"/>
      <c r="E12" s="536"/>
      <c r="F12" s="536"/>
      <c r="G12" s="538"/>
      <c r="H12" s="544" t="s">
        <v>46</v>
      </c>
      <c r="I12" s="544" t="s">
        <v>5</v>
      </c>
      <c r="J12" s="536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1"/>
      <c r="C13" s="534"/>
      <c r="D13" s="536"/>
      <c r="E13" s="536"/>
      <c r="F13" s="536"/>
      <c r="G13" s="539"/>
      <c r="H13" s="545"/>
      <c r="I13" s="545"/>
      <c r="J13" s="536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4" t="s">
        <v>1008</v>
      </c>
      <c r="D38" s="554"/>
      <c r="E38" s="554"/>
      <c r="F38" s="554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5" t="s">
        <v>462</v>
      </c>
      <c r="D39" s="555"/>
      <c r="E39" s="555"/>
      <c r="F39" s="555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6" t="s">
        <v>463</v>
      </c>
      <c r="D40" s="546"/>
      <c r="E40" s="546"/>
      <c r="F40" s="546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7" t="e">
        <f ca="1">"Terbilang : ( "&amp;L42&amp;" Rupiah )"</f>
        <v>#NAME?</v>
      </c>
      <c r="C41" s="548"/>
      <c r="D41" s="548"/>
      <c r="E41" s="548"/>
      <c r="F41" s="548"/>
      <c r="G41" s="548"/>
      <c r="H41" s="548"/>
      <c r="I41" s="548"/>
      <c r="J41" s="548"/>
      <c r="K41" s="549"/>
      <c r="L41" s="44"/>
      <c r="R41" s="58"/>
      <c r="S41" s="58"/>
      <c r="T41" s="58"/>
    </row>
    <row r="42" spans="1:20" s="36" customFormat="1">
      <c r="A42" s="30"/>
      <c r="B42" s="550"/>
      <c r="C42" s="551"/>
      <c r="D42" s="551"/>
      <c r="E42" s="551"/>
      <c r="F42" s="551"/>
      <c r="G42" s="551"/>
      <c r="H42" s="551"/>
      <c r="I42" s="551"/>
      <c r="J42" s="551"/>
      <c r="K42" s="552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1"/>
      <c r="I45" s="541"/>
      <c r="J45" s="542"/>
      <c r="K45" s="542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1"/>
      <c r="I46" s="541"/>
      <c r="J46" s="542"/>
      <c r="K46" s="542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1"/>
      <c r="I47" s="541"/>
      <c r="J47" s="542"/>
      <c r="K47" s="542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1"/>
      <c r="I52" s="541"/>
      <c r="J52" s="542"/>
      <c r="K52" s="542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SUMIFS(RAB!$F$14:$F$69,RAB!$C$14:$C$69,'REKAP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SUMIFS(RAB!$F$14:$F$69,RAB!$C$14:$C$69,'REKAP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SUMIFS(RAB!$F$14:$F$69,RAB!$C$14:$C$69,'REKAP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SUMIFS(RAB!$F$14:$F$69,RAB!$C$14:$C$69,'REKAP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SUMIFS(RAB!$F$14:$F$69,RAB!$C$14:$C$69,'REKAP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SUMIFS(RAB!$F$14:$F$69,RAB!$C$14:$C$69,'REKAP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SUMIFS(RAB!$F$14:$F$69,RAB!$C$14:$C$69,'REKAP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SUMIFS(RAB!$F$14:$F$69,RAB!$C$14:$C$69,'REKAP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SUMIFS(RAB!$F$14:$F$69,RAB!$C$14:$C$69,'REKAP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SUMIFS(RAB!$F$14:$F$69,RAB!$C$14:$C$69,'REKAP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SUMIFS(RAB!$F$14:$F$69,RAB!$C$14:$C$69,'REKAP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SUMIFS(RAB!$F$14:$F$69,RAB!$C$14:$C$69,'REKAP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SUMIFS(RAB!$F$14:$F$69,RAB!$C$14:$C$69,'REKAP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SUMIFS(RAB!$F$14:$F$69,RAB!$C$14:$C$69,'REKAP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SUMIFS(RAB!$F$14:$F$69,RAB!$C$14:$C$69,'REKAP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SUMIFS(RAB!$F$14:$F$69,RAB!$C$14:$C$69,'REKAP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SUMIFS(RAB!$F$14:$F$69,RAB!$C$14:$C$69,'REKAP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SUMIFS(RAB!$F$14:$F$69,RAB!$C$14:$C$69,'REKAP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SUMIFS(RAB!$F$14:$F$69,RAB!$C$14:$C$69,'REKAP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SUMIFS(RAB!$F$14:$F$69,RAB!$C$14:$C$69,'REKAP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9" t="s">
        <v>1034</v>
      </c>
      <c r="C4" s="529"/>
      <c r="D4" s="529"/>
      <c r="E4" s="529"/>
      <c r="F4" s="529"/>
      <c r="G4" s="529"/>
      <c r="H4" s="529"/>
      <c r="I4" s="529"/>
      <c r="J4" s="529"/>
      <c r="K4" s="529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3" t="str">
        <f>RAB!G6</f>
        <v>POMPA AIR JATENG LAND</v>
      </c>
      <c r="H6" s="553"/>
      <c r="I6" s="553"/>
      <c r="J6" s="553"/>
      <c r="K6" s="55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KI JATENGLAND DS BATU, KARANGTENGAH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0" t="s">
        <v>0</v>
      </c>
      <c r="C11" s="532" t="s">
        <v>1</v>
      </c>
      <c r="D11" s="535" t="s">
        <v>42</v>
      </c>
      <c r="E11" s="535" t="s">
        <v>43</v>
      </c>
      <c r="F11" s="535" t="s">
        <v>2</v>
      </c>
      <c r="G11" s="537" t="s">
        <v>41</v>
      </c>
      <c r="H11" s="535" t="s">
        <v>3</v>
      </c>
      <c r="I11" s="535"/>
      <c r="J11" s="535"/>
      <c r="K11" s="540"/>
      <c r="M11" s="33"/>
      <c r="N11" s="33"/>
      <c r="O11" s="33"/>
      <c r="P11" s="33"/>
      <c r="R11" s="34"/>
      <c r="S11" s="74"/>
      <c r="T11" s="74"/>
    </row>
    <row r="12" spans="1:21" ht="15" customHeight="1">
      <c r="B12" s="531"/>
      <c r="C12" s="533"/>
      <c r="D12" s="536"/>
      <c r="E12" s="536"/>
      <c r="F12" s="536"/>
      <c r="G12" s="538"/>
      <c r="H12" s="544" t="s">
        <v>46</v>
      </c>
      <c r="I12" s="544" t="s">
        <v>5</v>
      </c>
      <c r="J12" s="536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1"/>
      <c r="C13" s="534"/>
      <c r="D13" s="536"/>
      <c r="E13" s="536"/>
      <c r="F13" s="536"/>
      <c r="G13" s="539"/>
      <c r="H13" s="545"/>
      <c r="I13" s="545"/>
      <c r="J13" s="536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41.5 kVA MCCB 63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100 kVA Yzn5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31630800</v>
      </c>
      <c r="H18" s="42">
        <f t="shared" ca="1" si="1"/>
        <v>31630800</v>
      </c>
      <c r="I18" s="42">
        <f t="shared" ca="1" si="2"/>
        <v>0</v>
      </c>
      <c r="J18" s="42">
        <f t="shared" ca="1" si="3"/>
        <v>0</v>
      </c>
      <c r="K18" s="43">
        <f t="shared" ca="1" si="0"/>
        <v>31630800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01">
        <f t="shared" ca="1" si="6"/>
        <v>3</v>
      </c>
      <c r="G19" s="41">
        <f ca="1">IF(ISERROR(OFFSET('HARGA SATUAN'!$I$6,MATCH(C19,'HARGA SATUAN'!$C$7:$C$1492,0),0)),"",OFFSET('HARGA SATUAN'!$I$6,MATCH(C19,'HARGA SATUAN'!$C$7:$C$1492,0),0))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Bh</v>
      </c>
      <c r="F20" s="101">
        <f t="shared" ca="1" si="6"/>
        <v>3</v>
      </c>
      <c r="G20" s="41">
        <f ca="1">IF(ISERROR(OFFSET('HARGA SATUAN'!$I$6,MATCH(C20,'HARGA SATUAN'!$C$7:$C$1492,0),0)),"",OFFSET('HARGA SATUAN'!$I$6,MATCH(C20,'HARGA SATUAN'!$C$7:$C$1492,0),0))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9</v>
      </c>
      <c r="G21" s="41">
        <f ca="1">IF(ISERROR(OFFSET('HARGA SATUAN'!$I$6,MATCH(C21,'HARGA SATUAN'!$C$7:$C$1492,0),0)),"",OFFSET('HARGA SATUAN'!$I$6,MATCH(C21,'HARGA SATUAN'!$C$7:$C$1492,0),0))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3x70+1x70</v>
      </c>
      <c r="D22" s="101" t="str">
        <f ca="1">IF(ISERROR(OFFSET('HARGA SATUAN'!$D$6,MATCH(C22,'HARGA SATUAN'!$C$7:$C$1492,0),0)),"",OFFSET('HARGA SATUAN'!$D$6,MATCH(C22,'HARGA SATUAN'!$C$7:$C$1492,0),0))</f>
        <v>MDU-KD</v>
      </c>
      <c r="E22" s="101" t="str">
        <f ca="1">IF(B22="+","Unit",IF(ISERROR(OFFSET('HARGA SATUAN'!$E$6,MATCH(C22,'HARGA SATUAN'!$C$7:$C$1492,0),0)),"",OFFSET('HARGA SATUAN'!$E$6,MATCH(C22,'HARGA SATUAN'!$C$7:$C$1492,0),0)))</f>
        <v>Mtr</v>
      </c>
      <c r="F22" s="101">
        <f t="shared" ca="1" si="6"/>
        <v>3</v>
      </c>
      <c r="G22" s="41">
        <f ca="1">IF(ISERROR(OFFSET('HARGA SATUAN'!$I$6,MATCH(C22,'HARGA SATUAN'!$C$7:$C$1492,0),0)),"",OFFSET('HARGA SATUAN'!$I$6,MATCH(C22,'HARGA SATUAN'!$C$7:$C$1492,0),0))</f>
        <v>54500</v>
      </c>
      <c r="H22" s="42">
        <f t="shared" ca="1" si="1"/>
        <v>163500</v>
      </c>
      <c r="I22" s="42">
        <f t="shared" ca="1" si="2"/>
        <v>0</v>
      </c>
      <c r="J22" s="42">
        <f t="shared" ca="1" si="3"/>
        <v>0</v>
      </c>
      <c r="K22" s="43">
        <f t="shared" ca="1" si="0"/>
        <v>163500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4" t="s">
        <v>1008</v>
      </c>
      <c r="D168" s="554"/>
      <c r="E168" s="554"/>
      <c r="F168" s="554"/>
      <c r="G168" s="77" t="s">
        <v>9</v>
      </c>
      <c r="H168" s="55">
        <f ca="1">SUM(H14:H167)</f>
        <v>41636850</v>
      </c>
      <c r="I168" s="55">
        <f ca="1">SUM(I14:I167)</f>
        <v>0</v>
      </c>
      <c r="J168" s="55">
        <f ca="1">SUM(J14:J167)</f>
        <v>0</v>
      </c>
      <c r="K168" s="55">
        <f ca="1">SUM(K14:K167)</f>
        <v>41636850</v>
      </c>
      <c r="L168" s="44"/>
      <c r="R168" s="99"/>
      <c r="S168" s="99"/>
      <c r="T168" s="99"/>
    </row>
    <row r="169" spans="1:20" s="36" customFormat="1">
      <c r="A169" s="30"/>
      <c r="B169" s="56"/>
      <c r="C169" s="555" t="s">
        <v>462</v>
      </c>
      <c r="D169" s="555"/>
      <c r="E169" s="555"/>
      <c r="F169" s="555"/>
      <c r="G169" s="59" t="s">
        <v>9</v>
      </c>
      <c r="H169" s="60">
        <f ca="1">H168*0.1</f>
        <v>4163685</v>
      </c>
      <c r="I169" s="60">
        <f ca="1">I168*0.1</f>
        <v>0</v>
      </c>
      <c r="J169" s="60">
        <f ca="1">J168*0.1</f>
        <v>0</v>
      </c>
      <c r="K169" s="60">
        <f ca="1">K168*0.1</f>
        <v>4163685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6" t="s">
        <v>463</v>
      </c>
      <c r="D170" s="546"/>
      <c r="E170" s="546"/>
      <c r="F170" s="546"/>
      <c r="G170" s="61" t="s">
        <v>9</v>
      </c>
      <c r="H170" s="78">
        <f ca="1">SUM(H168:H169)</f>
        <v>45800535</v>
      </c>
      <c r="I170" s="78">
        <f ca="1">SUM(I168:I169)</f>
        <v>0</v>
      </c>
      <c r="J170" s="61">
        <f ca="1">SUM(J168:J169)</f>
        <v>0</v>
      </c>
      <c r="K170" s="61">
        <f ca="1">SUM(K168:K169)</f>
        <v>45800535</v>
      </c>
      <c r="L170" s="44"/>
      <c r="R170" s="99"/>
      <c r="S170" s="99"/>
      <c r="T170" s="99"/>
    </row>
    <row r="171" spans="1:20" s="36" customFormat="1">
      <c r="A171" s="30"/>
      <c r="B171" s="547" t="e">
        <f ca="1">"Terbilang : ( "&amp;L172&amp;" Rupiah )"</f>
        <v>#NAME?</v>
      </c>
      <c r="C171" s="548"/>
      <c r="D171" s="548"/>
      <c r="E171" s="548"/>
      <c r="F171" s="548"/>
      <c r="G171" s="548"/>
      <c r="H171" s="548"/>
      <c r="I171" s="548"/>
      <c r="J171" s="548"/>
      <c r="K171" s="549"/>
      <c r="L171" s="44"/>
      <c r="R171" s="58"/>
      <c r="S171" s="58"/>
      <c r="T171" s="58"/>
    </row>
    <row r="172" spans="1:20" s="36" customFormat="1">
      <c r="A172" s="30"/>
      <c r="B172" s="550"/>
      <c r="C172" s="551"/>
      <c r="D172" s="551"/>
      <c r="E172" s="551"/>
      <c r="F172" s="551"/>
      <c r="G172" s="551"/>
      <c r="H172" s="551"/>
      <c r="I172" s="551"/>
      <c r="J172" s="551"/>
      <c r="K172" s="552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1"/>
      <c r="I175" s="541"/>
      <c r="J175" s="542"/>
      <c r="K175" s="542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1"/>
      <c r="I176" s="541"/>
      <c r="J176" s="542"/>
      <c r="K176" s="542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1"/>
      <c r="I177" s="541"/>
      <c r="J177" s="542"/>
      <c r="K177" s="542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1"/>
      <c r="I182" s="541"/>
      <c r="J182" s="542"/>
      <c r="K182" s="542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SUMIFS(RAB!$F$14:$F$69,RAB!$C$14:$C$69,C224)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SUMIFS(RAB!$F$14:$F$69,RAB!$C$14:$C$69,C225)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SUMIFS(RAB!$F$14:$F$69,RAB!$C$14:$C$69,C226)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SUMIFS(RAB!$F$14:$F$69,RAB!$C$14:$C$69,C227)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SUMIFS(RAB!$F$14:$F$69,RAB!$C$14:$C$69,C228)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SUMIFS(RAB!$F$14:$F$69,RAB!$C$14:$C$69,C229)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SUMIFS(RAB!$F$14:$F$69,RAB!$C$14:$C$69,C230)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SUMIFS(RAB!$F$14:$F$69,RAB!$C$14:$C$69,C231)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SUMIFS(RAB!$F$14:$F$69,RAB!$C$14:$C$69,C232)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SUMIFS(RAB!$F$14:$F$69,RAB!$C$14:$C$69,C233)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SUMIFS(RAB!$F$14:$F$69,RAB!$C$14:$C$69,C234)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SUMIFS(RAB!$F$14:$F$69,RAB!$C$14:$C$69,C235)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SUMIFS(RAB!$F$14:$F$69,RAB!$C$14:$C$69,C236)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SUMIFS(RAB!$F$14:$F$69,RAB!$C$14:$C$69,C237)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SUMIFS(RAB!$F$14:$F$69,RAB!$C$14:$C$69,C238)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SUMIFS(RAB!$F$14:$F$69,RAB!$C$14:$C$69,C239)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SUMIFS(RAB!$F$14:$F$69,RAB!$C$14:$C$69,C240)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SUMIFS(RAB!$F$14:$F$69,RAB!$C$14:$C$69,C241)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SUMIFS(RAB!$F$14:$F$69,RAB!$C$14:$C$69,C242)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SUMIFS(RAB!$F$14:$F$69,RAB!$C$14:$C$69,C243)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SUMIFS(RAB!$F$14:$F$69,RAB!$C$14:$C$69,C244)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SUMIFS(RAB!$F$14:$F$69,RAB!$C$14:$C$69,C245)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SUMIFS(RAB!$F$14:$F$69,RAB!$C$14:$C$69,C246)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SUMIFS(RAB!$F$14:$F$69,RAB!$C$14:$C$69,C247)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SUMIFS(RAB!$F$14:$F$69,RAB!$C$14:$C$69,C248)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SUMIFS(RAB!$F$14:$F$69,RAB!$C$14:$C$69,C249)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SUMIFS(RAB!$F$14:$F$69,RAB!$C$14:$C$69,C250)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SUMIFS(RAB!$F$14:$F$69,RAB!$C$14:$C$69,C251)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SUMIFS(RAB!$F$14:$F$69,RAB!$C$14:$C$69,C252)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SUMIFS(RAB!$F$14:$F$69,RAB!$C$14:$C$69,C253)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SUMIFS(RAB!$F$14:$F$69,RAB!$C$14:$C$69,C254)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SUMIFS(RAB!$F$14:$F$69,RAB!$C$14:$C$69,C255)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SUMIFS(RAB!$F$14:$F$69,RAB!$C$14:$C$69,C256)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SUMIFS(RAB!$F$14:$F$69,RAB!$C$14:$C$69,C257)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SUMIFS(RAB!$F$14:$F$69,RAB!$C$14:$C$69,C258)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SUMIFS(RAB!$F$14:$F$69,RAB!$C$14:$C$69,C259)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SUMIFS(RAB!$F$14:$F$69,RAB!$C$14:$C$69,C260)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SUMIFS(RAB!$F$14:$F$69,RAB!$C$14:$C$69,C261)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SUMIFS(RAB!$F$14:$F$69,RAB!$C$14:$C$69,C262)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SUMIFS(RAB!$F$14:$F$69,RAB!$C$14:$C$69,C263)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SUMIFS(RAB!$F$14:$F$69,RAB!$C$14:$C$69,C264)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SUMIFS(RAB!$F$14:$F$69,RAB!$C$14:$C$69,C265)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SUMIFS(RAB!$F$14:$F$69,RAB!$C$14:$C$69,C266)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SUMIFS(RAB!$F$14:$F$69,RAB!$C$14:$C$69,C267)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SUMIFS(RAB!$F$14:$F$69,RAB!$C$14:$C$69,C268)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SUMIFS(RAB!$F$14:$F$69,RAB!$C$14:$C$69,C269)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SUMIFS(RAB!$F$14:$F$69,RAB!$C$14:$C$69,C270)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SUMIFS(RAB!$F$14:$F$69,RAB!$C$14:$C$69,C271)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SUMIFS(RAB!$F$14:$F$69,RAB!$C$14:$C$69,C272)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SUMIFS(RAB!$F$14:$F$69,RAB!$C$14:$C$69,C273)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SUMIFS(RAB!$F$14:$F$69,RAB!$C$14:$C$69,C274)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SUMIFS(RAB!$F$14:$F$69,RAB!$C$14:$C$69,C275)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SUMIFS(RAB!$F$14:$F$69,RAB!$C$14:$C$69,C276)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SUMIFS(RAB!$F$14:$F$69,RAB!$C$14:$C$69,C277)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SUMIFS(RAB!$F$14:$F$69,RAB!$C$14:$C$69,C278)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SUMIFS(RAB!$F$14:$F$69,RAB!$C$14:$C$69,C279)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SUMIFS(RAB!$F$14:$F$69,RAB!$C$14:$C$69,C280)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SUMIFS(RAB!$F$14:$F$69,RAB!$C$14:$C$69,C281)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SUMIFS(RAB!$F$14:$F$69,RAB!$C$14:$C$69,C282)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SUMIFS(RAB!$F$14:$F$69,RAB!$C$14:$C$69,C283)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SUMIFS(RAB!$F$14:$F$69,RAB!$C$14:$C$69,C284)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SUMIFS(RAB!$F$14:$F$69,RAB!$C$14:$C$69,C285)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SUMIFS(RAB!$F$14:$F$69,RAB!$C$14:$C$69,C286)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SUMIFS(RAB!$F$14:$F$69,RAB!$C$14:$C$69,C287)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SUMIFS(RAB!$F$14:$F$69,RAB!$C$14:$C$69,C288)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SUMIFS(RAB!$F$14:$F$69,RAB!$C$14:$C$69,C289)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SUMIFS(RAB!$F$14:$F$69,RAB!$C$14:$C$69,C290)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SUMIFS(RAB!$F$14:$F$69,RAB!$C$14:$C$69,C291)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SUMIFS(RAB!$F$14:$F$69,RAB!$C$14:$C$69,C292)</f>
        <v>1</v>
      </c>
      <c r="E292" s="24">
        <f t="shared" ca="1" si="22"/>
        <v>1</v>
      </c>
      <c r="F292" s="24">
        <f ca="1">IF(D292=0,0,SUM($E$223:E292))</f>
        <v>2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SUMIFS(RAB!$F$14:$F$69,RAB!$C$14:$C$69,C293)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SUMIFS(RAB!$F$14:$F$69,RAB!$C$14:$C$69,C294)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SUMIFS(RAB!$F$14:$F$69,RAB!$C$14:$C$69,C295)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SUMIFS(RAB!$F$14:$F$69,RAB!$C$14:$C$69,C296)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SUMIFS(RAB!$F$14:$F$69,RAB!$C$14:$C$69,C297)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SUMIFS(RAB!$F$14:$F$69,RAB!$C$14:$C$69,C298)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SUMIFS(RAB!$F$14:$F$69,RAB!$C$14:$C$69,C299)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SUMIFS(RAB!$F$14:$F$69,RAB!$C$14:$C$69,C300)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SUMIFS(RAB!$F$14:$F$69,RAB!$C$14:$C$69,C301)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SUMIFS(RAB!$F$14:$F$69,RAB!$C$14:$C$69,C302)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SUMIFS(RAB!$F$14:$F$69,RAB!$C$14:$C$69,C303)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SUMIFS(RAB!$F$14:$F$69,RAB!$C$14:$C$69,C304)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SUMIFS(RAB!$F$14:$F$69,RAB!$C$14:$C$69,C305)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SUMIFS(RAB!$F$14:$F$69,RAB!$C$14:$C$69,C306)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SUMIFS(RAB!$F$14:$F$69,RAB!$C$14:$C$69,C307)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SUMIFS(RAB!$F$14:$F$69,RAB!$C$14:$C$69,C308)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SUMIFS(RAB!$F$14:$F$69,RAB!$C$14:$C$69,C309)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SUMIFS(RAB!$F$14:$F$69,RAB!$C$14:$C$69,C310)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SUMIFS(RAB!$F$14:$F$69,RAB!$C$14:$C$69,C311)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SUMIFS(RAB!$F$14:$F$69,RAB!$C$14:$C$69,C312)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SUMIFS(RAB!$F$14:$F$69,RAB!$C$14:$C$69,C313)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SUMIFS(RAB!$F$14:$F$69,RAB!$C$14:$C$69,C314)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SUMIFS(RAB!$F$14:$F$69,RAB!$C$14:$C$69,C315)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SUMIFS(RAB!$F$14:$F$69,RAB!$C$14:$C$69,C316)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SUMIFS(RAB!$F$14:$F$69,RAB!$C$14:$C$69,C317)</f>
        <v>1</v>
      </c>
      <c r="E317" s="24">
        <f t="shared" ca="1" si="22"/>
        <v>1</v>
      </c>
      <c r="F317" s="24">
        <f ca="1">IF(D317=0,0,SUM($E$223:E317))</f>
        <v>3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SUMIFS(RAB!$F$14:$F$69,RAB!$C$14:$C$69,C318)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SUMIFS(RAB!$F$14:$F$69,RAB!$C$14:$C$69,C319)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SUMIFS(RAB!$F$14:$F$69,RAB!$C$14:$C$69,C320)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SUMIFS(RAB!$F$14:$F$69,RAB!$C$14:$C$69,C321)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SUMIFS(RAB!$F$14:$F$69,RAB!$C$14:$C$69,C322)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SUMIFS(RAB!$F$14:$F$69,RAB!$C$14:$C$69,C323)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SUMIFS(RAB!$F$14:$F$69,RAB!$C$14:$C$69,C324)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SUMIFS(RAB!$F$14:$F$69,RAB!$C$14:$C$69,C325)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SUMIFS(RAB!$F$14:$F$69,RAB!$C$14:$C$69,C326)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SUMIFS(RAB!$F$14:$F$69,RAB!$C$14:$C$69,C327)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SUMIFS(RAB!$F$14:$F$69,RAB!$C$14:$C$69,C328)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SUMIFS(RAB!$F$14:$F$69,RAB!$C$14:$C$69,C329)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SUMIFS(RAB!$F$14:$F$69,RAB!$C$14:$C$69,C330)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SUMIFS(RAB!$F$14:$F$69,RAB!$C$14:$C$69,C331)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SUMIFS(RAB!$F$14:$F$69,RAB!$C$14:$C$69,C332)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SUMIFS(RAB!$F$14:$F$69,RAB!$C$14:$C$69,C333)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SUMIFS(RAB!$F$14:$F$69,RAB!$C$14:$C$69,C334)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SUMIFS(RAB!$F$14:$F$69,RAB!$C$14:$C$69,C335)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SUMIFS(RAB!$F$14:$F$69,RAB!$C$14:$C$69,C336)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SUMIFS(RAB!$F$14:$F$69,RAB!$C$14:$C$69,C337)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SUMIFS(RAB!$F$14:$F$69,RAB!$C$14:$C$69,C338)</f>
        <v>9</v>
      </c>
      <c r="E338" s="24">
        <f t="shared" ca="1" si="22"/>
        <v>1</v>
      </c>
      <c r="F338" s="24">
        <f ca="1">IF(D338=0,0,SUM($E$223:E338))</f>
        <v>6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SUMIFS(RAB!$F$14:$F$69,RAB!$C$14:$C$69,C339)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SUMIFS(RAB!$F$14:$F$69,RAB!$C$14:$C$69,C340)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SUMIFS(RAB!$F$14:$F$69,RAB!$C$14:$C$69,C341)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SUMIFS(RAB!$F$14:$F$69,RAB!$C$14:$C$69,C342)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SUMIFS(RAB!$F$14:$F$69,RAB!$C$14:$C$69,C343)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SUMIFS(RAB!$F$14:$F$69,RAB!$C$14:$C$69,C344)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SUMIFS(RAB!$F$14:$F$69,RAB!$C$14:$C$69,C345)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SUMIFS(RAB!$F$14:$F$69,RAB!$C$14:$C$69,C346)</f>
        <v>3</v>
      </c>
      <c r="E346" s="24">
        <f t="shared" ca="1" si="22"/>
        <v>1</v>
      </c>
      <c r="F346" s="24">
        <f ca="1">IF(D346=0,0,SUM($E$223:E346))</f>
        <v>7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SUMIFS(RAB!$F$14:$F$69,RAB!$C$14:$C$69,C347)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SUMIFS(RAB!$F$14:$F$69,RAB!$C$14:$C$69,C348)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SUMIFS(RAB!$F$14:$F$69,RAB!$C$14:$C$69,C349)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SUMIFS(RAB!$F$14:$F$69,RAB!$C$14:$C$69,C350)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SUMIFS(RAB!$F$14:$F$69,RAB!$C$14:$C$69,C351)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SUMIFS(RAB!$F$14:$F$69,RAB!$C$14:$C$69,C352)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SUMIFS(RAB!$F$14:$F$69,RAB!$C$14:$C$69,C353)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SUMIFS(RAB!$F$14:$F$69,RAB!$C$14:$C$69,C354)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SUMIFS(RAB!$F$14:$F$69,RAB!$C$14:$C$69,C355)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SUMIFS(RAB!$F$14:$F$69,RAB!$C$14:$C$69,C356)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SUMIFS(RAB!$F$14:$F$69,RAB!$C$14:$C$69,C357)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SUMIFS(RAB!$F$14:$F$69,RAB!$C$14:$C$69,C358)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SUMIFS(RAB!$F$14:$F$69,RAB!$C$14:$C$69,C359)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SUMIFS(RAB!$F$14:$F$69,RAB!$C$14:$C$69,C360)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SUMIFS(RAB!$F$14:$F$69,RAB!$C$14:$C$69,C361)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SUMIFS(RAB!$F$14:$F$69,RAB!$C$14:$C$69,C362)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SUMIFS(RAB!$F$14:$F$69,RAB!$C$14:$C$69,C363)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SUMIFS(RAB!$F$14:$F$69,RAB!$C$14:$C$69,C364)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SUMIFS(RAB!$F$14:$F$69,RAB!$C$14:$C$69,C365)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SUMIFS(RAB!$F$14:$F$69,RAB!$C$14:$C$69,C366)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SUMIFS(RAB!$F$14:$F$69,RAB!$C$14:$C$69,C367)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SUMIFS(RAB!$F$14:$F$69,RAB!$C$14:$C$69,C368)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SUMIFS(RAB!$F$14:$F$69,RAB!$C$14:$C$69,C369)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SUMIFS(RAB!$F$14:$F$69,RAB!$C$14:$C$69,C370)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SUMIFS(RAB!$F$14:$F$69,RAB!$C$14:$C$69,C371)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SUMIFS(RAB!$F$14:$F$69,RAB!$C$14:$C$69,C372)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SUMIFS(RAB!$F$14:$F$69,RAB!$C$14:$C$69,C373)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0" priority="5" operator="equal">
      <formula>0</formula>
    </cfRule>
  </conditionalFormatting>
  <conditionalFormatting sqref="C16:C165">
    <cfRule type="cellIs" dxfId="39" priority="4" stopIfTrue="1" operator="equal">
      <formula>0</formula>
    </cfRule>
  </conditionalFormatting>
  <conditionalFormatting sqref="C16:E165">
    <cfRule type="cellIs" dxfId="38" priority="1" operator="equal">
      <formula>0</formula>
    </cfRule>
  </conditionalFormatting>
  <conditionalFormatting sqref="D224:F373">
    <cfRule type="cellIs" dxfId="37" priority="8" operator="equal">
      <formula>0</formula>
    </cfRule>
  </conditionalFormatting>
  <conditionalFormatting sqref="E1:E3 G1:G115 E6:E15 H12:I12 N13 F14:F15 H14:K115 E166:K166 G166:G223 E167:F167 H167:K167">
    <cfRule type="cellIs" dxfId="36" priority="43" stopIfTrue="1" operator="equal">
      <formula>0</formula>
    </cfRule>
  </conditionalFormatting>
  <conditionalFormatting sqref="E171:E65536">
    <cfRule type="cellIs" dxfId="35" priority="9" stopIfTrue="1" operator="equal">
      <formula>0</formula>
    </cfRule>
  </conditionalFormatting>
  <conditionalFormatting sqref="G224">
    <cfRule type="cellIs" dxfId="34" priority="10" operator="equal">
      <formula>0</formula>
    </cfRule>
  </conditionalFormatting>
  <conditionalFormatting sqref="G225:G65536">
    <cfRule type="cellIs" dxfId="33" priority="14" stopIfTrue="1" operator="equal">
      <formula>0</formula>
    </cfRule>
  </conditionalFormatting>
  <conditionalFormatting sqref="R14:T166 G116:K165">
    <cfRule type="cellIs" dxfId="3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9"/>
    </row>
    <row r="4" spans="4:4" ht="57" customHeight="1">
      <c r="D4" s="459">
        <v>3</v>
      </c>
    </row>
    <row r="5" spans="4:4" ht="57" customHeight="1">
      <c r="D5" s="45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33" activePane="bottomRight" state="frozen"/>
      <selection activeCell="D209" sqref="D209"/>
      <selection pane="topRight" activeCell="D209" sqref="D209"/>
      <selection pane="bottomLeft" activeCell="D209" sqref="D209"/>
      <selection pane="bottomRight" activeCell="C139" sqref="C139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7" t="s">
        <v>41</v>
      </c>
      <c r="C2" s="557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8" t="s">
        <v>23</v>
      </c>
      <c r="C4" s="559" t="s">
        <v>1012</v>
      </c>
      <c r="D4" s="559" t="s">
        <v>42</v>
      </c>
      <c r="E4" s="558" t="s">
        <v>43</v>
      </c>
      <c r="F4" s="108" t="s">
        <v>1604</v>
      </c>
      <c r="G4" s="108" t="s">
        <v>1603</v>
      </c>
      <c r="H4" s="556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8"/>
      <c r="C5" s="559"/>
      <c r="D5" s="559"/>
      <c r="E5" s="558"/>
      <c r="F5" s="93"/>
      <c r="G5" s="93"/>
      <c r="H5" s="556"/>
      <c r="I5" s="193" t="s">
        <v>1603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1547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1548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1549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1550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1551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1552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1553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1554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1555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1556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1557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1558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1559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1560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1561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1562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1563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1564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1565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1566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1567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1568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1569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1570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1571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1572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1573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1574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1575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1576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1577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1578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1579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1580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1581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1582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1583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1584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1585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1586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1587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1588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1589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1590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1591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1592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1593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1594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1595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1596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1597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1598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6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6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1599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1600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1601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1602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7">
        <v>2740</v>
      </c>
      <c r="G1433" s="487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8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8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8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8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8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1" priority="138" operator="equal">
      <formula>0</formula>
    </cfRule>
  </conditionalFormatting>
  <conditionalFormatting sqref="B8:C135">
    <cfRule type="cellIs" dxfId="30" priority="51" operator="equal">
      <formula>0</formula>
    </cfRule>
  </conditionalFormatting>
  <conditionalFormatting sqref="B150:G1493">
    <cfRule type="cellIs" dxfId="29" priority="1" operator="equal">
      <formula>0</formula>
    </cfRule>
  </conditionalFormatting>
  <conditionalFormatting sqref="C143:G149">
    <cfRule type="cellIs" dxfId="28" priority="5" operator="equal">
      <formula>0</formula>
    </cfRule>
  </conditionalFormatting>
  <conditionalFormatting sqref="D9:G142">
    <cfRule type="cellIs" dxfId="27" priority="11" operator="equal">
      <formula>0</formula>
    </cfRule>
  </conditionalFormatting>
  <conditionalFormatting sqref="D1:IV5 A1:C7 D6:K6 H1455:IV1457 H1458:XFD1485 H1486:H1493 I1486:XFD1494 A1494:H1494 A1495:XFD65536">
    <cfRule type="cellIs" dxfId="26" priority="163" operator="equal">
      <formula>0</formula>
    </cfRule>
  </conditionalFormatting>
  <conditionalFormatting sqref="D7:IV8 C136:C142 B136:B149">
    <cfRule type="cellIs" dxfId="25" priority="62" operator="equal">
      <formula>0</formula>
    </cfRule>
  </conditionalFormatting>
  <conditionalFormatting sqref="H9:H1418">
    <cfRule type="cellIs" dxfId="24" priority="129" operator="equal">
      <formula>0</formula>
    </cfRule>
  </conditionalFormatting>
  <conditionalFormatting sqref="H1419:I1454">
    <cfRule type="cellIs" dxfId="23" priority="128" operator="equal">
      <formula>0</formula>
    </cfRule>
  </conditionalFormatting>
  <conditionalFormatting sqref="I108:I1418">
    <cfRule type="cellIs" dxfId="22" priority="125" operator="equal">
      <formula>0</formula>
    </cfRule>
  </conditionalFormatting>
  <conditionalFormatting sqref="J108:IV1454">
    <cfRule type="cellIs" dxfId="21" priority="139" operator="equal">
      <formula>0</formula>
    </cfRule>
  </conditionalFormatting>
  <conditionalFormatting sqref="M6:IV6">
    <cfRule type="cellIs" dxfId="20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N15" sqref="N15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91" t="s">
        <v>1454</v>
      </c>
      <c r="C2" s="591"/>
      <c r="D2" s="591"/>
      <c r="E2" s="591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96" t="s">
        <v>1532</v>
      </c>
      <c r="C4" s="597"/>
      <c r="D4" s="597"/>
      <c r="E4" s="598"/>
      <c r="F4" s="441"/>
      <c r="G4" s="441"/>
      <c r="H4" s="442"/>
      <c r="I4" s="560" t="s">
        <v>1533</v>
      </c>
      <c r="J4" s="561"/>
      <c r="K4" s="561"/>
      <c r="L4" s="562"/>
    </row>
    <row r="5" spans="1:12" ht="34.5" customHeight="1">
      <c r="A5" s="204"/>
      <c r="B5" s="444" t="s">
        <v>1379</v>
      </c>
      <c r="C5" s="277" t="s">
        <v>9</v>
      </c>
      <c r="D5" s="592" t="str">
        <f>DATA!D14</f>
        <v>POMPA AIR JATENG LAND</v>
      </c>
      <c r="E5" s="593"/>
      <c r="F5" s="208"/>
      <c r="G5" s="208"/>
      <c r="I5" s="445" t="s">
        <v>1379</v>
      </c>
      <c r="J5" s="277" t="s">
        <v>9</v>
      </c>
      <c r="K5" s="563" t="str">
        <f>D5</f>
        <v>POMPA AIR JATENG LAND</v>
      </c>
      <c r="L5" s="564"/>
    </row>
    <row r="6" spans="1:12" ht="31.5" customHeight="1">
      <c r="A6" s="204"/>
      <c r="B6" s="444" t="s">
        <v>1529</v>
      </c>
      <c r="C6" s="277" t="s">
        <v>9</v>
      </c>
      <c r="D6" s="601">
        <f>DATA!D17*1000</f>
        <v>6600</v>
      </c>
      <c r="E6" s="602"/>
      <c r="F6" s="208"/>
      <c r="G6" s="208"/>
      <c r="I6" s="445" t="s">
        <v>1530</v>
      </c>
      <c r="J6" s="277" t="s">
        <v>9</v>
      </c>
      <c r="K6" s="565">
        <f>DATA!D20*1000</f>
        <v>41500</v>
      </c>
      <c r="L6" s="566"/>
    </row>
    <row r="7" spans="1:12" ht="30.75" customHeight="1">
      <c r="A7" s="204"/>
      <c r="B7" s="444" t="s">
        <v>1441</v>
      </c>
      <c r="C7" s="277" t="s">
        <v>9</v>
      </c>
      <c r="D7" s="599">
        <f>DATA!D18</f>
        <v>1</v>
      </c>
      <c r="E7" s="600"/>
      <c r="F7" s="443" t="s">
        <v>1453</v>
      </c>
      <c r="I7" s="445" t="s">
        <v>1441</v>
      </c>
      <c r="J7" s="277" t="s">
        <v>9</v>
      </c>
      <c r="K7" s="567">
        <f>DATA!D21</f>
        <v>3</v>
      </c>
      <c r="L7" s="568"/>
    </row>
    <row r="8" spans="1:12" ht="51" customHeight="1">
      <c r="A8" s="204"/>
      <c r="B8" s="444" t="s">
        <v>1442</v>
      </c>
      <c r="C8" s="277" t="s">
        <v>9</v>
      </c>
      <c r="D8" s="599">
        <f>DATA!D19</f>
        <v>220</v>
      </c>
      <c r="E8" s="600"/>
      <c r="F8" s="443" t="s">
        <v>1453</v>
      </c>
      <c r="G8" s="438">
        <v>220</v>
      </c>
      <c r="I8" s="445" t="s">
        <v>1442</v>
      </c>
      <c r="J8" s="277" t="s">
        <v>9</v>
      </c>
      <c r="K8" s="567">
        <f>DATA!D22</f>
        <v>380</v>
      </c>
      <c r="L8" s="568"/>
    </row>
    <row r="9" spans="1:12" ht="30" customHeight="1" thickBot="1">
      <c r="A9" s="204"/>
      <c r="B9" s="450" t="s">
        <v>1541</v>
      </c>
      <c r="C9" s="440" t="s">
        <v>9</v>
      </c>
      <c r="D9" s="594">
        <f>IF(D7=1,D6/(380/3^0.5),(D6/(380*3^0.5)))</f>
        <v>30.082987710406815</v>
      </c>
      <c r="E9" s="595"/>
      <c r="F9" s="207"/>
      <c r="G9" s="439">
        <v>380</v>
      </c>
      <c r="I9" s="451" t="s">
        <v>1541</v>
      </c>
      <c r="J9" s="440" t="s">
        <v>9</v>
      </c>
      <c r="K9" s="571">
        <f>IF(K7=1,K6/(380/3^0.5),(K6/(380*3^0.5)))</f>
        <v>63.052726766761765</v>
      </c>
      <c r="L9" s="572"/>
    </row>
    <row r="10" spans="1:12" ht="24.75" customHeight="1">
      <c r="B10" s="452"/>
      <c r="C10" s="449"/>
      <c r="D10" s="453"/>
      <c r="E10" s="453"/>
      <c r="F10" s="207"/>
      <c r="G10" s="439"/>
      <c r="I10" s="452"/>
      <c r="J10" s="449"/>
      <c r="K10" s="453"/>
      <c r="L10" s="453"/>
    </row>
    <row r="11" spans="1:12" ht="16.5" thickBot="1">
      <c r="B11" s="446" t="s">
        <v>1542</v>
      </c>
      <c r="I11" s="446" t="s">
        <v>1536</v>
      </c>
    </row>
    <row r="12" spans="1:12" ht="34.5" customHeight="1">
      <c r="A12" s="204"/>
      <c r="B12" s="474" t="s">
        <v>1534</v>
      </c>
      <c r="C12" s="468" t="s">
        <v>9</v>
      </c>
      <c r="D12" s="603"/>
      <c r="E12" s="604"/>
      <c r="F12" s="208"/>
      <c r="G12" s="208"/>
      <c r="I12" s="467" t="s">
        <v>1534</v>
      </c>
      <c r="J12" s="468" t="s">
        <v>9</v>
      </c>
      <c r="K12" s="603" t="s">
        <v>1622</v>
      </c>
      <c r="L12" s="604"/>
    </row>
    <row r="13" spans="1:12" ht="31.5" customHeight="1">
      <c r="A13" s="204"/>
      <c r="B13" s="475" t="s">
        <v>1380</v>
      </c>
      <c r="C13" s="455" t="s">
        <v>9</v>
      </c>
      <c r="D13" s="569"/>
      <c r="E13" s="570"/>
      <c r="F13" s="208"/>
      <c r="G13" s="208"/>
      <c r="I13" s="469" t="s">
        <v>1380</v>
      </c>
      <c r="J13" s="455" t="s">
        <v>9</v>
      </c>
      <c r="K13" s="569" t="s">
        <v>1618</v>
      </c>
      <c r="L13" s="570"/>
    </row>
    <row r="14" spans="1:12" ht="30.75" customHeight="1">
      <c r="A14" s="204"/>
      <c r="B14" s="475" t="s">
        <v>1535</v>
      </c>
      <c r="C14" s="455" t="s">
        <v>9</v>
      </c>
      <c r="D14" s="573">
        <v>50</v>
      </c>
      <c r="E14" s="574"/>
      <c r="F14" s="443" t="s">
        <v>1453</v>
      </c>
      <c r="G14" s="447">
        <v>50</v>
      </c>
      <c r="I14" s="469" t="s">
        <v>1535</v>
      </c>
      <c r="J14" s="455" t="s">
        <v>9</v>
      </c>
      <c r="K14" s="575">
        <v>100</v>
      </c>
      <c r="L14" s="576"/>
    </row>
    <row r="15" spans="1:12" ht="57" customHeight="1">
      <c r="A15" s="204"/>
      <c r="B15" s="475" t="s">
        <v>1441</v>
      </c>
      <c r="C15" s="455" t="s">
        <v>9</v>
      </c>
      <c r="D15" s="461">
        <v>3</v>
      </c>
      <c r="E15" s="470"/>
      <c r="F15" s="443" t="s">
        <v>1453</v>
      </c>
      <c r="G15" s="447">
        <v>100</v>
      </c>
      <c r="I15" s="469" t="s">
        <v>1441</v>
      </c>
      <c r="J15" s="455" t="s">
        <v>9</v>
      </c>
      <c r="K15" s="461">
        <v>3</v>
      </c>
      <c r="L15" s="470"/>
    </row>
    <row r="16" spans="1:12" ht="44.25" customHeight="1">
      <c r="A16" s="204"/>
      <c r="B16" s="475" t="s">
        <v>1545</v>
      </c>
      <c r="C16" s="455"/>
      <c r="D16" s="577">
        <f>63+10</f>
        <v>73</v>
      </c>
      <c r="E16" s="578"/>
      <c r="F16" s="443"/>
      <c r="G16" s="447">
        <v>160</v>
      </c>
      <c r="I16" s="469" t="s">
        <v>1537</v>
      </c>
      <c r="J16" s="455" t="s">
        <v>9</v>
      </c>
      <c r="K16" s="581">
        <f>K9</f>
        <v>63.052726766761765</v>
      </c>
      <c r="L16" s="582"/>
    </row>
    <row r="17" spans="1:12" ht="34.5" customHeight="1">
      <c r="A17" s="204"/>
      <c r="B17" s="475" t="s">
        <v>1538</v>
      </c>
      <c r="C17" s="455" t="s">
        <v>9</v>
      </c>
      <c r="D17" s="579">
        <f>IF(D15=1,D14/(20/3^0.5),(D14/(20*3^0.5)))</f>
        <v>1.4433756729740645</v>
      </c>
      <c r="E17" s="580"/>
      <c r="F17" s="443" t="s">
        <v>1453</v>
      </c>
      <c r="G17" s="448">
        <v>200</v>
      </c>
      <c r="I17" s="469" t="s">
        <v>1538</v>
      </c>
      <c r="J17" s="455" t="s">
        <v>9</v>
      </c>
      <c r="K17" s="585">
        <f>IF(K15=1,K14/(20/3^0.5),(K14/(20*3^0.5)))</f>
        <v>2.8867513459481291</v>
      </c>
      <c r="L17" s="586"/>
    </row>
    <row r="18" spans="1:12" ht="34.5" customHeight="1">
      <c r="A18" s="204"/>
      <c r="B18" s="475" t="s">
        <v>1539</v>
      </c>
      <c r="C18" s="455" t="s">
        <v>9</v>
      </c>
      <c r="D18" s="579">
        <f>IF(D15=1,D14/(380/3^0.5),(D14/(380*3^0.5)))*1000</f>
        <v>75.96714068284551</v>
      </c>
      <c r="E18" s="580"/>
      <c r="F18" s="443" t="s">
        <v>1453</v>
      </c>
      <c r="G18" s="448">
        <v>250</v>
      </c>
      <c r="I18" s="469" t="s">
        <v>1539</v>
      </c>
      <c r="J18" s="455" t="s">
        <v>9</v>
      </c>
      <c r="K18" s="585">
        <f>IF(K15=1,K14/(380/3^0.5),(K14/(380*3^0.5)))*1000</f>
        <v>151.93428136569102</v>
      </c>
      <c r="L18" s="586"/>
    </row>
    <row r="19" spans="1:12" ht="30" customHeight="1">
      <c r="A19" s="204"/>
      <c r="B19" s="476" t="s">
        <v>1531</v>
      </c>
      <c r="C19" s="454" t="s">
        <v>9</v>
      </c>
      <c r="D19" s="579">
        <f>IF(D15=1,D14/(380/3^0.5),(D14/(380*3^0.5)))</f>
        <v>7.5967140682845505E-2</v>
      </c>
      <c r="E19" s="580"/>
      <c r="F19" s="207"/>
      <c r="G19" s="439"/>
      <c r="I19" s="471" t="s">
        <v>1531</v>
      </c>
      <c r="J19" s="454" t="s">
        <v>9</v>
      </c>
      <c r="K19" s="585">
        <f>IF(K15=1,K14/(380/3^0.5),(K14/(380*3^0.5)))</f>
        <v>0.15193428136569101</v>
      </c>
      <c r="L19" s="586"/>
    </row>
    <row r="20" spans="1:12" ht="30" customHeight="1" thickBot="1">
      <c r="A20" s="204"/>
      <c r="B20" s="477" t="s">
        <v>1540</v>
      </c>
      <c r="C20" s="473" t="s">
        <v>9</v>
      </c>
      <c r="D20" s="605">
        <f>D16/D18</f>
        <v>0.96094178803921293</v>
      </c>
      <c r="E20" s="606"/>
      <c r="F20" s="207"/>
      <c r="G20" s="439"/>
      <c r="I20" s="472" t="s">
        <v>1531</v>
      </c>
      <c r="J20" s="473" t="s">
        <v>9</v>
      </c>
      <c r="K20" s="583">
        <f>K16/K18</f>
        <v>0.41499999999999992</v>
      </c>
      <c r="L20" s="584"/>
    </row>
    <row r="21" spans="1:12" ht="9.75" customHeight="1">
      <c r="A21" s="204"/>
      <c r="B21" s="462" t="s">
        <v>1540</v>
      </c>
      <c r="C21" s="463" t="s">
        <v>9</v>
      </c>
      <c r="D21" s="590">
        <v>1</v>
      </c>
      <c r="E21" s="590"/>
      <c r="F21" s="464"/>
      <c r="G21" s="465"/>
      <c r="H21" s="466"/>
      <c r="I21" s="462" t="s">
        <v>1531</v>
      </c>
      <c r="J21" s="463" t="s">
        <v>9</v>
      </c>
      <c r="K21" s="590">
        <v>1</v>
      </c>
      <c r="L21" s="590"/>
    </row>
    <row r="22" spans="1:12" ht="6.75" customHeight="1">
      <c r="B22" s="452"/>
      <c r="C22" s="449"/>
      <c r="D22" s="460"/>
      <c r="E22" s="460"/>
      <c r="F22" s="207"/>
      <c r="G22" s="439"/>
      <c r="J22" s="449"/>
      <c r="K22" s="460"/>
      <c r="L22" s="460"/>
    </row>
    <row r="23" spans="1:12" ht="15.75" thickBot="1"/>
    <row r="24" spans="1:12" ht="200.25" customHeight="1" thickBot="1">
      <c r="B24" s="587"/>
      <c r="C24" s="588"/>
      <c r="D24" s="588"/>
      <c r="E24" s="589"/>
      <c r="I24" s="587"/>
      <c r="J24" s="588"/>
      <c r="K24" s="588"/>
      <c r="L24" s="589"/>
    </row>
    <row r="26" spans="1:12">
      <c r="D26" s="457"/>
    </row>
    <row r="27" spans="1:12">
      <c r="D27" s="458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9" priority="5" stopIfTrue="1" operator="greaterThan">
      <formula>0.89</formula>
    </cfRule>
    <cfRule type="cellIs" dxfId="18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abSelected="1" topLeftCell="A5" zoomScaleNormal="100" workbookViewId="0">
      <selection activeCell="D17" sqref="D17"/>
    </sheetView>
  </sheetViews>
  <sheetFormatPr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6.2851562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7"/>
      <c r="C1" s="607"/>
      <c r="D1" s="607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90">
        <v>1084.1250458865841</v>
      </c>
      <c r="F5" s="485" t="s">
        <v>1605</v>
      </c>
      <c r="K5" s="484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85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34.9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33818100</v>
      </c>
    </row>
    <row r="10" spans="2:11" ht="20.100000000000001" customHeight="1">
      <c r="B10" s="291" t="s">
        <v>1446</v>
      </c>
      <c r="C10" s="292" t="s">
        <v>9</v>
      </c>
      <c r="D10" s="298">
        <f ca="1">RAB!K75</f>
        <v>50651162.579999998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1013023.2516</v>
      </c>
    </row>
    <row r="12" spans="2:11" ht="9" customHeight="1">
      <c r="B12" s="608"/>
      <c r="C12" s="608"/>
      <c r="D12" s="608"/>
    </row>
    <row r="13" spans="2:11" ht="15.75" customHeight="1">
      <c r="B13" s="299"/>
      <c r="C13" s="299"/>
      <c r="D13" s="299"/>
    </row>
    <row r="14" spans="2:11" ht="33.75" customHeight="1">
      <c r="B14" s="414" t="s">
        <v>1379</v>
      </c>
      <c r="C14" s="415" t="s">
        <v>9</v>
      </c>
      <c r="D14" s="420" t="s">
        <v>1623</v>
      </c>
      <c r="E14" s="300" t="s">
        <v>1453</v>
      </c>
    </row>
    <row r="15" spans="2:11" ht="20.100000000000001" customHeight="1">
      <c r="B15" s="416" t="s">
        <v>1447</v>
      </c>
      <c r="C15" s="417" t="s">
        <v>9</v>
      </c>
      <c r="D15" s="421" t="s">
        <v>1608</v>
      </c>
      <c r="E15" s="300" t="s">
        <v>1453</v>
      </c>
    </row>
    <row r="16" spans="2:11" ht="20.100000000000001" customHeight="1">
      <c r="B16" s="416" t="s">
        <v>1448</v>
      </c>
      <c r="C16" s="417" t="s">
        <v>9</v>
      </c>
      <c r="D16" s="421" t="s">
        <v>1451</v>
      </c>
      <c r="E16" s="300" t="s">
        <v>1453</v>
      </c>
    </row>
    <row r="17" spans="2:5" ht="20.100000000000001" customHeight="1">
      <c r="B17" s="416" t="s">
        <v>1449</v>
      </c>
      <c r="C17" s="417" t="s">
        <v>9</v>
      </c>
      <c r="D17" s="422">
        <v>6.6</v>
      </c>
      <c r="E17" s="300" t="s">
        <v>1453</v>
      </c>
    </row>
    <row r="18" spans="2:5" ht="20.100000000000001" hidden="1" customHeight="1">
      <c r="B18" s="416" t="s">
        <v>1543</v>
      </c>
      <c r="C18" s="417"/>
      <c r="D18" s="422">
        <f>IF((D17&lt;=11),1,3)</f>
        <v>1</v>
      </c>
      <c r="E18" s="300"/>
    </row>
    <row r="19" spans="2:5" ht="20.100000000000001" hidden="1" customHeight="1">
      <c r="B19" s="416" t="s">
        <v>1544</v>
      </c>
      <c r="C19" s="417"/>
      <c r="D19" s="422">
        <f>IF((D17&lt;=11),220,380)</f>
        <v>220</v>
      </c>
      <c r="E19" s="300"/>
    </row>
    <row r="20" spans="2:5" ht="20.100000000000001" customHeight="1">
      <c r="B20" s="416" t="s">
        <v>1450</v>
      </c>
      <c r="C20" s="417" t="s">
        <v>9</v>
      </c>
      <c r="D20" s="422">
        <v>41.5</v>
      </c>
      <c r="E20" s="300" t="s">
        <v>1453</v>
      </c>
    </row>
    <row r="21" spans="2:5" ht="20.100000000000001" hidden="1" customHeight="1">
      <c r="B21" s="416" t="s">
        <v>1543</v>
      </c>
      <c r="C21" s="417"/>
      <c r="D21" s="422">
        <f>IF((D20&lt;=11),1,3)</f>
        <v>3</v>
      </c>
      <c r="E21" s="300"/>
    </row>
    <row r="22" spans="2:5" ht="20.100000000000001" hidden="1" customHeight="1">
      <c r="B22" s="416" t="s">
        <v>1544</v>
      </c>
      <c r="C22" s="417"/>
      <c r="D22" s="422">
        <f>IF((D20&lt;=11),220,380)</f>
        <v>380</v>
      </c>
      <c r="E22" s="300"/>
    </row>
    <row r="23" spans="2:5" ht="20.100000000000001" customHeight="1">
      <c r="B23" s="416" t="s">
        <v>1353</v>
      </c>
      <c r="C23" s="417" t="s">
        <v>9</v>
      </c>
      <c r="D23" s="421">
        <v>1444.7</v>
      </c>
      <c r="E23" s="300" t="s">
        <v>1453</v>
      </c>
    </row>
    <row r="24" spans="2:5" ht="20.100000000000001" customHeight="1">
      <c r="B24" s="416" t="s">
        <v>1354</v>
      </c>
      <c r="C24" s="417" t="s">
        <v>9</v>
      </c>
      <c r="D24" s="421">
        <v>1444.7</v>
      </c>
      <c r="E24" s="300" t="s">
        <v>1453</v>
      </c>
    </row>
    <row r="25" spans="2:5" ht="20.100000000000001" customHeight="1">
      <c r="B25" s="416" t="s">
        <v>1452</v>
      </c>
      <c r="C25" s="417" t="s">
        <v>9</v>
      </c>
      <c r="D25" s="422">
        <v>969</v>
      </c>
      <c r="E25" s="300" t="s">
        <v>1453</v>
      </c>
    </row>
    <row r="26" spans="2:5" ht="20.100000000000001" customHeight="1">
      <c r="B26" s="418" t="s">
        <v>1355</v>
      </c>
      <c r="C26" s="419" t="s">
        <v>9</v>
      </c>
      <c r="D26" s="423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85" zoomScaleNormal="85" workbookViewId="0">
      <pane ySplit="6" topLeftCell="A28" activePane="bottomLeft" state="frozen"/>
      <selection activeCell="H1093" sqref="H1093"/>
      <selection pane="bottomLeft" activeCell="Q9" sqref="Q9"/>
    </sheetView>
  </sheetViews>
  <sheetFormatPr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15" t="s">
        <v>1357</v>
      </c>
      <c r="C3" s="615"/>
      <c r="D3" s="615"/>
      <c r="E3" s="615"/>
      <c r="F3" s="305" t="str">
        <f>DATA!D14</f>
        <v>POMPA AIR JATENG LAND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9" t="s">
        <v>1349</v>
      </c>
      <c r="C5" s="609" t="s">
        <v>1358</v>
      </c>
      <c r="D5" s="614" t="s">
        <v>1359</v>
      </c>
      <c r="E5" s="614" t="s">
        <v>1360</v>
      </c>
      <c r="F5" s="609" t="s">
        <v>1361</v>
      </c>
      <c r="G5" s="609"/>
      <c r="H5" s="609"/>
      <c r="I5" s="609"/>
      <c r="J5" s="609"/>
      <c r="K5" s="609" t="s">
        <v>1362</v>
      </c>
      <c r="L5" s="609"/>
      <c r="M5" s="307"/>
      <c r="N5" s="612" t="s">
        <v>1363</v>
      </c>
      <c r="O5" s="614" t="s">
        <v>1364</v>
      </c>
      <c r="P5" s="614" t="s">
        <v>1365</v>
      </c>
      <c r="Q5" s="614" t="s">
        <v>1366</v>
      </c>
      <c r="R5" s="308"/>
      <c r="S5" s="309"/>
      <c r="T5" s="610" t="s">
        <v>1367</v>
      </c>
      <c r="U5" s="310"/>
    </row>
    <row r="6" spans="1:21" ht="20.100000000000001" customHeight="1">
      <c r="B6" s="609"/>
      <c r="C6" s="609"/>
      <c r="D6" s="609"/>
      <c r="E6" s="609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13"/>
      <c r="O6" s="609"/>
      <c r="P6" s="609"/>
      <c r="Q6" s="609"/>
      <c r="R6" s="308"/>
      <c r="S6" s="309"/>
      <c r="T6" s="609"/>
      <c r="U6" s="312"/>
    </row>
    <row r="7" spans="1:21" ht="20.100000000000001" customHeight="1">
      <c r="A7" s="313">
        <v>0</v>
      </c>
      <c r="B7" s="314">
        <v>2023</v>
      </c>
      <c r="C7" s="478">
        <f>DATA!D8*DATA!D26*4</f>
        <v>5584</v>
      </c>
      <c r="D7" s="316">
        <f>C7*4/24</f>
        <v>930.66666666666663</v>
      </c>
      <c r="E7" s="316">
        <f>C7-D7</f>
        <v>4653.333333333333</v>
      </c>
      <c r="F7" s="317">
        <f ca="1">DATA!D10/1000000</f>
        <v>50.651162579999998</v>
      </c>
      <c r="G7" s="318">
        <f ca="1">DATA!$D$11/1000000</f>
        <v>1.0130232516</v>
      </c>
      <c r="H7" s="318">
        <f>C7*DATA!$D$5/1000000</f>
        <v>6.0537542562306861</v>
      </c>
      <c r="I7" s="318">
        <f>(C7*DATA!$D$5*DATA!$D$7)/1000000</f>
        <v>0.13620947076519044</v>
      </c>
      <c r="J7" s="316">
        <f ca="1">SUM(F7:I7)</f>
        <v>57.854149558595871</v>
      </c>
      <c r="K7" s="319">
        <f>DATA!D9/1000000</f>
        <v>33.818100000000001</v>
      </c>
      <c r="L7" s="316">
        <f>((D7*DATA!$D$23)/1000000)+((E7*DATA!$D$24)/1000000)</f>
        <v>8.067204799999999</v>
      </c>
      <c r="M7" s="316">
        <f>K7+L7</f>
        <v>41.8853048</v>
      </c>
      <c r="N7" s="316">
        <f ca="1">M7-J7</f>
        <v>-15.968844758595871</v>
      </c>
      <c r="O7" s="314">
        <v>1</v>
      </c>
      <c r="P7" s="316">
        <f ca="1">O7*N7</f>
        <v>-15.968844758595871</v>
      </c>
      <c r="Q7" s="316">
        <f ca="1">P7</f>
        <v>-15.968844758595871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16752</v>
      </c>
      <c r="D8" s="316">
        <f>C8*4/24</f>
        <v>2792</v>
      </c>
      <c r="E8" s="316">
        <f t="shared" ref="E8:E32" si="0">C8-D8</f>
        <v>13960</v>
      </c>
      <c r="F8" s="314"/>
      <c r="G8" s="318">
        <f ca="1">DATA!$D$11/1000000</f>
        <v>1.0130232516</v>
      </c>
      <c r="H8" s="318">
        <f>C8*DATA!$D$5/1000000</f>
        <v>18.161262768692058</v>
      </c>
      <c r="I8" s="318">
        <f>(C8*DATA!$D$5*DATA!$D$7)/1000000</f>
        <v>0.40862841229557129</v>
      </c>
      <c r="J8" s="316">
        <f t="shared" ref="J8:J32" ca="1" si="1">SUM(F8:I8)</f>
        <v>19.582914432587629</v>
      </c>
      <c r="K8" s="321"/>
      <c r="L8" s="316">
        <f>((D8*DATA!$D$23)/1000000)+((E8*DATA!$D$24)/1000000)</f>
        <v>24.2016144</v>
      </c>
      <c r="M8" s="316">
        <f t="shared" ref="M8:M32" si="2">K8+L8</f>
        <v>24.2016144</v>
      </c>
      <c r="N8" s="316">
        <f ca="1">M8-J8</f>
        <v>4.6186999674123719</v>
      </c>
      <c r="O8" s="315">
        <f>1/(1+'[93]Asumsi I'!$C$3)^(KKF!A8)</f>
        <v>0.89285714285714279</v>
      </c>
      <c r="P8" s="316">
        <f ca="1">O8*N8</f>
        <v>4.1238392566181892</v>
      </c>
      <c r="Q8" s="316">
        <f ca="1">Q7+P8</f>
        <v>-11.845005501977681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16752</v>
      </c>
      <c r="D9" s="316">
        <f t="shared" ref="D9:D32" si="5">C9*4/24</f>
        <v>2792</v>
      </c>
      <c r="E9" s="316">
        <f t="shared" si="0"/>
        <v>13960</v>
      </c>
      <c r="F9" s="314"/>
      <c r="G9" s="318">
        <f ca="1">DATA!$D$11/1000000</f>
        <v>1.0130232516</v>
      </c>
      <c r="H9" s="318">
        <f>C9*DATA!$D$5/1000000</f>
        <v>18.161262768692058</v>
      </c>
      <c r="I9" s="318">
        <f>(C9*DATA!$D$5*DATA!$D$7)/1000000</f>
        <v>0.40862841229557129</v>
      </c>
      <c r="J9" s="316">
        <f t="shared" ca="1" si="1"/>
        <v>19.582914432587629</v>
      </c>
      <c r="K9" s="316"/>
      <c r="L9" s="316">
        <f>((D9*DATA!$D$23)/1000000)+((E9*DATA!$D$24)/1000000)</f>
        <v>24.2016144</v>
      </c>
      <c r="M9" s="316">
        <f t="shared" si="2"/>
        <v>24.2016144</v>
      </c>
      <c r="N9" s="316">
        <f t="shared" ref="N9:N32" ca="1" si="6">M9-J9</f>
        <v>4.6186999674123719</v>
      </c>
      <c r="O9" s="322">
        <f>1/(1+'[93]Asumsi I'!$C$3)^(KKF!A9)</f>
        <v>0.79719387755102034</v>
      </c>
      <c r="P9" s="316">
        <f t="shared" ref="P9:P32" ca="1" si="7">O9*N9</f>
        <v>3.68199933626624</v>
      </c>
      <c r="Q9" s="316">
        <f ca="1">Q8+P9</f>
        <v>-8.1630061657114403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16752</v>
      </c>
      <c r="D10" s="316">
        <f t="shared" si="5"/>
        <v>2792</v>
      </c>
      <c r="E10" s="316">
        <f t="shared" si="0"/>
        <v>13960</v>
      </c>
      <c r="F10" s="314"/>
      <c r="G10" s="318">
        <f ca="1">DATA!$D$11/1000000</f>
        <v>1.0130232516</v>
      </c>
      <c r="H10" s="318">
        <f>C10*DATA!$D$5/1000000</f>
        <v>18.161262768692058</v>
      </c>
      <c r="I10" s="318">
        <f>(C10*DATA!$D$5*DATA!$D$7)/1000000</f>
        <v>0.40862841229557129</v>
      </c>
      <c r="J10" s="316">
        <f t="shared" ca="1" si="1"/>
        <v>19.582914432587629</v>
      </c>
      <c r="K10" s="314"/>
      <c r="L10" s="316">
        <f>((D10*DATA!$D$23)/1000000)+((E10*DATA!$D$24)/1000000)</f>
        <v>24.2016144</v>
      </c>
      <c r="M10" s="316">
        <f t="shared" si="2"/>
        <v>24.2016144</v>
      </c>
      <c r="N10" s="316">
        <f t="shared" ca="1" si="6"/>
        <v>4.6186999674123719</v>
      </c>
      <c r="O10" s="315">
        <f>1/(1+'[93]Asumsi I'!$C$3)^(KKF!A10)</f>
        <v>0.71178024781341087</v>
      </c>
      <c r="P10" s="316">
        <f t="shared" ca="1" si="7"/>
        <v>3.2874994073805706</v>
      </c>
      <c r="Q10" s="316">
        <f t="shared" ref="Q10:Q30" ca="1" si="9">Q9+P10</f>
        <v>-4.8755067583308698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16752</v>
      </c>
      <c r="D11" s="316">
        <f t="shared" si="5"/>
        <v>2792</v>
      </c>
      <c r="E11" s="316">
        <f t="shared" si="0"/>
        <v>13960</v>
      </c>
      <c r="F11" s="314"/>
      <c r="G11" s="318">
        <f ca="1">DATA!$D$11/1000000</f>
        <v>1.0130232516</v>
      </c>
      <c r="H11" s="318">
        <f>C11*DATA!$D$5/1000000</f>
        <v>18.161262768692058</v>
      </c>
      <c r="I11" s="318">
        <f>(C11*DATA!$D$5*DATA!$D$7)/1000000</f>
        <v>0.40862841229557129</v>
      </c>
      <c r="J11" s="316">
        <f t="shared" ca="1" si="1"/>
        <v>19.582914432587629</v>
      </c>
      <c r="K11" s="314"/>
      <c r="L11" s="316">
        <f>((D11*DATA!$D$23)/1000000)+((E11*DATA!$D$24)/1000000)</f>
        <v>24.2016144</v>
      </c>
      <c r="M11" s="316">
        <f t="shared" si="2"/>
        <v>24.2016144</v>
      </c>
      <c r="N11" s="316">
        <f t="shared" ca="1" si="6"/>
        <v>4.6186999674123719</v>
      </c>
      <c r="O11" s="315">
        <f>1/(1+'[93]Asumsi I'!$C$3)^(KKF!A11)</f>
        <v>0.63551807840483121</v>
      </c>
      <c r="P11" s="316">
        <f t="shared" ca="1" si="7"/>
        <v>2.9352673280183672</v>
      </c>
      <c r="Q11" s="316">
        <f t="shared" ca="1" si="9"/>
        <v>-1.9402394303125026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16752</v>
      </c>
      <c r="D12" s="316">
        <f t="shared" si="5"/>
        <v>2792</v>
      </c>
      <c r="E12" s="316">
        <f t="shared" si="0"/>
        <v>13960</v>
      </c>
      <c r="F12" s="314"/>
      <c r="G12" s="318">
        <f ca="1">DATA!$D$11/1000000</f>
        <v>1.0130232516</v>
      </c>
      <c r="H12" s="318">
        <f>C12*DATA!$D$5/1000000</f>
        <v>18.161262768692058</v>
      </c>
      <c r="I12" s="318">
        <f>(C12*DATA!$D$5*DATA!$D$7)/1000000</f>
        <v>0.40862841229557129</v>
      </c>
      <c r="J12" s="316">
        <f t="shared" ca="1" si="1"/>
        <v>19.582914432587629</v>
      </c>
      <c r="K12" s="314"/>
      <c r="L12" s="316">
        <f>((D12*DATA!$D$23)/1000000)+((E12*DATA!$D$24)/1000000)</f>
        <v>24.2016144</v>
      </c>
      <c r="M12" s="316">
        <f t="shared" si="2"/>
        <v>24.2016144</v>
      </c>
      <c r="N12" s="316">
        <f t="shared" ca="1" si="6"/>
        <v>4.6186999674123719</v>
      </c>
      <c r="O12" s="315">
        <f>1/(1+'[93]Asumsi I'!$C$3)^(KKF!A12)</f>
        <v>0.56742685571859919</v>
      </c>
      <c r="P12" s="316">
        <f t="shared" ca="1" si="7"/>
        <v>2.6207744000163986</v>
      </c>
      <c r="Q12" s="316">
        <f t="shared" ca="1" si="9"/>
        <v>0.68053496970389604</v>
      </c>
      <c r="S12" s="304" t="str">
        <f t="shared" ca="1" si="3"/>
        <v/>
      </c>
      <c r="T12" s="320">
        <f t="shared" ca="1" si="10"/>
        <v>4.8526565972014923</v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16752</v>
      </c>
      <c r="D13" s="316">
        <f t="shared" si="5"/>
        <v>2792</v>
      </c>
      <c r="E13" s="316">
        <f t="shared" si="0"/>
        <v>13960</v>
      </c>
      <c r="F13" s="314"/>
      <c r="G13" s="318">
        <f ca="1">DATA!$D$11/1000000</f>
        <v>1.0130232516</v>
      </c>
      <c r="H13" s="318">
        <f>C13*DATA!$D$5/1000000</f>
        <v>18.161262768692058</v>
      </c>
      <c r="I13" s="318">
        <f>(C13*DATA!$D$5*DATA!$D$7)/1000000</f>
        <v>0.40862841229557129</v>
      </c>
      <c r="J13" s="316">
        <f t="shared" ca="1" si="1"/>
        <v>19.582914432587629</v>
      </c>
      <c r="K13" s="314"/>
      <c r="L13" s="316">
        <f>((D13*DATA!$D$23)/1000000)+((E13*DATA!$D$24)/1000000)</f>
        <v>24.2016144</v>
      </c>
      <c r="M13" s="316">
        <f t="shared" si="2"/>
        <v>24.2016144</v>
      </c>
      <c r="N13" s="316">
        <f t="shared" ca="1" si="6"/>
        <v>4.6186999674123719</v>
      </c>
      <c r="O13" s="315">
        <f>1/(1+'[93]Asumsi I'!$C$3)^(KKF!A13)</f>
        <v>0.50663112117732068</v>
      </c>
      <c r="P13" s="316">
        <f t="shared" ca="1" si="7"/>
        <v>2.3399771428717844</v>
      </c>
      <c r="Q13" s="316">
        <f t="shared" ca="1" si="9"/>
        <v>3.0205121125756804</v>
      </c>
      <c r="S13" s="304" t="str">
        <f t="shared" ca="1" si="3"/>
        <v/>
      </c>
      <c r="T13" s="320">
        <f t="shared" ca="1" si="10"/>
        <v>5.3460254760241712</v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16752</v>
      </c>
      <c r="D14" s="316">
        <f t="shared" si="5"/>
        <v>2792</v>
      </c>
      <c r="E14" s="316">
        <f t="shared" si="0"/>
        <v>13960</v>
      </c>
      <c r="F14" s="314"/>
      <c r="G14" s="318">
        <f ca="1">DATA!$D$11/1000000</f>
        <v>1.0130232516</v>
      </c>
      <c r="H14" s="318">
        <f>C14*DATA!$D$5/1000000</f>
        <v>18.161262768692058</v>
      </c>
      <c r="I14" s="318">
        <f>(C14*DATA!$D$5*DATA!$D$7)/1000000</f>
        <v>0.40862841229557129</v>
      </c>
      <c r="J14" s="316">
        <f t="shared" ca="1" si="1"/>
        <v>19.582914432587629</v>
      </c>
      <c r="K14" s="314"/>
      <c r="L14" s="316">
        <f>((D14*DATA!$D$23)/1000000)+((E14*DATA!$D$24)/1000000)</f>
        <v>24.2016144</v>
      </c>
      <c r="M14" s="316">
        <f t="shared" si="2"/>
        <v>24.2016144</v>
      </c>
      <c r="N14" s="316">
        <f t="shared" ca="1" si="6"/>
        <v>4.6186999674123719</v>
      </c>
      <c r="O14" s="315">
        <f>1/(1+'[93]Asumsi I'!$C$3)^(KKF!A14)</f>
        <v>0.45234921533689343</v>
      </c>
      <c r="P14" s="316">
        <f t="shared" ca="1" si="7"/>
        <v>2.0892653061355215</v>
      </c>
      <c r="Q14" s="316">
        <f t="shared" ca="1" si="9"/>
        <v>5.1097774187112019</v>
      </c>
      <c r="S14" s="304" t="str">
        <f t="shared" ca="1" si="3"/>
        <v/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16752</v>
      </c>
      <c r="D15" s="316">
        <f t="shared" si="5"/>
        <v>2792</v>
      </c>
      <c r="E15" s="316">
        <f t="shared" si="0"/>
        <v>13960</v>
      </c>
      <c r="F15" s="314"/>
      <c r="G15" s="318">
        <f ca="1">DATA!$D$11/1000000</f>
        <v>1.0130232516</v>
      </c>
      <c r="H15" s="318">
        <f>C15*DATA!$D$5/1000000</f>
        <v>18.161262768692058</v>
      </c>
      <c r="I15" s="318">
        <f>(C15*DATA!$D$5*DATA!$D$7)/1000000</f>
        <v>0.40862841229557129</v>
      </c>
      <c r="J15" s="316">
        <f t="shared" ca="1" si="1"/>
        <v>19.582914432587629</v>
      </c>
      <c r="K15" s="314"/>
      <c r="L15" s="316">
        <f>((D15*DATA!$D$23)/1000000)+((E15*DATA!$D$24)/1000000)</f>
        <v>24.2016144</v>
      </c>
      <c r="M15" s="316">
        <f t="shared" si="2"/>
        <v>24.2016144</v>
      </c>
      <c r="N15" s="316">
        <f t="shared" ca="1" si="6"/>
        <v>4.6186999674123719</v>
      </c>
      <c r="O15" s="315">
        <f>1/(1+'[93]Asumsi I'!$C$3)^(KKF!A15)</f>
        <v>0.4038832279793691</v>
      </c>
      <c r="P15" s="316">
        <f t="shared" ca="1" si="7"/>
        <v>1.8654154519067156</v>
      </c>
      <c r="Q15" s="316">
        <f t="shared" ca="1" si="9"/>
        <v>6.9751928706179172</v>
      </c>
      <c r="S15" s="304" t="str">
        <f t="shared" ca="1" si="3"/>
        <v/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16752</v>
      </c>
      <c r="D16" s="316">
        <f t="shared" si="5"/>
        <v>2792</v>
      </c>
      <c r="E16" s="316">
        <f t="shared" si="0"/>
        <v>13960</v>
      </c>
      <c r="F16" s="314"/>
      <c r="G16" s="318">
        <f ca="1">DATA!$D$11/1000000</f>
        <v>1.0130232516</v>
      </c>
      <c r="H16" s="318">
        <f>C16*DATA!$D$5/1000000</f>
        <v>18.161262768692058</v>
      </c>
      <c r="I16" s="318">
        <f>(C16*DATA!$D$5*DATA!$D$7)/1000000</f>
        <v>0.40862841229557129</v>
      </c>
      <c r="J16" s="316">
        <f t="shared" ca="1" si="1"/>
        <v>19.582914432587629</v>
      </c>
      <c r="K16" s="314"/>
      <c r="L16" s="316">
        <f>((D16*DATA!$D$23)/1000000)+((E16*DATA!$D$24)/1000000)</f>
        <v>24.2016144</v>
      </c>
      <c r="M16" s="316">
        <f t="shared" si="2"/>
        <v>24.2016144</v>
      </c>
      <c r="N16" s="316">
        <f t="shared" ca="1" si="6"/>
        <v>4.6186999674123719</v>
      </c>
      <c r="O16" s="315">
        <f>1/(1+'[93]Asumsi I'!$C$3)^(KKF!A16)</f>
        <v>0.36061002498157957</v>
      </c>
      <c r="P16" s="316">
        <f t="shared" ca="1" si="7"/>
        <v>1.6655495106309961</v>
      </c>
      <c r="Q16" s="316">
        <f t="shared" ca="1" si="9"/>
        <v>8.6407423812489128</v>
      </c>
      <c r="S16" s="304" t="str">
        <f t="shared" ca="1" si="3"/>
        <v/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16752</v>
      </c>
      <c r="D17" s="316">
        <f t="shared" si="5"/>
        <v>2792</v>
      </c>
      <c r="E17" s="316">
        <f t="shared" si="0"/>
        <v>13960</v>
      </c>
      <c r="F17" s="314"/>
      <c r="G17" s="318">
        <f ca="1">DATA!$D$11/1000000</f>
        <v>1.0130232516</v>
      </c>
      <c r="H17" s="318">
        <f>C17*DATA!$D$5/1000000</f>
        <v>18.161262768692058</v>
      </c>
      <c r="I17" s="318">
        <f>(C17*DATA!$D$5*DATA!$D$7)/1000000</f>
        <v>0.40862841229557129</v>
      </c>
      <c r="J17" s="316">
        <f t="shared" ca="1" si="1"/>
        <v>19.582914432587629</v>
      </c>
      <c r="K17" s="314"/>
      <c r="L17" s="316">
        <f>((D17*DATA!$D$23)/1000000)+((E17*DATA!$D$24)/1000000)</f>
        <v>24.2016144</v>
      </c>
      <c r="M17" s="316">
        <f t="shared" si="2"/>
        <v>24.2016144</v>
      </c>
      <c r="N17" s="316">
        <f t="shared" ca="1" si="6"/>
        <v>4.6186999674123719</v>
      </c>
      <c r="O17" s="315">
        <f>1/(1+'[93]Asumsi I'!$C$3)^(KKF!A17)</f>
        <v>0.32197323659069599</v>
      </c>
      <c r="P17" s="316">
        <f t="shared" ca="1" si="7"/>
        <v>1.4870977773491034</v>
      </c>
      <c r="Q17" s="316">
        <f t="shared" ca="1" si="9"/>
        <v>10.127840158598016</v>
      </c>
      <c r="S17" s="304" t="str">
        <f t="shared" ca="1" si="3"/>
        <v/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16752</v>
      </c>
      <c r="D18" s="316">
        <f t="shared" si="5"/>
        <v>2792</v>
      </c>
      <c r="E18" s="316">
        <f t="shared" si="0"/>
        <v>13960</v>
      </c>
      <c r="F18" s="314"/>
      <c r="G18" s="318">
        <f ca="1">DATA!$D$11/1000000</f>
        <v>1.0130232516</v>
      </c>
      <c r="H18" s="318">
        <f>C18*DATA!$D$5/1000000</f>
        <v>18.161262768692058</v>
      </c>
      <c r="I18" s="318">
        <f>(C18*DATA!$D$5*DATA!$D$7)/1000000</f>
        <v>0.40862841229557129</v>
      </c>
      <c r="J18" s="316">
        <f t="shared" ca="1" si="1"/>
        <v>19.582914432587629</v>
      </c>
      <c r="K18" s="314"/>
      <c r="L18" s="316">
        <f>((D18*DATA!$D$23)/1000000)+((E18*DATA!$D$24)/1000000)</f>
        <v>24.2016144</v>
      </c>
      <c r="M18" s="316">
        <f t="shared" si="2"/>
        <v>24.2016144</v>
      </c>
      <c r="N18" s="316">
        <f t="shared" ca="1" si="6"/>
        <v>4.6186999674123719</v>
      </c>
      <c r="O18" s="315">
        <f>1/(1+'[93]Asumsi I'!$C$3)^(KKF!A18)</f>
        <v>0.28747610409883567</v>
      </c>
      <c r="P18" s="316">
        <f t="shared" ca="1" si="7"/>
        <v>1.3277658726331278</v>
      </c>
      <c r="Q18" s="316">
        <f t="shared" ca="1" si="9"/>
        <v>11.455606031231143</v>
      </c>
      <c r="S18" s="304" t="str">
        <f t="shared" ca="1" si="3"/>
        <v/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16752</v>
      </c>
      <c r="D19" s="316">
        <f t="shared" si="5"/>
        <v>2792</v>
      </c>
      <c r="E19" s="316">
        <f t="shared" si="0"/>
        <v>13960</v>
      </c>
      <c r="F19" s="314"/>
      <c r="G19" s="318">
        <f ca="1">DATA!$D$11/1000000</f>
        <v>1.0130232516</v>
      </c>
      <c r="H19" s="318">
        <f>C19*DATA!$D$5/1000000</f>
        <v>18.161262768692058</v>
      </c>
      <c r="I19" s="318">
        <f>(C19*DATA!$D$5*DATA!$D$7)/1000000</f>
        <v>0.40862841229557129</v>
      </c>
      <c r="J19" s="316">
        <f t="shared" ca="1" si="1"/>
        <v>19.582914432587629</v>
      </c>
      <c r="K19" s="314"/>
      <c r="L19" s="316">
        <f>((D19*DATA!$D$23)/1000000)+((E19*DATA!$D$24)/1000000)</f>
        <v>24.2016144</v>
      </c>
      <c r="M19" s="316">
        <f t="shared" si="2"/>
        <v>24.2016144</v>
      </c>
      <c r="N19" s="316">
        <f t="shared" ca="1" si="6"/>
        <v>4.6186999674123719</v>
      </c>
      <c r="O19" s="315">
        <f>1/(1+'[93]Asumsi I'!$C$3)^(KKF!A19)</f>
        <v>0.25667509294538904</v>
      </c>
      <c r="P19" s="316">
        <f t="shared" ca="1" si="7"/>
        <v>1.1855052434224358</v>
      </c>
      <c r="Q19" s="316">
        <f t="shared" ca="1" si="9"/>
        <v>12.641111274653579</v>
      </c>
      <c r="S19" s="304" t="str">
        <f t="shared" ca="1" si="3"/>
        <v/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16752</v>
      </c>
      <c r="D20" s="316">
        <f t="shared" si="5"/>
        <v>2792</v>
      </c>
      <c r="E20" s="316">
        <f t="shared" si="0"/>
        <v>13960</v>
      </c>
      <c r="F20" s="314"/>
      <c r="G20" s="318">
        <f ca="1">DATA!$D$11/1000000</f>
        <v>1.0130232516</v>
      </c>
      <c r="H20" s="318">
        <f>C20*DATA!$D$5/1000000</f>
        <v>18.161262768692058</v>
      </c>
      <c r="I20" s="318">
        <f>(C20*DATA!$D$5*DATA!$D$7)/1000000</f>
        <v>0.40862841229557129</v>
      </c>
      <c r="J20" s="316">
        <f t="shared" ca="1" si="1"/>
        <v>19.582914432587629</v>
      </c>
      <c r="K20" s="314"/>
      <c r="L20" s="316">
        <f>((D20*DATA!$D$23)/1000000)+((E20*DATA!$D$24)/1000000)</f>
        <v>24.2016144</v>
      </c>
      <c r="M20" s="316">
        <f t="shared" si="2"/>
        <v>24.2016144</v>
      </c>
      <c r="N20" s="316">
        <f t="shared" ca="1" si="6"/>
        <v>4.6186999674123719</v>
      </c>
      <c r="O20" s="315">
        <f>1/(1+'[93]Asumsi I'!$C$3)^(KKF!A20)</f>
        <v>0.22917419012981158</v>
      </c>
      <c r="P20" s="316">
        <f t="shared" ca="1" si="7"/>
        <v>1.0584868244843175</v>
      </c>
      <c r="Q20" s="316">
        <f t="shared" ca="1" si="9"/>
        <v>13.699598099137896</v>
      </c>
      <c r="S20" s="304" t="str">
        <f t="shared" ca="1" si="3"/>
        <v/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16752</v>
      </c>
      <c r="D21" s="316">
        <f t="shared" si="5"/>
        <v>2792</v>
      </c>
      <c r="E21" s="316">
        <f t="shared" si="0"/>
        <v>13960</v>
      </c>
      <c r="F21" s="314"/>
      <c r="G21" s="318">
        <f ca="1">DATA!$D$11/1000000</f>
        <v>1.0130232516</v>
      </c>
      <c r="H21" s="318">
        <f>C21*DATA!$D$5/1000000</f>
        <v>18.161262768692058</v>
      </c>
      <c r="I21" s="318">
        <f>(C21*DATA!$D$5*DATA!$D$7)/1000000</f>
        <v>0.40862841229557129</v>
      </c>
      <c r="J21" s="316">
        <f t="shared" ca="1" si="1"/>
        <v>19.582914432587629</v>
      </c>
      <c r="K21" s="314"/>
      <c r="L21" s="316">
        <f>((D21*DATA!$D$23)/1000000)+((E21*DATA!$D$24)/1000000)</f>
        <v>24.2016144</v>
      </c>
      <c r="M21" s="316">
        <f t="shared" si="2"/>
        <v>24.2016144</v>
      </c>
      <c r="N21" s="316">
        <f t="shared" ca="1" si="6"/>
        <v>4.6186999674123719</v>
      </c>
      <c r="O21" s="315">
        <f>1/(1+'[93]Asumsi I'!$C$3)^(KKF!A21)</f>
        <v>0.20461981261590317</v>
      </c>
      <c r="P21" s="316">
        <f t="shared" ca="1" si="7"/>
        <v>0.94507752186099758</v>
      </c>
      <c r="Q21" s="316">
        <f t="shared" ca="1" si="9"/>
        <v>14.644675620998894</v>
      </c>
      <c r="S21" s="304" t="str">
        <f t="shared" ca="1" si="3"/>
        <v/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16752</v>
      </c>
      <c r="D22" s="316">
        <f t="shared" si="5"/>
        <v>2792</v>
      </c>
      <c r="E22" s="316">
        <f t="shared" si="0"/>
        <v>13960</v>
      </c>
      <c r="F22" s="314"/>
      <c r="G22" s="318">
        <f ca="1">DATA!$D$11/1000000</f>
        <v>1.0130232516</v>
      </c>
      <c r="H22" s="318">
        <f>C22*DATA!$D$5/1000000</f>
        <v>18.161262768692058</v>
      </c>
      <c r="I22" s="318">
        <f>(C22*DATA!$D$5*DATA!$D$7)/1000000</f>
        <v>0.40862841229557129</v>
      </c>
      <c r="J22" s="316">
        <f t="shared" ca="1" si="1"/>
        <v>19.582914432587629</v>
      </c>
      <c r="K22" s="314"/>
      <c r="L22" s="316">
        <f>((D22*DATA!$D$23)/1000000)+((E22*DATA!$D$24)/1000000)</f>
        <v>24.2016144</v>
      </c>
      <c r="M22" s="316">
        <f t="shared" si="2"/>
        <v>24.2016144</v>
      </c>
      <c r="N22" s="316">
        <f t="shared" ca="1" si="6"/>
        <v>4.6186999674123719</v>
      </c>
      <c r="O22" s="315">
        <f>1/(1+'[93]Asumsi I'!$C$3)^(KKF!A22)</f>
        <v>0.18269626126419927</v>
      </c>
      <c r="P22" s="316">
        <f t="shared" ca="1" si="7"/>
        <v>0.84381921594731935</v>
      </c>
      <c r="Q22" s="316">
        <f t="shared" ca="1" si="9"/>
        <v>15.488494836946213</v>
      </c>
      <c r="S22" s="304" t="str">
        <f t="shared" ca="1" si="3"/>
        <v/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16752</v>
      </c>
      <c r="D23" s="316">
        <f t="shared" si="5"/>
        <v>2792</v>
      </c>
      <c r="E23" s="316">
        <f t="shared" si="0"/>
        <v>13960</v>
      </c>
      <c r="F23" s="314"/>
      <c r="G23" s="318">
        <f ca="1">DATA!$D$11/1000000</f>
        <v>1.0130232516</v>
      </c>
      <c r="H23" s="318">
        <f>C23*DATA!$D$5/1000000</f>
        <v>18.161262768692058</v>
      </c>
      <c r="I23" s="318">
        <f>(C23*DATA!$D$5*DATA!$D$7)/1000000</f>
        <v>0.40862841229557129</v>
      </c>
      <c r="J23" s="316">
        <f t="shared" ca="1" si="1"/>
        <v>19.582914432587629</v>
      </c>
      <c r="K23" s="314"/>
      <c r="L23" s="316">
        <f>((D23*DATA!$D$23)/1000000)+((E23*DATA!$D$24)/1000000)</f>
        <v>24.2016144</v>
      </c>
      <c r="M23" s="316">
        <f t="shared" si="2"/>
        <v>24.2016144</v>
      </c>
      <c r="N23" s="316">
        <f t="shared" ca="1" si="6"/>
        <v>4.6186999674123719</v>
      </c>
      <c r="O23" s="315">
        <f>1/(1+'[93]Asumsi I'!$C$3)^(KKF!A23)</f>
        <v>0.16312166184303503</v>
      </c>
      <c r="P23" s="316">
        <f t="shared" ca="1" si="7"/>
        <v>0.75341001423867782</v>
      </c>
      <c r="Q23" s="316">
        <f t="shared" ca="1" si="9"/>
        <v>16.241904851184891</v>
      </c>
      <c r="S23" s="304" t="str">
        <f t="shared" ca="1" si="3"/>
        <v/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16752</v>
      </c>
      <c r="D24" s="316">
        <f t="shared" si="5"/>
        <v>2792</v>
      </c>
      <c r="E24" s="316">
        <f t="shared" si="0"/>
        <v>13960</v>
      </c>
      <c r="F24" s="314"/>
      <c r="G24" s="318">
        <f ca="1">DATA!$D$11/1000000</f>
        <v>1.0130232516</v>
      </c>
      <c r="H24" s="318">
        <f>C24*DATA!$D$5/1000000</f>
        <v>18.161262768692058</v>
      </c>
      <c r="I24" s="318">
        <f>(C24*DATA!$D$5*DATA!$D$7)/1000000</f>
        <v>0.40862841229557129</v>
      </c>
      <c r="J24" s="316">
        <f t="shared" ca="1" si="1"/>
        <v>19.582914432587629</v>
      </c>
      <c r="K24" s="314"/>
      <c r="L24" s="316">
        <f>((D24*DATA!$D$23)/1000000)+((E24*DATA!$D$24)/1000000)</f>
        <v>24.2016144</v>
      </c>
      <c r="M24" s="316">
        <f t="shared" si="2"/>
        <v>24.2016144</v>
      </c>
      <c r="N24" s="316">
        <f t="shared" ca="1" si="6"/>
        <v>4.6186999674123719</v>
      </c>
      <c r="O24" s="315">
        <f>1/(1+'[93]Asumsi I'!$C$3)^(KKF!A24)</f>
        <v>0.14564434093128129</v>
      </c>
      <c r="P24" s="316">
        <f t="shared" ca="1" si="7"/>
        <v>0.67268751271310523</v>
      </c>
      <c r="Q24" s="316">
        <f t="shared" ca="1" si="9"/>
        <v>16.914592363897995</v>
      </c>
      <c r="S24" s="304" t="str">
        <f t="shared" ca="1" si="3"/>
        <v/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16752</v>
      </c>
      <c r="D25" s="316">
        <f t="shared" si="5"/>
        <v>2792</v>
      </c>
      <c r="E25" s="316">
        <f t="shared" si="0"/>
        <v>13960</v>
      </c>
      <c r="F25" s="314"/>
      <c r="G25" s="318">
        <f ca="1">DATA!$D$11/1000000</f>
        <v>1.0130232516</v>
      </c>
      <c r="H25" s="318">
        <f>C25*DATA!$D$5/1000000</f>
        <v>18.161262768692058</v>
      </c>
      <c r="I25" s="318">
        <f>(C25*DATA!$D$5*DATA!$D$7)/1000000</f>
        <v>0.40862841229557129</v>
      </c>
      <c r="J25" s="316">
        <f t="shared" ca="1" si="1"/>
        <v>19.582914432587629</v>
      </c>
      <c r="K25" s="314"/>
      <c r="L25" s="316">
        <f>((D25*DATA!$D$23)/1000000)+((E25*DATA!$D$24)/1000000)</f>
        <v>24.2016144</v>
      </c>
      <c r="M25" s="316">
        <f t="shared" si="2"/>
        <v>24.2016144</v>
      </c>
      <c r="N25" s="316">
        <f t="shared" ca="1" si="6"/>
        <v>4.6186999674123719</v>
      </c>
      <c r="O25" s="315">
        <f>1/(1+'[93]Asumsi I'!$C$3)^(KKF!A25)</f>
        <v>0.13003959011721541</v>
      </c>
      <c r="P25" s="316">
        <f t="shared" ca="1" si="7"/>
        <v>0.60061385063670103</v>
      </c>
      <c r="Q25" s="316">
        <f t="shared" ca="1" si="9"/>
        <v>17.515206214534697</v>
      </c>
      <c r="S25" s="304" t="str">
        <f t="shared" ca="1" si="3"/>
        <v/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16752</v>
      </c>
      <c r="D26" s="316">
        <f t="shared" si="5"/>
        <v>2792</v>
      </c>
      <c r="E26" s="316">
        <f t="shared" si="0"/>
        <v>13960</v>
      </c>
      <c r="F26" s="314"/>
      <c r="G26" s="318">
        <f ca="1">DATA!$D$11/1000000</f>
        <v>1.0130232516</v>
      </c>
      <c r="H26" s="318">
        <f>C26*DATA!$D$5/1000000</f>
        <v>18.161262768692058</v>
      </c>
      <c r="I26" s="318">
        <f>(C26*DATA!$D$5*DATA!$D$7)/1000000</f>
        <v>0.40862841229557129</v>
      </c>
      <c r="J26" s="316">
        <f t="shared" ca="1" si="1"/>
        <v>19.582914432587629</v>
      </c>
      <c r="K26" s="314"/>
      <c r="L26" s="316">
        <f>((D26*DATA!$D$23)/1000000)+((E26*DATA!$D$24)/1000000)</f>
        <v>24.2016144</v>
      </c>
      <c r="M26" s="316">
        <f t="shared" si="2"/>
        <v>24.2016144</v>
      </c>
      <c r="N26" s="316">
        <f t="shared" ca="1" si="6"/>
        <v>4.6186999674123719</v>
      </c>
      <c r="O26" s="315">
        <f>1/(1+'[93]Asumsi I'!$C$3)^(KKF!A26)</f>
        <v>0.1161067768903709</v>
      </c>
      <c r="P26" s="316">
        <f t="shared" ca="1" si="7"/>
        <v>0.53626236663991156</v>
      </c>
      <c r="Q26" s="316">
        <f t="shared" ca="1" si="9"/>
        <v>18.051468581174607</v>
      </c>
      <c r="S26" s="304" t="str">
        <f t="shared" ca="1" si="3"/>
        <v/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16752</v>
      </c>
      <c r="D27" s="316">
        <f t="shared" si="5"/>
        <v>2792</v>
      </c>
      <c r="E27" s="316">
        <f t="shared" si="0"/>
        <v>13960</v>
      </c>
      <c r="F27" s="314"/>
      <c r="G27" s="318">
        <f ca="1">DATA!$D$11/1000000</f>
        <v>1.0130232516</v>
      </c>
      <c r="H27" s="318">
        <f>C27*DATA!$D$5/1000000</f>
        <v>18.161262768692058</v>
      </c>
      <c r="I27" s="318">
        <f>(C27*DATA!$D$5*DATA!$D$7)/1000000</f>
        <v>0.40862841229557129</v>
      </c>
      <c r="J27" s="316">
        <f t="shared" ca="1" si="1"/>
        <v>19.582914432587629</v>
      </c>
      <c r="K27" s="314"/>
      <c r="L27" s="316">
        <f>((D27*DATA!$D$23)/1000000)+((E27*DATA!$D$24)/1000000)</f>
        <v>24.2016144</v>
      </c>
      <c r="M27" s="316">
        <f t="shared" si="2"/>
        <v>24.2016144</v>
      </c>
      <c r="N27" s="316">
        <f t="shared" ca="1" si="6"/>
        <v>4.6186999674123719</v>
      </c>
      <c r="O27" s="315">
        <f>1/(1+'[93]Asumsi I'!$C$3)^(KKF!A27)</f>
        <v>0.1036667650806883</v>
      </c>
      <c r="P27" s="316">
        <f t="shared" ca="1" si="7"/>
        <v>0.47880568449992106</v>
      </c>
      <c r="Q27" s="316">
        <f t="shared" ca="1" si="9"/>
        <v>18.530274265674528</v>
      </c>
      <c r="S27" s="304" t="str">
        <f t="shared" ca="1" si="3"/>
        <v/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16752</v>
      </c>
      <c r="D28" s="316">
        <f t="shared" si="5"/>
        <v>2792</v>
      </c>
      <c r="E28" s="316">
        <f t="shared" si="0"/>
        <v>13960</v>
      </c>
      <c r="F28" s="314"/>
      <c r="G28" s="318">
        <f ca="1">DATA!$D$11/1000000</f>
        <v>1.0130232516</v>
      </c>
      <c r="H28" s="318">
        <f>C28*DATA!$D$5/1000000</f>
        <v>18.161262768692058</v>
      </c>
      <c r="I28" s="318">
        <f>(C28*DATA!$D$5*DATA!$D$7)/1000000</f>
        <v>0.40862841229557129</v>
      </c>
      <c r="J28" s="316">
        <f t="shared" ca="1" si="1"/>
        <v>19.582914432587629</v>
      </c>
      <c r="K28" s="314"/>
      <c r="L28" s="316">
        <f>((D28*DATA!$D$23)/1000000)+((E28*DATA!$D$24)/1000000)</f>
        <v>24.2016144</v>
      </c>
      <c r="M28" s="316">
        <f t="shared" si="2"/>
        <v>24.2016144</v>
      </c>
      <c r="N28" s="316">
        <f t="shared" ca="1" si="6"/>
        <v>4.6186999674123719</v>
      </c>
      <c r="O28" s="315">
        <f>1/(1+'[93]Asumsi I'!$C$3)^(KKF!A28)</f>
        <v>9.2559611679185971E-2</v>
      </c>
      <c r="P28" s="316">
        <f t="shared" ca="1" si="7"/>
        <v>0.42750507544635802</v>
      </c>
      <c r="Q28" s="316">
        <f t="shared" ca="1" si="9"/>
        <v>18.957779341120887</v>
      </c>
      <c r="S28" s="304" t="str">
        <f t="shared" ca="1" si="3"/>
        <v/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16752</v>
      </c>
      <c r="D29" s="316">
        <f t="shared" si="5"/>
        <v>2792</v>
      </c>
      <c r="E29" s="316">
        <f t="shared" si="0"/>
        <v>13960</v>
      </c>
      <c r="F29" s="314"/>
      <c r="G29" s="318">
        <f ca="1">DATA!$D$11/1000000</f>
        <v>1.0130232516</v>
      </c>
      <c r="H29" s="318">
        <f>C29*DATA!$D$5/1000000</f>
        <v>18.161262768692058</v>
      </c>
      <c r="I29" s="318">
        <f>(C29*DATA!$D$5*DATA!$D$7)/1000000</f>
        <v>0.40862841229557129</v>
      </c>
      <c r="J29" s="316">
        <f t="shared" ca="1" si="1"/>
        <v>19.582914432587629</v>
      </c>
      <c r="K29" s="314"/>
      <c r="L29" s="316">
        <f>((D29*DATA!$D$23)/1000000)+((E29*DATA!$D$24)/1000000)</f>
        <v>24.2016144</v>
      </c>
      <c r="M29" s="316">
        <f t="shared" si="2"/>
        <v>24.2016144</v>
      </c>
      <c r="N29" s="316">
        <f t="shared" ca="1" si="6"/>
        <v>4.6186999674123719</v>
      </c>
      <c r="O29" s="315">
        <f>1/(1+'[93]Asumsi I'!$C$3)^(KKF!A29)</f>
        <v>8.2642510427844609E-2</v>
      </c>
      <c r="P29" s="316">
        <f t="shared" ca="1" si="7"/>
        <v>0.38170096021996253</v>
      </c>
      <c r="Q29" s="316">
        <f t="shared" ca="1" si="9"/>
        <v>19.339480301340849</v>
      </c>
      <c r="S29" s="304" t="str">
        <f t="shared" ca="1" si="3"/>
        <v/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16752</v>
      </c>
      <c r="D30" s="316">
        <f t="shared" si="5"/>
        <v>2792</v>
      </c>
      <c r="E30" s="316">
        <f t="shared" si="0"/>
        <v>13960</v>
      </c>
      <c r="F30" s="314"/>
      <c r="G30" s="318">
        <f ca="1">DATA!$D$11/1000000</f>
        <v>1.0130232516</v>
      </c>
      <c r="H30" s="318">
        <f>C30*DATA!$D$5/1000000</f>
        <v>18.161262768692058</v>
      </c>
      <c r="I30" s="318">
        <f>(C30*DATA!$D$5*DATA!$D$7)/1000000</f>
        <v>0.40862841229557129</v>
      </c>
      <c r="J30" s="316">
        <f t="shared" ca="1" si="1"/>
        <v>19.582914432587629</v>
      </c>
      <c r="K30" s="314"/>
      <c r="L30" s="316">
        <f>((D30*DATA!$D$23)/1000000)+((E30*DATA!$D$24)/1000000)</f>
        <v>24.2016144</v>
      </c>
      <c r="M30" s="316">
        <f t="shared" si="2"/>
        <v>24.2016144</v>
      </c>
      <c r="N30" s="316">
        <f t="shared" ca="1" si="6"/>
        <v>4.6186999674123719</v>
      </c>
      <c r="O30" s="315">
        <f>1/(1+'[93]Asumsi I'!$C$3)^(KKF!A30)</f>
        <v>7.3787955739146982E-2</v>
      </c>
      <c r="P30" s="316">
        <f t="shared" ca="1" si="7"/>
        <v>0.34080442876782369</v>
      </c>
      <c r="Q30" s="316">
        <f t="shared" ca="1" si="9"/>
        <v>19.680284730108674</v>
      </c>
      <c r="S30" s="304" t="str">
        <f t="shared" ca="1" si="3"/>
        <v/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16752</v>
      </c>
      <c r="D31" s="316">
        <f t="shared" si="5"/>
        <v>2792</v>
      </c>
      <c r="E31" s="316">
        <f t="shared" si="0"/>
        <v>13960</v>
      </c>
      <c r="F31" s="314"/>
      <c r="G31" s="318">
        <f ca="1">DATA!$D$11/1000000</f>
        <v>1.0130232516</v>
      </c>
      <c r="H31" s="318">
        <f>C31*DATA!$D$5/1000000</f>
        <v>18.161262768692058</v>
      </c>
      <c r="I31" s="318">
        <f>(C31*DATA!$D$5*DATA!$D$7)/1000000</f>
        <v>0.40862841229557129</v>
      </c>
      <c r="J31" s="316">
        <f t="shared" ca="1" si="1"/>
        <v>19.582914432587629</v>
      </c>
      <c r="K31" s="314"/>
      <c r="L31" s="316">
        <f>((D31*DATA!$D$23)/1000000)+((E31*DATA!$D$24)/1000000)</f>
        <v>24.2016144</v>
      </c>
      <c r="M31" s="316">
        <f t="shared" si="2"/>
        <v>24.2016144</v>
      </c>
      <c r="N31" s="316">
        <f t="shared" ca="1" si="6"/>
        <v>4.6186999674123719</v>
      </c>
      <c r="O31" s="315">
        <f>1/(1+'[93]Asumsi I'!$C$3)^(KKF!A31)</f>
        <v>6.5882103338524081E-2</v>
      </c>
      <c r="P31" s="316">
        <f t="shared" ca="1" si="7"/>
        <v>0.30428966854269968</v>
      </c>
      <c r="Q31" s="316">
        <f ca="1">Q30+P31</f>
        <v>19.984574398651375</v>
      </c>
      <c r="S31" s="304" t="str">
        <f t="shared" ca="1" si="3"/>
        <v/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16752</v>
      </c>
      <c r="D32" s="316">
        <f t="shared" si="5"/>
        <v>2792</v>
      </c>
      <c r="E32" s="316">
        <f t="shared" si="0"/>
        <v>13960</v>
      </c>
      <c r="F32" s="314"/>
      <c r="G32" s="318">
        <f ca="1">DATA!$D$11/1000000</f>
        <v>1.0130232516</v>
      </c>
      <c r="H32" s="318">
        <f>C32*DATA!$D$5/1000000</f>
        <v>18.161262768692058</v>
      </c>
      <c r="I32" s="318">
        <f>(C32*DATA!$D$5*DATA!$D$7)/1000000</f>
        <v>0.40862841229557129</v>
      </c>
      <c r="J32" s="316">
        <f t="shared" ca="1" si="1"/>
        <v>19.582914432587629</v>
      </c>
      <c r="K32" s="314"/>
      <c r="L32" s="316">
        <f>((D32*DATA!$D$23)/1000000)+((E32*DATA!$D$24)/1000000)</f>
        <v>24.2016144</v>
      </c>
      <c r="M32" s="316">
        <f t="shared" si="2"/>
        <v>24.2016144</v>
      </c>
      <c r="N32" s="316">
        <f t="shared" ca="1" si="6"/>
        <v>4.6186999674123719</v>
      </c>
      <c r="O32" s="315">
        <f>1/(1+'[93]Asumsi I'!$C$3)^(KKF!A32)</f>
        <v>5.8823306552253637E-2</v>
      </c>
      <c r="P32" s="316">
        <f t="shared" ca="1" si="7"/>
        <v>0.27168720405598185</v>
      </c>
      <c r="Q32" s="316">
        <f ca="1">Q31+P32</f>
        <v>20.256261602707358</v>
      </c>
      <c r="S32" s="304" t="str">
        <f t="shared" ca="1" si="3"/>
        <v/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11" t="s">
        <v>1374</v>
      </c>
      <c r="G33" s="611"/>
      <c r="H33" s="611"/>
      <c r="I33" s="324"/>
      <c r="J33" s="325">
        <f ca="1">SUM(J7:J32)</f>
        <v>547.42701037328675</v>
      </c>
      <c r="K33" s="611" t="s">
        <v>1375</v>
      </c>
      <c r="L33" s="611"/>
      <c r="M33" s="325">
        <f>SUM(M7:M32)</f>
        <v>646.92566480000005</v>
      </c>
      <c r="N33" s="323"/>
      <c r="O33" s="323"/>
      <c r="P33" s="326"/>
      <c r="Q33" s="326"/>
      <c r="S33" s="304">
        <f ca="1">COUNTIF(S7:S32,"a")</f>
        <v>5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12.526067934005395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>
        <f ca="1">AVERAGE(T7:T32)</f>
        <v>5.0993410366128318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1.1817569329632929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18.085947859560136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0.28872230215651995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7" priority="1" stopIfTrue="1" operator="greaterThanOrEqual">
      <formula>$F$7</formula>
    </cfRule>
    <cfRule type="cellIs" dxfId="16" priority="2" stopIfTrue="1" operator="lessThan">
      <formula>$F$7</formula>
    </cfRule>
  </conditionalFormatting>
  <conditionalFormatting sqref="Q7:Q32">
    <cfRule type="cellIs" dxfId="15" priority="3" operator="lessThan">
      <formula>0</formula>
    </cfRule>
    <cfRule type="cellIs" dxfId="14" priority="4" operator="lessThan">
      <formula>0</formula>
    </cfRule>
    <cfRule type="cellIs" dxfId="13" priority="5" operator="lessThan">
      <formula>-6395.81</formula>
    </cfRule>
    <cfRule type="cellIs" dxfId="12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90"/>
  <sheetViews>
    <sheetView showGridLines="0" zoomScale="70" zoomScaleNormal="70" zoomScaleSheetLayoutView="70" workbookViewId="0">
      <pane ySplit="13" topLeftCell="A77" activePane="bottomLeft" state="frozen"/>
      <selection activeCell="H1093" sqref="H1093"/>
      <selection pane="bottomLeft" activeCell="N83" sqref="N83"/>
    </sheetView>
  </sheetViews>
  <sheetFormatPr defaultRowHeight="15"/>
  <cols>
    <col min="1" max="1" width="8.28515625" style="336" customWidth="1"/>
    <col min="2" max="2" width="5.140625" style="337" customWidth="1"/>
    <col min="3" max="3" width="53.42578125" style="408" customWidth="1"/>
    <col min="4" max="4" width="13.7109375" style="408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1" width="16.7109375" style="342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34" t="s">
        <v>1036</v>
      </c>
      <c r="P3" s="634"/>
      <c r="Q3" s="346"/>
      <c r="T3" s="344"/>
      <c r="U3" s="345" t="s">
        <v>1041</v>
      </c>
      <c r="V3" s="344"/>
    </row>
    <row r="4" spans="1:22" ht="15.75" customHeight="1">
      <c r="B4" s="635" t="s">
        <v>1023</v>
      </c>
      <c r="C4" s="635"/>
      <c r="D4" s="635"/>
      <c r="E4" s="635"/>
      <c r="F4" s="635"/>
      <c r="G4" s="635"/>
      <c r="H4" s="635"/>
      <c r="I4" s="635"/>
      <c r="J4" s="635"/>
      <c r="K4" s="635"/>
      <c r="O4" s="634"/>
      <c r="P4" s="634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18" t="str">
        <f>DATA!D14</f>
        <v>POMPA AIR JATENG LAND</v>
      </c>
      <c r="H6" s="618"/>
      <c r="I6" s="618"/>
      <c r="J6" s="618"/>
      <c r="K6" s="618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1620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 t="s">
        <v>1440</v>
      </c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 ht="21" customHeight="1">
      <c r="B11" s="637" t="s">
        <v>0</v>
      </c>
      <c r="C11" s="639" t="s">
        <v>1</v>
      </c>
      <c r="D11" s="628" t="s">
        <v>42</v>
      </c>
      <c r="E11" s="628" t="s">
        <v>43</v>
      </c>
      <c r="F11" s="628" t="s">
        <v>2</v>
      </c>
      <c r="G11" s="642" t="s">
        <v>41</v>
      </c>
      <c r="H11" s="628" t="s">
        <v>3</v>
      </c>
      <c r="I11" s="628"/>
      <c r="J11" s="628"/>
      <c r="K11" s="629"/>
      <c r="O11" s="351"/>
      <c r="P11" s="352"/>
      <c r="Q11" s="351"/>
      <c r="S11" s="353"/>
      <c r="T11" s="354"/>
      <c r="U11" s="354"/>
      <c r="V11" s="354"/>
    </row>
    <row r="12" spans="1:22" ht="15" customHeight="1">
      <c r="B12" s="638"/>
      <c r="C12" s="640"/>
      <c r="D12" s="632"/>
      <c r="E12" s="632"/>
      <c r="F12" s="632"/>
      <c r="G12" s="643"/>
      <c r="H12" s="630" t="s">
        <v>46</v>
      </c>
      <c r="I12" s="630" t="s">
        <v>5</v>
      </c>
      <c r="J12" s="632" t="s">
        <v>47</v>
      </c>
      <c r="K12" s="633" t="s">
        <v>4</v>
      </c>
      <c r="O12" s="352"/>
      <c r="P12" s="352"/>
      <c r="Q12" s="352"/>
      <c r="S12" s="353"/>
      <c r="T12" s="353"/>
      <c r="U12" s="353"/>
      <c r="V12" s="353"/>
    </row>
    <row r="13" spans="1:22" ht="15" customHeight="1">
      <c r="B13" s="638"/>
      <c r="C13" s="641"/>
      <c r="D13" s="632"/>
      <c r="E13" s="632"/>
      <c r="F13" s="632"/>
      <c r="G13" s="644"/>
      <c r="H13" s="631"/>
      <c r="I13" s="631"/>
      <c r="J13" s="632"/>
      <c r="K13" s="633"/>
      <c r="O13" s="355"/>
      <c r="P13" s="355"/>
      <c r="Q13" s="355"/>
      <c r="S13" s="353"/>
      <c r="T13" s="353"/>
      <c r="U13" s="353"/>
      <c r="V13" s="353"/>
    </row>
    <row r="14" spans="1:22" s="365" customFormat="1" ht="15.75" customHeigh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8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 s="370" customFormat="1">
      <c r="A15" s="336" t="e">
        <f>IF(AND(C15=0,#REF!=0,#REF!=0),"BLANKS",1)</f>
        <v>#REF!</v>
      </c>
      <c r="B15" s="366" t="s">
        <v>10</v>
      </c>
      <c r="C15" s="367" t="s">
        <v>1609</v>
      </c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368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:H16" ca="1" si="4">IF(OR(D15="MDU",D15="MDU-KD"),(IF($O$3="RAB NON MDU","PLN KD",G15*F15)),0)</f>
        <v>0</v>
      </c>
      <c r="I15" s="361">
        <f t="shared" ref="I15:I16" ca="1" si="5">IF(D15="HDW",G15*F15,0)</f>
        <v>0</v>
      </c>
      <c r="J15" s="361">
        <f t="shared" ref="J15:J16" ca="1" si="6">IF(D15="JASA",G15*F15,0)</f>
        <v>0</v>
      </c>
      <c r="K15" s="362">
        <f t="shared" ref="K15:K16" ca="1" si="7">SUM(H15:J15)</f>
        <v>0</v>
      </c>
      <c r="L15" s="369"/>
      <c r="M15" s="369"/>
      <c r="N15" s="369"/>
      <c r="O15" s="363"/>
      <c r="P15" s="363"/>
      <c r="Q15" s="344"/>
      <c r="R15" s="336"/>
      <c r="S15" s="364"/>
      <c r="T15" s="341"/>
      <c r="U15" s="341"/>
      <c r="V15" s="341"/>
    </row>
    <row r="16" spans="1:22" s="370" customFormat="1">
      <c r="A16" s="336" t="e">
        <f>IF(AND(C16=0,#REF!=0,#REF!=0),"BLANKS",1)</f>
        <v>#REF!</v>
      </c>
      <c r="B16" s="371"/>
      <c r="C16" s="372"/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368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ca="1" si="4"/>
        <v>0</v>
      </c>
      <c r="I16" s="361">
        <f t="shared" ca="1" si="5"/>
        <v>0</v>
      </c>
      <c r="J16" s="361">
        <f t="shared" ca="1" si="6"/>
        <v>0</v>
      </c>
      <c r="K16" s="362">
        <f t="shared" ca="1" si="7"/>
        <v>0</v>
      </c>
      <c r="L16" s="369"/>
      <c r="M16" s="369"/>
      <c r="N16" s="369"/>
      <c r="O16" s="363"/>
      <c r="P16" s="363"/>
      <c r="Q16" s="344"/>
      <c r="R16" s="336"/>
      <c r="S16" s="364"/>
      <c r="T16" s="341"/>
      <c r="U16" s="341"/>
      <c r="V16" s="341"/>
    </row>
    <row r="17" spans="1:22" s="370" customFormat="1">
      <c r="A17" s="336"/>
      <c r="B17" s="366" t="s">
        <v>1610</v>
      </c>
      <c r="C17" s="367" t="s">
        <v>1611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/>
      </c>
      <c r="F17" s="368"/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ref="H17:H56" ca="1" si="8">IF(OR(D17="MDU",D17="MDU-KD"),(IF($O$3="RAB NON MDU","PLN KD",G17*F17)),0)</f>
        <v>0</v>
      </c>
      <c r="I17" s="361">
        <f t="shared" ref="I17:I56" ca="1" si="9">IF(D17="HDW",G17*F17,0)</f>
        <v>0</v>
      </c>
      <c r="J17" s="361">
        <f t="shared" ref="J17:J56" ca="1" si="10">IF(D17="JASA",G17*F17,0)</f>
        <v>0</v>
      </c>
      <c r="K17" s="362">
        <f t="shared" ref="K17:K56" ca="1" si="11">SUM(H17:J17)</f>
        <v>0</v>
      </c>
      <c r="L17" s="369"/>
      <c r="M17" s="369"/>
      <c r="N17" s="369"/>
      <c r="O17" s="363"/>
      <c r="P17" s="363"/>
      <c r="Q17" s="344"/>
      <c r="R17" s="336"/>
      <c r="S17" s="364"/>
      <c r="T17" s="341"/>
      <c r="U17" s="341"/>
      <c r="V17" s="341"/>
    </row>
    <row r="18" spans="1:22">
      <c r="B18" s="493"/>
      <c r="C18" s="496"/>
      <c r="D18" s="358" t="str">
        <f ca="1">IF(ISERROR(OFFSET('HARGA SATUAN'!$D$6,MATCH(RAB!C18,'HARGA SATUAN'!$C$7:$C$1492,0),0)),"",OFFSET('HARGA SATUAN'!$D$6,MATCH(RAB!C18,'HARGA SATUAN'!$C$7:$C$1492,0),0))</f>
        <v/>
      </c>
      <c r="E18" s="359" t="str">
        <f ca="1">IF(B18="+","Unit",IF(ISERROR(OFFSET('HARGA SATUAN'!$E$6,MATCH(RAB!C18,'HARGA SATUAN'!$C$7:$C$1492,0),0)),"",OFFSET('HARGA SATUAN'!$E$6,MATCH(RAB!C18,'HARGA SATUAN'!$C$7:$C$1492,0),0)))</f>
        <v/>
      </c>
      <c r="F18" s="502"/>
      <c r="G18" s="360">
        <f ca="1">IF(ISERROR(OFFSET('HARGA SATUAN'!$I$6,MATCH(RAB!C18,'HARGA SATUAN'!$C$7:$C$1492,0),0)),0,OFFSET('HARGA SATUAN'!$I$6,MATCH(RAB!C18,'HARGA SATUAN'!$C$7:$C$1492,0),0))</f>
        <v>0</v>
      </c>
      <c r="H18" s="361">
        <f t="shared" ref="H18:H19" ca="1" si="12">IF(OR(D18="MDU",D18="MDU-KD"),(IF($O$3="RAB NON MDU","PLN KD",G18*F18)),0)</f>
        <v>0</v>
      </c>
      <c r="I18" s="361">
        <f t="shared" ref="I18:I19" ca="1" si="13">IF(D18="HDW",G18*F18,0)</f>
        <v>0</v>
      </c>
      <c r="J18" s="361">
        <f t="shared" ref="J18:J19" ca="1" si="14">IF(D18="JASA",G18*F18,0)</f>
        <v>0</v>
      </c>
      <c r="K18" s="362">
        <f t="shared" ref="K18:K19" ca="1" si="15">SUM(H18:J18)</f>
        <v>0</v>
      </c>
    </row>
    <row r="19" spans="1:22">
      <c r="B19" s="366" t="s">
        <v>1612</v>
      </c>
      <c r="C19" s="367" t="s">
        <v>1614</v>
      </c>
      <c r="D19" s="358" t="str">
        <f ca="1">IF(ISERROR(OFFSET('HARGA SATUAN'!$D$6,MATCH(RAB!C19,'HARGA SATUAN'!$C$7:$C$1492,0),0)),"",OFFSET('HARGA SATUAN'!$D$6,MATCH(RAB!C19,'HARGA SATUAN'!$C$7:$C$1492,0),0))</f>
        <v/>
      </c>
      <c r="E19" s="359" t="str">
        <f ca="1">IF(B19="+","Unit",IF(ISERROR(OFFSET('HARGA SATUAN'!$E$6,MATCH(RAB!C19,'HARGA SATUAN'!$C$7:$C$1492,0),0)),"",OFFSET('HARGA SATUAN'!$E$6,MATCH(RAB!C19,'HARGA SATUAN'!$C$7:$C$1492,0),0)))</f>
        <v/>
      </c>
      <c r="F19" s="502"/>
      <c r="G19" s="360">
        <f ca="1">IF(ISERROR(OFFSET('HARGA SATUAN'!$I$6,MATCH(RAB!C19,'HARGA SATUAN'!$C$7:$C$1492,0),0)),0,OFFSET('HARGA SATUAN'!$I$6,MATCH(RAB!C19,'HARGA SATUAN'!$C$7:$C$1492,0),0))</f>
        <v>0</v>
      </c>
      <c r="H19" s="361">
        <f t="shared" ca="1" si="12"/>
        <v>0</v>
      </c>
      <c r="I19" s="361">
        <f t="shared" ca="1" si="13"/>
        <v>0</v>
      </c>
      <c r="J19" s="361">
        <f t="shared" ca="1" si="14"/>
        <v>0</v>
      </c>
      <c r="K19" s="362">
        <f t="shared" ca="1" si="15"/>
        <v>0</v>
      </c>
    </row>
    <row r="20" spans="1:22">
      <c r="B20" s="493"/>
      <c r="C20" s="496"/>
      <c r="D20" s="358" t="str">
        <f ca="1">IF(ISERROR(OFFSET('HARGA SATUAN'!$D$6,MATCH(RAB!C20,'HARGA SATUAN'!$C$7:$C$1492,0),0)),"",OFFSET('HARGA SATUAN'!$D$6,MATCH(RAB!C20,'HARGA SATUAN'!$C$7:$C$1492,0),0))</f>
        <v/>
      </c>
      <c r="E20" s="359" t="str">
        <f ca="1">IF(B20="+","Unit",IF(ISERROR(OFFSET('HARGA SATUAN'!$E$6,MATCH(RAB!C20,'HARGA SATUAN'!$C$7:$C$1492,0),0)),"",OFFSET('HARGA SATUAN'!$E$6,MATCH(RAB!C20,'HARGA SATUAN'!$C$7:$C$1492,0),0)))</f>
        <v/>
      </c>
      <c r="F20" s="502"/>
      <c r="G20" s="360">
        <f ca="1">IF(ISERROR(OFFSET('HARGA SATUAN'!$I$6,MATCH(RAB!C20,'HARGA SATUAN'!$C$7:$C$1492,0),0)),0,OFFSET('HARGA SATUAN'!$I$6,MATCH(RAB!C20,'HARGA SATUAN'!$C$7:$C$1492,0),0))</f>
        <v>0</v>
      </c>
      <c r="H20" s="361">
        <f t="shared" ref="H20:H40" ca="1" si="16">IF(OR(D20="MDU",D20="MDU-KD"),(IF($O$3="RAB NON MDU","PLN KD",G20*F20)),0)</f>
        <v>0</v>
      </c>
      <c r="I20" s="361">
        <f t="shared" ref="I20:I40" ca="1" si="17">IF(D20="HDW",G20*F20,0)</f>
        <v>0</v>
      </c>
      <c r="J20" s="361">
        <f t="shared" ref="J20:J40" ca="1" si="18">IF(D20="JASA",G20*F20,0)</f>
        <v>0</v>
      </c>
      <c r="K20" s="362">
        <f t="shared" ref="K20:K40" ca="1" si="19">SUM(H20:J20)</f>
        <v>0</v>
      </c>
    </row>
    <row r="21" spans="1:22">
      <c r="B21" s="497" t="s">
        <v>1035</v>
      </c>
      <c r="C21" s="517" t="s">
        <v>1628</v>
      </c>
      <c r="D21" s="358" t="str">
        <f ca="1">IF(ISERROR(OFFSET('HARGA SATUAN'!$D$6,MATCH(RAB!C21,'HARGA SATUAN'!$C$7:$C$1492,0),0)),"",OFFSET('HARGA SATUAN'!$D$6,MATCH(RAB!C21,'HARGA SATUAN'!$C$7:$C$1492,0),0))</f>
        <v/>
      </c>
      <c r="E21" s="359" t="str">
        <f ca="1">IF(B21="+","Unit",IF(ISERROR(OFFSET('HARGA SATUAN'!$E$6,MATCH(RAB!C21,'HARGA SATUAN'!$C$7:$C$1492,0),0)),"",OFFSET('HARGA SATUAN'!$E$6,MATCH(RAB!C21,'HARGA SATUAN'!$C$7:$C$1492,0),0)))</f>
        <v>Unit</v>
      </c>
      <c r="F21" s="501">
        <v>1</v>
      </c>
      <c r="G21" s="360">
        <f ca="1">IF(ISERROR(OFFSET('HARGA SATUAN'!$I$6,MATCH(RAB!C21,'HARGA SATUAN'!$C$7:$C$1492,0),0)),0,OFFSET('HARGA SATUAN'!$I$6,MATCH(RAB!C21,'HARGA SATUAN'!$C$7:$C$1492,0),0))</f>
        <v>0</v>
      </c>
      <c r="H21" s="361">
        <f t="shared" ca="1" si="16"/>
        <v>0</v>
      </c>
      <c r="I21" s="361">
        <f t="shared" ca="1" si="17"/>
        <v>0</v>
      </c>
      <c r="J21" s="361">
        <f t="shared" ca="1" si="18"/>
        <v>0</v>
      </c>
      <c r="K21" s="362">
        <f t="shared" ca="1" si="19"/>
        <v>0</v>
      </c>
    </row>
    <row r="22" spans="1:22">
      <c r="B22" s="497">
        <v>1</v>
      </c>
      <c r="C22" s="109" t="s">
        <v>1150</v>
      </c>
      <c r="D22" s="358" t="str">
        <f ca="1">IF(ISERROR(OFFSET('HARGA SATUAN'!$D$6,MATCH(RAB!C22,'HARGA SATUAN'!$C$7:$C$1492,0),0)),"",OFFSET('HARGA SATUAN'!$D$6,MATCH(RAB!C22,'HARGA SATUAN'!$C$7:$C$1492,0),0))</f>
        <v>MDU-KD</v>
      </c>
      <c r="E22" s="359" t="str">
        <f ca="1">IF(B22="+","Unit",IF(ISERROR(OFFSET('HARGA SATUAN'!$E$6,MATCH(RAB!C22,'HARGA SATUAN'!$C$7:$C$1492,0),0)),"",OFFSET('HARGA SATUAN'!$E$6,MATCH(RAB!C22,'HARGA SATUAN'!$C$7:$C$1492,0),0)))</f>
        <v>Bh</v>
      </c>
      <c r="F22" s="501">
        <f>F21*1</f>
        <v>1</v>
      </c>
      <c r="G22" s="360">
        <f ca="1">IF(ISERROR(OFFSET('HARGA SATUAN'!$I$6,MATCH(RAB!C22,'HARGA SATUAN'!$C$7:$C$1492,0),0)),0,OFFSET('HARGA SATUAN'!$I$6,MATCH(RAB!C22,'HARGA SATUAN'!$C$7:$C$1492,0),0))</f>
        <v>31630800</v>
      </c>
      <c r="H22" s="361">
        <f t="shared" ca="1" si="16"/>
        <v>31630800</v>
      </c>
      <c r="I22" s="361">
        <f t="shared" ca="1" si="17"/>
        <v>0</v>
      </c>
      <c r="J22" s="361">
        <f t="shared" ca="1" si="18"/>
        <v>0</v>
      </c>
      <c r="K22" s="362">
        <f t="shared" ca="1" si="19"/>
        <v>31630800</v>
      </c>
    </row>
    <row r="23" spans="1:22">
      <c r="B23" s="503">
        <v>2</v>
      </c>
      <c r="C23" s="504" t="s">
        <v>1617</v>
      </c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5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ca="1" si="16"/>
        <v>0</v>
      </c>
      <c r="I23" s="361">
        <f t="shared" ca="1" si="17"/>
        <v>0</v>
      </c>
      <c r="J23" s="361">
        <f t="shared" ca="1" si="18"/>
        <v>0</v>
      </c>
      <c r="K23" s="362">
        <f t="shared" ca="1" si="19"/>
        <v>0</v>
      </c>
    </row>
    <row r="24" spans="1:22">
      <c r="B24" s="497"/>
      <c r="C24" s="504" t="s">
        <v>65</v>
      </c>
      <c r="D24" s="358" t="s">
        <v>1624</v>
      </c>
      <c r="E24" s="359" t="str">
        <f ca="1">IF(B24="+","Unit",IF(ISERROR(OFFSET('HARGA SATUAN'!$E$6,MATCH(RAB!C24,'HARGA SATUAN'!$C$7:$C$1492,0),0)),"",OFFSET('HARGA SATUAN'!$E$6,MATCH(RAB!C24,'HARGA SATUAN'!$C$7:$C$1492,0),0)))</f>
        <v>Mtr</v>
      </c>
      <c r="F24" s="501">
        <f>F21*(3*3)</f>
        <v>9</v>
      </c>
      <c r="G24" s="360">
        <f ca="1">IF(ISERROR(OFFSET('HARGA SATUAN'!$I$6,MATCH(RAB!C24,'HARGA SATUAN'!$C$7:$C$1492,0),0)),0,OFFSET('HARGA SATUAN'!$I$6,MATCH(RAB!C24,'HARGA SATUAN'!$C$7:$C$1492,0),0))</f>
        <v>14200</v>
      </c>
      <c r="H24" s="361">
        <f t="shared" si="16"/>
        <v>0</v>
      </c>
      <c r="I24" s="361">
        <f t="shared" si="17"/>
        <v>0</v>
      </c>
      <c r="J24" s="361">
        <f t="shared" si="18"/>
        <v>0</v>
      </c>
      <c r="K24" s="362">
        <f t="shared" si="19"/>
        <v>0</v>
      </c>
    </row>
    <row r="25" spans="1:22">
      <c r="B25" s="497"/>
      <c r="C25" s="109" t="s">
        <v>1459</v>
      </c>
      <c r="D25" s="358" t="s">
        <v>1624</v>
      </c>
      <c r="E25" s="359" t="str">
        <f ca="1">IF(B25="+","Unit",IF(ISERROR(OFFSET('HARGA SATUAN'!$E$6,MATCH(RAB!C25,'HARGA SATUAN'!$C$7:$C$1492,0),0)),"",OFFSET('HARGA SATUAN'!$E$6,MATCH(RAB!C25,'HARGA SATUAN'!$C$7:$C$1492,0),0)))</f>
        <v>Mtr</v>
      </c>
      <c r="F25" s="501">
        <f>F21*3</f>
        <v>3</v>
      </c>
      <c r="G25" s="360">
        <f ca="1">IF(ISERROR(OFFSET('HARGA SATUAN'!$I$6,MATCH(RAB!C25,'HARGA SATUAN'!$C$7:$C$1492,0),0)),0,OFFSET('HARGA SATUAN'!$I$6,MATCH(RAB!C25,'HARGA SATUAN'!$C$7:$C$1492,0),0))</f>
        <v>54500</v>
      </c>
      <c r="H25" s="361">
        <f t="shared" si="16"/>
        <v>0</v>
      </c>
      <c r="I25" s="361">
        <f t="shared" si="17"/>
        <v>0</v>
      </c>
      <c r="J25" s="361">
        <f t="shared" si="18"/>
        <v>0</v>
      </c>
      <c r="K25" s="362">
        <f t="shared" si="19"/>
        <v>0</v>
      </c>
    </row>
    <row r="26" spans="1:22">
      <c r="B26" s="497">
        <v>3</v>
      </c>
      <c r="C26" s="109" t="s">
        <v>559</v>
      </c>
      <c r="D26" s="358" t="s">
        <v>1624</v>
      </c>
      <c r="E26" s="359" t="str">
        <f ca="1">IF(B26="+","Unit",IF(ISERROR(OFFSET('HARGA SATUAN'!$E$6,MATCH(RAB!C26,'HARGA SATUAN'!$C$7:$C$1492,0),0)),"",OFFSET('HARGA SATUAN'!$E$6,MATCH(RAB!C26,'HARGA SATUAN'!$C$7:$C$1492,0),0)))</f>
        <v>Bh</v>
      </c>
      <c r="F26" s="501">
        <f>F21*3</f>
        <v>3</v>
      </c>
      <c r="G26" s="360">
        <f ca="1">IF(ISERROR(OFFSET('HARGA SATUAN'!$I$6,MATCH(RAB!C26,'HARGA SATUAN'!$C$7:$C$1492,0),0)),0,OFFSET('HARGA SATUAN'!$I$6,MATCH(RAB!C26,'HARGA SATUAN'!$C$7:$C$1492,0),0))</f>
        <v>725900</v>
      </c>
      <c r="H26" s="361">
        <f t="shared" si="16"/>
        <v>0</v>
      </c>
      <c r="I26" s="361">
        <f t="shared" si="17"/>
        <v>0</v>
      </c>
      <c r="J26" s="361">
        <f t="shared" si="18"/>
        <v>0</v>
      </c>
      <c r="K26" s="362">
        <f t="shared" si="19"/>
        <v>0</v>
      </c>
    </row>
    <row r="27" spans="1:22">
      <c r="B27" s="497">
        <v>4</v>
      </c>
      <c r="C27" s="498" t="s">
        <v>535</v>
      </c>
      <c r="D27" s="358" t="s">
        <v>1624</v>
      </c>
      <c r="E27" s="359" t="str">
        <f ca="1">IF(B27="+","Unit",IF(ISERROR(OFFSET('HARGA SATUAN'!$E$6,MATCH(RAB!C27,'HARGA SATUAN'!$C$7:$C$1492,0),0)),"",OFFSET('HARGA SATUAN'!$E$6,MATCH(RAB!C27,'HARGA SATUAN'!$C$7:$C$1492,0),0)))</f>
        <v>Bh</v>
      </c>
      <c r="F27" s="501">
        <f>F21*3</f>
        <v>3</v>
      </c>
      <c r="G27" s="360">
        <f ca="1">IF(ISERROR(OFFSET('HARGA SATUAN'!$I$6,MATCH(RAB!C27,'HARGA SATUAN'!$C$7:$C$1492,0),0)),0,OFFSET('HARGA SATUAN'!$I$6,MATCH(RAB!C27,'HARGA SATUAN'!$C$7:$C$1492,0),0))</f>
        <v>848250</v>
      </c>
      <c r="H27" s="361">
        <f t="shared" si="16"/>
        <v>0</v>
      </c>
      <c r="I27" s="361">
        <f t="shared" si="17"/>
        <v>0</v>
      </c>
      <c r="J27" s="361">
        <f t="shared" si="18"/>
        <v>0</v>
      </c>
      <c r="K27" s="362">
        <f t="shared" si="19"/>
        <v>0</v>
      </c>
    </row>
    <row r="28" spans="1:22">
      <c r="B28" s="497">
        <v>5</v>
      </c>
      <c r="C28" s="498" t="s">
        <v>55</v>
      </c>
      <c r="D28" s="358" t="s">
        <v>1624</v>
      </c>
      <c r="E28" s="359" t="str">
        <f ca="1">IF(B28="+","Unit",IF(ISERROR(OFFSET('HARGA SATUAN'!$E$6,MATCH(RAB!C28,'HARGA SATUAN'!$C$7:$C$1492,0),0)),"",OFFSET('HARGA SATUAN'!$E$6,MATCH(RAB!C28,'HARGA SATUAN'!$C$7:$C$1492,0),0)))</f>
        <v>Bh</v>
      </c>
      <c r="F28" s="501">
        <f>F21*3</f>
        <v>3</v>
      </c>
      <c r="G28" s="360">
        <f ca="1">IF(ISERROR(OFFSET('HARGA SATUAN'!$I$6,MATCH(RAB!C28,'HARGA SATUAN'!$C$7:$C$1492,0),0)),0,OFFSET('HARGA SATUAN'!$I$6,MATCH(RAB!C28,'HARGA SATUAN'!$C$7:$C$1492,0),0))</f>
        <v>18000</v>
      </c>
      <c r="H28" s="361">
        <f t="shared" si="16"/>
        <v>0</v>
      </c>
      <c r="I28" s="361">
        <f t="shared" si="17"/>
        <v>0</v>
      </c>
      <c r="J28" s="361">
        <f t="shared" si="18"/>
        <v>0</v>
      </c>
      <c r="K28" s="362">
        <f t="shared" si="19"/>
        <v>0</v>
      </c>
    </row>
    <row r="29" spans="1:22">
      <c r="B29" s="497">
        <v>6</v>
      </c>
      <c r="C29" s="109" t="s">
        <v>1564</v>
      </c>
      <c r="D29" s="358" t="s">
        <v>1624</v>
      </c>
      <c r="E29" s="359" t="str">
        <f ca="1">IF(B29="+","Unit",IF(ISERROR(OFFSET('HARGA SATUAN'!$E$6,MATCH(RAB!C29,'HARGA SATUAN'!$C$7:$C$1492,0),0)),"",OFFSET('HARGA SATUAN'!$E$6,MATCH(RAB!C29,'HARGA SATUAN'!$C$7:$C$1492,0),0)))</f>
        <v>Bh</v>
      </c>
      <c r="F29" s="501">
        <f>F21*13</f>
        <v>13</v>
      </c>
      <c r="G29" s="360">
        <f ca="1">IF(ISERROR(OFFSET('HARGA SATUAN'!$I$6,MATCH(RAB!C29,'HARGA SATUAN'!$C$7:$C$1492,0),0)),0,OFFSET('HARGA SATUAN'!$I$6,MATCH(RAB!C29,'HARGA SATUAN'!$C$7:$C$1492,0),0))</f>
        <v>49000</v>
      </c>
      <c r="H29" s="361">
        <f t="shared" si="16"/>
        <v>0</v>
      </c>
      <c r="I29" s="361">
        <f t="shared" si="17"/>
        <v>0</v>
      </c>
      <c r="J29" s="361">
        <f t="shared" si="18"/>
        <v>0</v>
      </c>
      <c r="K29" s="362">
        <f t="shared" si="19"/>
        <v>0</v>
      </c>
    </row>
    <row r="30" spans="1:22">
      <c r="B30" s="497">
        <v>7</v>
      </c>
      <c r="C30" s="498" t="s">
        <v>163</v>
      </c>
      <c r="D30" s="358" t="s">
        <v>1624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1">
        <f>F21*28</f>
        <v>28</v>
      </c>
      <c r="G30" s="360">
        <f ca="1">IF(ISERROR(OFFSET('HARGA SATUAN'!$I$6,MATCH(RAB!C30,'HARGA SATUAN'!$C$7:$C$1492,0),0)),0,OFFSET('HARGA SATUAN'!$I$6,MATCH(RAB!C30,'HARGA SATUAN'!$C$7:$C$1492,0),0))</f>
        <v>7938</v>
      </c>
      <c r="H30" s="361">
        <f t="shared" si="16"/>
        <v>0</v>
      </c>
      <c r="I30" s="361">
        <f t="shared" si="17"/>
        <v>0</v>
      </c>
      <c r="J30" s="361">
        <f t="shared" si="18"/>
        <v>0</v>
      </c>
      <c r="K30" s="362">
        <f t="shared" si="19"/>
        <v>0</v>
      </c>
    </row>
    <row r="31" spans="1:22">
      <c r="B31" s="497">
        <v>8</v>
      </c>
      <c r="C31" s="498" t="s">
        <v>176</v>
      </c>
      <c r="D31" s="358" t="s">
        <v>1624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501">
        <f>F21*2</f>
        <v>2</v>
      </c>
      <c r="G31" s="360">
        <f ca="1">IF(ISERROR(OFFSET('HARGA SATUAN'!$I$6,MATCH(RAB!C31,'HARGA SATUAN'!$C$7:$C$1492,0),0)),0,OFFSET('HARGA SATUAN'!$I$6,MATCH(RAB!C31,'HARGA SATUAN'!$C$7:$C$1492,0),0))</f>
        <v>404600</v>
      </c>
      <c r="H31" s="361">
        <f t="shared" si="16"/>
        <v>0</v>
      </c>
      <c r="I31" s="361">
        <f t="shared" si="17"/>
        <v>0</v>
      </c>
      <c r="J31" s="361">
        <f t="shared" si="18"/>
        <v>0</v>
      </c>
      <c r="K31" s="362">
        <f t="shared" si="19"/>
        <v>0</v>
      </c>
    </row>
    <row r="32" spans="1:22">
      <c r="B32" s="497">
        <v>9</v>
      </c>
      <c r="C32" s="498" t="s">
        <v>184</v>
      </c>
      <c r="D32" s="358" t="s">
        <v>1624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1">
        <f>F21*3</f>
        <v>3</v>
      </c>
      <c r="G32" s="360">
        <f ca="1">IF(ISERROR(OFFSET('HARGA SATUAN'!$I$6,MATCH(RAB!C32,'HARGA SATUAN'!$C$7:$C$1492,0),0)),0,OFFSET('HARGA SATUAN'!$I$6,MATCH(RAB!C32,'HARGA SATUAN'!$C$7:$C$1492,0),0))</f>
        <v>15900</v>
      </c>
      <c r="H32" s="361">
        <f t="shared" si="16"/>
        <v>0</v>
      </c>
      <c r="I32" s="361">
        <f t="shared" si="17"/>
        <v>0</v>
      </c>
      <c r="J32" s="361">
        <f t="shared" si="18"/>
        <v>0</v>
      </c>
      <c r="K32" s="362">
        <f t="shared" si="19"/>
        <v>0</v>
      </c>
    </row>
    <row r="33" spans="2:11">
      <c r="B33" s="497">
        <v>10</v>
      </c>
      <c r="C33" s="498" t="s">
        <v>593</v>
      </c>
      <c r="D33" s="358" t="s">
        <v>1624</v>
      </c>
      <c r="E33" s="359" t="str">
        <f ca="1">IF(B33="+","Unit",IF(ISERROR(OFFSET('HARGA SATUAN'!$E$6,MATCH(RAB!C33,'HARGA SATUAN'!$C$7:$C$1492,0),0)),"",OFFSET('HARGA SATUAN'!$E$6,MATCH(RAB!C33,'HARGA SATUAN'!$C$7:$C$1492,0),0)))</f>
        <v>Bh</v>
      </c>
      <c r="F33" s="501">
        <f>F21*5</f>
        <v>5</v>
      </c>
      <c r="G33" s="360">
        <f ca="1">IF(ISERROR(OFFSET('HARGA SATUAN'!$I$6,MATCH(RAB!C33,'HARGA SATUAN'!$C$7:$C$1492,0),0)),0,OFFSET('HARGA SATUAN'!$I$6,MATCH(RAB!C33,'HARGA SATUAN'!$C$7:$C$1492,0),0))</f>
        <v>380500</v>
      </c>
      <c r="H33" s="361">
        <f t="shared" si="16"/>
        <v>0</v>
      </c>
      <c r="I33" s="361">
        <f t="shared" si="17"/>
        <v>0</v>
      </c>
      <c r="J33" s="361">
        <f t="shared" si="18"/>
        <v>0</v>
      </c>
      <c r="K33" s="362">
        <f t="shared" si="19"/>
        <v>0</v>
      </c>
    </row>
    <row r="34" spans="2:11">
      <c r="B34" s="497">
        <v>11</v>
      </c>
      <c r="C34" s="498" t="s">
        <v>594</v>
      </c>
      <c r="D34" s="358" t="s">
        <v>1624</v>
      </c>
      <c r="E34" s="359" t="str">
        <f ca="1">IF(B34="+","Unit",IF(ISERROR(OFFSET('HARGA SATUAN'!$E$6,MATCH(RAB!C34,'HARGA SATUAN'!$C$7:$C$1492,0),0)),"",OFFSET('HARGA SATUAN'!$E$6,MATCH(RAB!C34,'HARGA SATUAN'!$C$7:$C$1492,0),0)))</f>
        <v>Bh</v>
      </c>
      <c r="F34" s="501">
        <f>F21*4</f>
        <v>4</v>
      </c>
      <c r="G34" s="360">
        <f ca="1">IF(ISERROR(OFFSET('HARGA SATUAN'!$I$6,MATCH(RAB!C34,'HARGA SATUAN'!$C$7:$C$1492,0),0)),0,OFFSET('HARGA SATUAN'!$I$6,MATCH(RAB!C34,'HARGA SATUAN'!$C$7:$C$1492,0),0))</f>
        <v>559200</v>
      </c>
      <c r="H34" s="361">
        <f t="shared" si="16"/>
        <v>0</v>
      </c>
      <c r="I34" s="361">
        <f t="shared" si="17"/>
        <v>0</v>
      </c>
      <c r="J34" s="361">
        <f t="shared" si="18"/>
        <v>0</v>
      </c>
      <c r="K34" s="362">
        <f t="shared" si="19"/>
        <v>0</v>
      </c>
    </row>
    <row r="35" spans="2:11">
      <c r="B35" s="497">
        <v>12</v>
      </c>
      <c r="C35" s="498" t="s">
        <v>208</v>
      </c>
      <c r="D35" s="358" t="s">
        <v>1624</v>
      </c>
      <c r="E35" s="359" t="str">
        <f ca="1">IF(B35="+","Unit",IF(ISERROR(OFFSET('HARGA SATUAN'!$E$6,MATCH(RAB!C35,'HARGA SATUAN'!$C$7:$C$1492,0),0)),"",OFFSET('HARGA SATUAN'!$E$6,MATCH(RAB!C35,'HARGA SATUAN'!$C$7:$C$1492,0),0)))</f>
        <v>Bh</v>
      </c>
      <c r="F35" s="501">
        <f>F21*3</f>
        <v>3</v>
      </c>
      <c r="G35" s="360">
        <f ca="1">IF(ISERROR(OFFSET('HARGA SATUAN'!$I$6,MATCH(RAB!C35,'HARGA SATUAN'!$C$7:$C$1492,0),0)),0,OFFSET('HARGA SATUAN'!$I$6,MATCH(RAB!C35,'HARGA SATUAN'!$C$7:$C$1492,0),0))</f>
        <v>173400</v>
      </c>
      <c r="H35" s="361">
        <f t="shared" si="16"/>
        <v>0</v>
      </c>
      <c r="I35" s="361">
        <f t="shared" si="17"/>
        <v>0</v>
      </c>
      <c r="J35" s="361">
        <f t="shared" si="18"/>
        <v>0</v>
      </c>
      <c r="K35" s="362">
        <f t="shared" si="19"/>
        <v>0</v>
      </c>
    </row>
    <row r="36" spans="2:11">
      <c r="B36" s="497">
        <v>13</v>
      </c>
      <c r="C36" s="498" t="s">
        <v>247</v>
      </c>
      <c r="D36" s="358" t="s">
        <v>1624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1">
        <f>F21*2</f>
        <v>2</v>
      </c>
      <c r="G36" s="360">
        <f ca="1">IF(ISERROR(OFFSET('HARGA SATUAN'!$I$6,MATCH(RAB!C36,'HARGA SATUAN'!$C$7:$C$1492,0),0)),0,OFFSET('HARGA SATUAN'!$I$6,MATCH(RAB!C36,'HARGA SATUAN'!$C$7:$C$1492,0),0))</f>
        <v>57690</v>
      </c>
      <c r="H36" s="361">
        <f t="shared" si="16"/>
        <v>0</v>
      </c>
      <c r="I36" s="361">
        <f t="shared" si="17"/>
        <v>0</v>
      </c>
      <c r="J36" s="361">
        <f t="shared" si="18"/>
        <v>0</v>
      </c>
      <c r="K36" s="362">
        <f t="shared" si="19"/>
        <v>0</v>
      </c>
    </row>
    <row r="37" spans="2:11">
      <c r="B37" s="497">
        <v>14</v>
      </c>
      <c r="C37" s="498" t="s">
        <v>248</v>
      </c>
      <c r="D37" s="358" t="s">
        <v>1624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1">
        <f>F21*2</f>
        <v>2</v>
      </c>
      <c r="G37" s="360">
        <f ca="1">IF(ISERROR(OFFSET('HARGA SATUAN'!$I$6,MATCH(RAB!C37,'HARGA SATUAN'!$C$7:$C$1492,0),0)),0,OFFSET('HARGA SATUAN'!$I$6,MATCH(RAB!C37,'HARGA SATUAN'!$C$7:$C$1492,0),0))</f>
        <v>60300</v>
      </c>
      <c r="H37" s="361">
        <f t="shared" si="16"/>
        <v>0</v>
      </c>
      <c r="I37" s="361">
        <f t="shared" si="17"/>
        <v>0</v>
      </c>
      <c r="J37" s="361">
        <f t="shared" si="18"/>
        <v>0</v>
      </c>
      <c r="K37" s="362">
        <f t="shared" si="19"/>
        <v>0</v>
      </c>
    </row>
    <row r="38" spans="2:11">
      <c r="B38" s="497">
        <v>15</v>
      </c>
      <c r="C38" s="498" t="s">
        <v>267</v>
      </c>
      <c r="D38" s="358" t="s">
        <v>1624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501">
        <f>F21*4</f>
        <v>4</v>
      </c>
      <c r="G38" s="360">
        <f ca="1">IF(ISERROR(OFFSET('HARGA SATUAN'!$I$6,MATCH(RAB!C38,'HARGA SATUAN'!$C$7:$C$1492,0),0)),0,OFFSET('HARGA SATUAN'!$I$6,MATCH(RAB!C38,'HARGA SATUAN'!$C$7:$C$1492,0),0))</f>
        <v>129000</v>
      </c>
      <c r="H38" s="361">
        <f t="shared" si="16"/>
        <v>0</v>
      </c>
      <c r="I38" s="361">
        <f t="shared" si="17"/>
        <v>0</v>
      </c>
      <c r="J38" s="361">
        <f t="shared" si="18"/>
        <v>0</v>
      </c>
      <c r="K38" s="362">
        <f t="shared" si="19"/>
        <v>0</v>
      </c>
    </row>
    <row r="39" spans="2:11" ht="26.25">
      <c r="B39" s="497">
        <v>16</v>
      </c>
      <c r="C39" s="512" t="s">
        <v>1626</v>
      </c>
      <c r="D39" s="513" t="s">
        <v>47</v>
      </c>
      <c r="E39" s="514" t="s">
        <v>14</v>
      </c>
      <c r="F39" s="514">
        <v>1</v>
      </c>
      <c r="G39" s="515">
        <v>398500</v>
      </c>
      <c r="H39" s="361">
        <f t="shared" si="16"/>
        <v>0</v>
      </c>
      <c r="I39" s="361">
        <f t="shared" si="17"/>
        <v>0</v>
      </c>
      <c r="J39" s="361">
        <f t="shared" si="18"/>
        <v>398500</v>
      </c>
      <c r="K39" s="362">
        <f t="shared" si="19"/>
        <v>398500</v>
      </c>
    </row>
    <row r="40" spans="2:11" ht="25.5">
      <c r="B40" s="493"/>
      <c r="C40" s="516" t="s">
        <v>1627</v>
      </c>
      <c r="D40" s="513" t="s">
        <v>47</v>
      </c>
      <c r="E40" s="514" t="s">
        <v>14</v>
      </c>
      <c r="F40" s="514">
        <v>1</v>
      </c>
      <c r="G40" s="515">
        <v>560800</v>
      </c>
      <c r="H40" s="361">
        <f t="shared" si="16"/>
        <v>0</v>
      </c>
      <c r="I40" s="361">
        <f t="shared" si="17"/>
        <v>0</v>
      </c>
      <c r="J40" s="361">
        <f t="shared" si="18"/>
        <v>560800</v>
      </c>
      <c r="K40" s="362">
        <f t="shared" si="19"/>
        <v>560800</v>
      </c>
    </row>
    <row r="41" spans="2:11">
      <c r="B41" s="493"/>
      <c r="C41" s="496"/>
      <c r="D41" s="358"/>
      <c r="E41" s="359"/>
      <c r="F41" s="502"/>
      <c r="G41" s="360"/>
      <c r="H41" s="361"/>
      <c r="I41" s="361"/>
      <c r="J41" s="361"/>
      <c r="K41" s="362"/>
    </row>
    <row r="42" spans="2:11">
      <c r="B42" s="494" t="s">
        <v>1613</v>
      </c>
      <c r="C42" s="500" t="s">
        <v>1621</v>
      </c>
      <c r="D42" s="358" t="str">
        <f ca="1">IF(ISERROR(OFFSET('HARGA SATUAN'!$D$6,MATCH(RAB!C42,'HARGA SATUAN'!$C$7:$C$1492,0),0)),"",OFFSET('HARGA SATUAN'!$D$6,MATCH(RAB!C42,'HARGA SATUAN'!$C$7:$C$1492,0),0))</f>
        <v/>
      </c>
      <c r="E42" s="359" t="str">
        <f ca="1">IF(B42="+","Unit",IF(ISERROR(OFFSET('HARGA SATUAN'!$E$6,MATCH(RAB!C42,'HARGA SATUAN'!$C$7:$C$1492,0),0)),"",OFFSET('HARGA SATUAN'!$E$6,MATCH(RAB!C42,'HARGA SATUAN'!$C$7:$C$1492,0),0)))</f>
        <v/>
      </c>
      <c r="F42" s="368"/>
      <c r="G42" s="360">
        <f ca="1">IF(ISERROR(OFFSET('HARGA SATUAN'!$I$6,MATCH(RAB!C42,'HARGA SATUAN'!$C$7:$C$1492,0),0)),0,OFFSET('HARGA SATUAN'!$I$6,MATCH(RAB!C42,'HARGA SATUAN'!$C$7:$C$1492,0),0))</f>
        <v>0</v>
      </c>
      <c r="H42" s="361">
        <f t="shared" ca="1" si="8"/>
        <v>0</v>
      </c>
      <c r="I42" s="361">
        <f t="shared" ca="1" si="9"/>
        <v>0</v>
      </c>
      <c r="J42" s="361">
        <f t="shared" ca="1" si="10"/>
        <v>0</v>
      </c>
      <c r="K42" s="362">
        <f t="shared" ca="1" si="11"/>
        <v>0</v>
      </c>
    </row>
    <row r="43" spans="2:11">
      <c r="B43" s="494" t="s">
        <v>1035</v>
      </c>
      <c r="C43" s="495" t="s">
        <v>1625</v>
      </c>
      <c r="D43" s="358" t="str">
        <f ca="1">IF(ISERROR(OFFSET('HARGA SATUAN'!$D$6,MATCH(RAB!C43,'HARGA SATUAN'!$C$7:$C$1492,0),0)),"",OFFSET('HARGA SATUAN'!$D$6,MATCH(RAB!C43,'HARGA SATUAN'!$C$7:$C$1492,0),0))</f>
        <v/>
      </c>
      <c r="E43" s="359" t="str">
        <f ca="1">IF(B43="+","Unit",IF(ISERROR(OFFSET('HARGA SATUAN'!$E$6,MATCH(RAB!C43,'HARGA SATUAN'!$C$7:$C$1492,0),0)),"",OFFSET('HARGA SATUAN'!$E$6,MATCH(RAB!C43,'HARGA SATUAN'!$C$7:$C$1492,0),0)))</f>
        <v>Unit</v>
      </c>
      <c r="F43" s="499">
        <v>1</v>
      </c>
      <c r="G43" s="360">
        <f ca="1">IF(ISERROR(OFFSET('HARGA SATUAN'!$I$6,MATCH(RAB!C43,'HARGA SATUAN'!$C$7:$C$1492,0),0)),0,OFFSET('HARGA SATUAN'!$I$6,MATCH(RAB!C43,'HARGA SATUAN'!$C$7:$C$1492,0),0))</f>
        <v>0</v>
      </c>
      <c r="H43" s="361">
        <f t="shared" ca="1" si="8"/>
        <v>0</v>
      </c>
      <c r="I43" s="361">
        <f t="shared" ca="1" si="9"/>
        <v>0</v>
      </c>
      <c r="J43" s="361">
        <f t="shared" ca="1" si="10"/>
        <v>0</v>
      </c>
      <c r="K43" s="362">
        <f t="shared" ca="1" si="11"/>
        <v>0</v>
      </c>
    </row>
    <row r="44" spans="2:11" ht="30">
      <c r="B44" s="510">
        <v>1</v>
      </c>
      <c r="C44" s="109" t="s">
        <v>1197</v>
      </c>
      <c r="D44" s="358" t="str">
        <f ca="1">IF(ISERROR(OFFSET('HARGA SATUAN'!$D$6,MATCH(RAB!C44,'HARGA SATUAN'!$C$7:$C$1492,0),0)),"",OFFSET('HARGA SATUAN'!$D$6,MATCH(RAB!C44,'HARGA SATUAN'!$C$7:$C$1492,0),0))</f>
        <v>MDU-KD</v>
      </c>
      <c r="E44" s="359" t="str">
        <f ca="1">IF(B44="+","Unit",IF(ISERROR(OFFSET('HARGA SATUAN'!$E$6,MATCH(RAB!C44,'HARGA SATUAN'!$C$7:$C$1492,0),0)),"",OFFSET('HARGA SATUAN'!$E$6,MATCH(RAB!C44,'HARGA SATUAN'!$C$7:$C$1492,0),0)))</f>
        <v>Bh</v>
      </c>
      <c r="F44" s="499">
        <f>F43*1</f>
        <v>1</v>
      </c>
      <c r="G44" s="360">
        <f ca="1">IF(ISERROR(OFFSET('HARGA SATUAN'!$I$6,MATCH(RAB!C44,'HARGA SATUAN'!$C$7:$C$1492,0),0)),0,OFFSET('HARGA SATUAN'!$I$6,MATCH(RAB!C44,'HARGA SATUAN'!$C$7:$C$1492,0),0))</f>
        <v>1427400</v>
      </c>
      <c r="H44" s="361">
        <f t="shared" ca="1" si="8"/>
        <v>1427400</v>
      </c>
      <c r="I44" s="361">
        <f t="shared" ca="1" si="9"/>
        <v>0</v>
      </c>
      <c r="J44" s="361">
        <f t="shared" ca="1" si="10"/>
        <v>0</v>
      </c>
      <c r="K44" s="362">
        <f t="shared" ca="1" si="11"/>
        <v>1427400</v>
      </c>
    </row>
    <row r="45" spans="2:11">
      <c r="B45" s="510">
        <v>2</v>
      </c>
      <c r="C45" s="511" t="s">
        <v>514</v>
      </c>
      <c r="D45" s="358" t="str">
        <f ca="1">IF(ISERROR(OFFSET('HARGA SATUAN'!$D$6,MATCH(RAB!C45,'HARGA SATUAN'!$C$7:$C$1492,0),0)),"",OFFSET('HARGA SATUAN'!$D$6,MATCH(RAB!C45,'HARGA SATUAN'!$C$7:$C$1492,0),0))</f>
        <v>MDU-KD</v>
      </c>
      <c r="E45" s="359" t="str">
        <f ca="1">IF(B45="+","Unit",IF(ISERROR(OFFSET('HARGA SATUAN'!$E$6,MATCH(RAB!C45,'HARGA SATUAN'!$C$7:$C$1492,0),0)),"",OFFSET('HARGA SATUAN'!$E$6,MATCH(RAB!C45,'HARGA SATUAN'!$C$7:$C$1492,0),0)))</f>
        <v>Unit</v>
      </c>
      <c r="F45" s="499">
        <f>F43*1</f>
        <v>1</v>
      </c>
      <c r="G45" s="360">
        <f ca="1">IF(ISERROR(OFFSET('HARGA SATUAN'!$I$6,MATCH(RAB!C45,'HARGA SATUAN'!$C$7:$C$1492,0),0)),0,OFFSET('HARGA SATUAN'!$I$6,MATCH(RAB!C45,'HARGA SATUAN'!$C$7:$C$1492,0),0))</f>
        <v>3564900</v>
      </c>
      <c r="H45" s="361">
        <f t="shared" ca="1" si="8"/>
        <v>3564900</v>
      </c>
      <c r="I45" s="361">
        <f t="shared" ca="1" si="9"/>
        <v>0</v>
      </c>
      <c r="J45" s="361">
        <f t="shared" ca="1" si="10"/>
        <v>0</v>
      </c>
      <c r="K45" s="362">
        <f t="shared" ca="1" si="11"/>
        <v>3564900</v>
      </c>
    </row>
    <row r="46" spans="2:11">
      <c r="B46" s="510">
        <v>3</v>
      </c>
      <c r="C46" s="511" t="s">
        <v>1142</v>
      </c>
      <c r="D46" s="358" t="str">
        <f ca="1">IF(ISERROR(OFFSET('HARGA SATUAN'!$D$6,MATCH(RAB!C46,'HARGA SATUAN'!$C$7:$C$1492,0),0)),"",OFFSET('HARGA SATUAN'!$D$6,MATCH(RAB!C46,'HARGA SATUAN'!$C$7:$C$1492,0),0))</f>
        <v>HDW</v>
      </c>
      <c r="E46" s="359" t="str">
        <f ca="1">IF(B46="+","Unit",IF(ISERROR(OFFSET('HARGA SATUAN'!$E$6,MATCH(RAB!C46,'HARGA SATUAN'!$C$7:$C$1492,0),0)),"",OFFSET('HARGA SATUAN'!$E$6,MATCH(RAB!C46,'HARGA SATUAN'!$C$7:$C$1492,0),0)))</f>
        <v>Unit</v>
      </c>
      <c r="F46" s="499">
        <f>F43*1</f>
        <v>1</v>
      </c>
      <c r="G46" s="360">
        <f ca="1">IF(ISERROR(OFFSET('HARGA SATUAN'!$I$6,MATCH(RAB!C46,'HARGA SATUAN'!$C$7:$C$1492,0),0)),0,OFFSET('HARGA SATUAN'!$I$6,MATCH(RAB!C46,'HARGA SATUAN'!$C$7:$C$1492,0),0))</f>
        <v>1113900</v>
      </c>
      <c r="H46" s="361">
        <f t="shared" ca="1" si="8"/>
        <v>0</v>
      </c>
      <c r="I46" s="361">
        <f t="shared" ca="1" si="9"/>
        <v>1113900</v>
      </c>
      <c r="J46" s="361">
        <f t="shared" ca="1" si="10"/>
        <v>0</v>
      </c>
      <c r="K46" s="362">
        <f t="shared" ca="1" si="11"/>
        <v>1113900</v>
      </c>
    </row>
    <row r="47" spans="2:11">
      <c r="B47" s="510">
        <v>4</v>
      </c>
      <c r="C47" s="511" t="s">
        <v>573</v>
      </c>
      <c r="D47" s="358" t="str">
        <f ca="1">IF(ISERROR(OFFSET('HARGA SATUAN'!$D$6,MATCH(RAB!C47,'HARGA SATUAN'!$C$7:$C$1492,0),0)),"",OFFSET('HARGA SATUAN'!$D$6,MATCH(RAB!C47,'HARGA SATUAN'!$C$7:$C$1492,0),0))</f>
        <v>HDW</v>
      </c>
      <c r="E47" s="359" t="str">
        <f ca="1">IF(B47="+","Unit",IF(ISERROR(OFFSET('HARGA SATUAN'!$E$6,MATCH(RAB!C47,'HARGA SATUAN'!$C$7:$C$1492,0),0)),"",OFFSET('HARGA SATUAN'!$E$6,MATCH(RAB!C47,'HARGA SATUAN'!$C$7:$C$1492,0),0)))</f>
        <v>Mtr</v>
      </c>
      <c r="F47" s="499">
        <f>F43*35</f>
        <v>35</v>
      </c>
      <c r="G47" s="360">
        <f ca="1">IF(ISERROR(OFFSET('HARGA SATUAN'!$I$6,MATCH(RAB!C47,'HARGA SATUAN'!$C$7:$C$1492,0),0)),0,OFFSET('HARGA SATUAN'!$I$6,MATCH(RAB!C47,'HARGA SATUAN'!$C$7:$C$1492,0),0))</f>
        <v>164883</v>
      </c>
      <c r="H47" s="361">
        <f t="shared" ca="1" si="8"/>
        <v>0</v>
      </c>
      <c r="I47" s="361">
        <f t="shared" ca="1" si="9"/>
        <v>5770905</v>
      </c>
      <c r="J47" s="361">
        <f t="shared" ca="1" si="10"/>
        <v>0</v>
      </c>
      <c r="K47" s="362">
        <f t="shared" ca="1" si="11"/>
        <v>5770905</v>
      </c>
    </row>
    <row r="48" spans="2:11">
      <c r="B48" s="510">
        <v>5</v>
      </c>
      <c r="C48" s="511" t="s">
        <v>799</v>
      </c>
      <c r="D48" s="358" t="str">
        <f ca="1">IF(ISERROR(OFFSET('HARGA SATUAN'!$D$6,MATCH(RAB!C48,'HARGA SATUAN'!$C$7:$C$1492,0),0)),"",OFFSET('HARGA SATUAN'!$D$6,MATCH(RAB!C48,'HARGA SATUAN'!$C$7:$C$1492,0),0))</f>
        <v>JASA</v>
      </c>
      <c r="E48" s="359" t="str">
        <f ca="1">IF(B48="+","Unit",IF(ISERROR(OFFSET('HARGA SATUAN'!$E$6,MATCH(RAB!C48,'HARGA SATUAN'!$C$7:$C$1492,0),0)),"",OFFSET('HARGA SATUAN'!$E$6,MATCH(RAB!C48,'HARGA SATUAN'!$C$7:$C$1492,0),0)))</f>
        <v>Unit</v>
      </c>
      <c r="F48" s="499">
        <f>F43*1</f>
        <v>1</v>
      </c>
      <c r="G48" s="360">
        <f ca="1">IF(ISERROR(OFFSET('HARGA SATUAN'!$I$6,MATCH(RAB!C48,'HARGA SATUAN'!$C$7:$C$1492,0),0)),0,OFFSET('HARGA SATUAN'!$I$6,MATCH(RAB!C48,'HARGA SATUAN'!$C$7:$C$1492,0),0))</f>
        <v>106400</v>
      </c>
      <c r="H48" s="361">
        <f t="shared" ca="1" si="8"/>
        <v>0</v>
      </c>
      <c r="I48" s="361">
        <f t="shared" ca="1" si="9"/>
        <v>0</v>
      </c>
      <c r="J48" s="361">
        <f t="shared" ca="1" si="10"/>
        <v>106400</v>
      </c>
      <c r="K48" s="362">
        <f t="shared" ca="1" si="11"/>
        <v>106400</v>
      </c>
    </row>
    <row r="49" spans="2:11">
      <c r="B49" s="374">
        <v>6</v>
      </c>
      <c r="C49" s="511" t="s">
        <v>982</v>
      </c>
      <c r="D49" s="358" t="str">
        <f ca="1">IF(ISERROR(OFFSET('HARGA SATUAN'!$D$6,MATCH(RAB!C49,'HARGA SATUAN'!$C$7:$C$1492,0),0)),"",OFFSET('HARGA SATUAN'!$D$6,MATCH(RAB!C49,'HARGA SATUAN'!$C$7:$C$1492,0),0))</f>
        <v>JASA</v>
      </c>
      <c r="E49" s="359" t="str">
        <f ca="1">IF(B49="+","Unit",IF(ISERROR(OFFSET('HARGA SATUAN'!$E$6,MATCH(RAB!C49,'HARGA SATUAN'!$C$7:$C$1492,0),0)),"",OFFSET('HARGA SATUAN'!$E$6,MATCH(RAB!C49,'HARGA SATUAN'!$C$7:$C$1492,0),0)))</f>
        <v>Unit</v>
      </c>
      <c r="F49" s="368">
        <f>F43</f>
        <v>1</v>
      </c>
      <c r="G49" s="360">
        <f ca="1">IF(ISERROR(OFFSET('HARGA SATUAN'!$I$6,MATCH(RAB!C49,'HARGA SATUAN'!$C$7:$C$1492,0),0)),0,OFFSET('HARGA SATUAN'!$I$6,MATCH(RAB!C49,'HARGA SATUAN'!$C$7:$C$1492,0),0))</f>
        <v>63840</v>
      </c>
      <c r="H49" s="361">
        <f t="shared" ca="1" si="8"/>
        <v>0</v>
      </c>
      <c r="I49" s="361">
        <f t="shared" ca="1" si="9"/>
        <v>0</v>
      </c>
      <c r="J49" s="361">
        <f t="shared" ca="1" si="10"/>
        <v>63840</v>
      </c>
      <c r="K49" s="362">
        <f t="shared" ca="1" si="11"/>
        <v>63840</v>
      </c>
    </row>
    <row r="50" spans="2:11">
      <c r="B50" s="374"/>
      <c r="C50" s="511"/>
      <c r="D50" s="358"/>
      <c r="E50" s="359"/>
      <c r="F50" s="368"/>
      <c r="G50" s="360"/>
      <c r="H50" s="361"/>
      <c r="I50" s="361"/>
      <c r="J50" s="361"/>
      <c r="K50" s="362"/>
    </row>
    <row r="51" spans="2:11">
      <c r="B51" s="497" t="s">
        <v>1035</v>
      </c>
      <c r="C51" s="498" t="s">
        <v>1616</v>
      </c>
      <c r="D51" s="358" t="str">
        <f ca="1">IF(ISERROR(OFFSET('HARGA SATUAN'!$D$6,MATCH(RAB!C51,'HARGA SATUAN'!$C$7:$C$1492,0),0)),"",OFFSET('HARGA SATUAN'!$D$6,MATCH(RAB!C51,'HARGA SATUAN'!$C$7:$C$1492,0),0))</f>
        <v/>
      </c>
      <c r="E51" s="359" t="str">
        <f ca="1">IF(B51="+","Unit",IF(ISERROR(OFFSET('HARGA SATUAN'!$E$6,MATCH(RAB!C51,'HARGA SATUAN'!$C$7:$C$1492,0),0)),"",OFFSET('HARGA SATUAN'!$E$6,MATCH(RAB!C51,'HARGA SATUAN'!$C$7:$C$1492,0),0)))</f>
        <v>Unit</v>
      </c>
      <c r="F51" s="501">
        <v>1</v>
      </c>
      <c r="G51" s="360">
        <f ca="1">IF(ISERROR(OFFSET('HARGA SATUAN'!$I$6,MATCH(RAB!C51,'HARGA SATUAN'!$C$7:$C$1492,0),0)),0,OFFSET('HARGA SATUAN'!$I$6,MATCH(RAB!C51,'HARGA SATUAN'!$C$7:$C$1492,0),0))</f>
        <v>0</v>
      </c>
      <c r="H51" s="361">
        <f t="shared" ca="1" si="8"/>
        <v>0</v>
      </c>
      <c r="I51" s="361">
        <f t="shared" ca="1" si="9"/>
        <v>0</v>
      </c>
      <c r="J51" s="361">
        <f t="shared" ca="1" si="10"/>
        <v>0</v>
      </c>
      <c r="K51" s="362">
        <f t="shared" ca="1" si="11"/>
        <v>0</v>
      </c>
    </row>
    <row r="52" spans="2:11">
      <c r="B52" s="497">
        <v>1</v>
      </c>
      <c r="C52" s="498" t="s">
        <v>29</v>
      </c>
      <c r="D52" s="358" t="str">
        <f ca="1">IF(ISERROR(OFFSET('HARGA SATUAN'!$D$6,MATCH(RAB!C52,'HARGA SATUAN'!$C$7:$C$1492,0),0)),"",OFFSET('HARGA SATUAN'!$D$6,MATCH(RAB!C52,'HARGA SATUAN'!$C$7:$C$1492,0),0))</f>
        <v>HDW</v>
      </c>
      <c r="E52" s="359" t="str">
        <f ca="1">IF(B52="+","Unit",IF(ISERROR(OFFSET('HARGA SATUAN'!$E$6,MATCH(RAB!C52,'HARGA SATUAN'!$C$7:$C$1492,0),0)),"",OFFSET('HARGA SATUAN'!$E$6,MATCH(RAB!C52,'HARGA SATUAN'!$C$7:$C$1492,0),0)))</f>
        <v>Bh</v>
      </c>
      <c r="F52" s="501">
        <f>F51*1</f>
        <v>1</v>
      </c>
      <c r="G52" s="360">
        <f ca="1">IF(ISERROR(OFFSET('HARGA SATUAN'!$I$6,MATCH(RAB!C52,'HARGA SATUAN'!$C$7:$C$1492,0),0)),0,OFFSET('HARGA SATUAN'!$I$6,MATCH(RAB!C52,'HARGA SATUAN'!$C$7:$C$1492,0),0))</f>
        <v>185200</v>
      </c>
      <c r="H52" s="361">
        <f t="shared" ca="1" si="8"/>
        <v>0</v>
      </c>
      <c r="I52" s="361">
        <f t="shared" ca="1" si="9"/>
        <v>185200</v>
      </c>
      <c r="J52" s="361">
        <f t="shared" ca="1" si="10"/>
        <v>0</v>
      </c>
      <c r="K52" s="362">
        <f t="shared" ca="1" si="11"/>
        <v>185200</v>
      </c>
    </row>
    <row r="53" spans="2:11">
      <c r="B53" s="497">
        <v>2</v>
      </c>
      <c r="C53" s="498" t="s">
        <v>30</v>
      </c>
      <c r="D53" s="358" t="str">
        <f ca="1">IF(ISERROR(OFFSET('HARGA SATUAN'!$D$6,MATCH(RAB!C53,'HARGA SATUAN'!$C$7:$C$1492,0),0)),"",OFFSET('HARGA SATUAN'!$D$6,MATCH(RAB!C53,'HARGA SATUAN'!$C$7:$C$1492,0),0))</f>
        <v>HDW</v>
      </c>
      <c r="E53" s="359" t="str">
        <f ca="1">IF(B53="+","Unit",IF(ISERROR(OFFSET('HARGA SATUAN'!$E$6,MATCH(RAB!C53,'HARGA SATUAN'!$C$7:$C$1492,0),0)),"",OFFSET('HARGA SATUAN'!$E$6,MATCH(RAB!C53,'HARGA SATUAN'!$C$7:$C$1492,0),0)))</f>
        <v>Bh</v>
      </c>
      <c r="F53" s="501">
        <f>F51*1</f>
        <v>1</v>
      </c>
      <c r="G53" s="360">
        <f ca="1">IF(ISERROR(OFFSET('HARGA SATUAN'!$I$6,MATCH(RAB!C53,'HARGA SATUAN'!$C$7:$C$1492,0),0)),0,OFFSET('HARGA SATUAN'!$I$6,MATCH(RAB!C53,'HARGA SATUAN'!$C$7:$C$1492,0),0))</f>
        <v>47459</v>
      </c>
      <c r="H53" s="361">
        <f t="shared" ca="1" si="8"/>
        <v>0</v>
      </c>
      <c r="I53" s="361">
        <f t="shared" ca="1" si="9"/>
        <v>47459</v>
      </c>
      <c r="J53" s="361">
        <f t="shared" ca="1" si="10"/>
        <v>0</v>
      </c>
      <c r="K53" s="362">
        <f t="shared" ca="1" si="11"/>
        <v>47459</v>
      </c>
    </row>
    <row r="54" spans="2:11">
      <c r="B54" s="497">
        <v>3</v>
      </c>
      <c r="C54" s="498" t="s">
        <v>32</v>
      </c>
      <c r="D54" s="358" t="str">
        <f ca="1">IF(ISERROR(OFFSET('HARGA SATUAN'!$D$6,MATCH(RAB!C54,'HARGA SATUAN'!$C$7:$C$1492,0),0)),"",OFFSET('HARGA SATUAN'!$D$6,MATCH(RAB!C54,'HARGA SATUAN'!$C$7:$C$1492,0),0))</f>
        <v>HDW</v>
      </c>
      <c r="E54" s="359" t="str">
        <f ca="1">IF(B54="+","Unit",IF(ISERROR(OFFSET('HARGA SATUAN'!$E$6,MATCH(RAB!C54,'HARGA SATUAN'!$C$7:$C$1492,0),0)),"",OFFSET('HARGA SATUAN'!$E$6,MATCH(RAB!C54,'HARGA SATUAN'!$C$7:$C$1492,0),0)))</f>
        <v>Mtr</v>
      </c>
      <c r="F54" s="501">
        <f>F51*1.5</f>
        <v>1.5</v>
      </c>
      <c r="G54" s="360">
        <f ca="1">IF(ISERROR(OFFSET('HARGA SATUAN'!$I$6,MATCH(RAB!C54,'HARGA SATUAN'!$C$7:$C$1492,0),0)),0,OFFSET('HARGA SATUAN'!$I$6,MATCH(RAB!C54,'HARGA SATUAN'!$C$7:$C$1492,0),0))</f>
        <v>30000</v>
      </c>
      <c r="H54" s="361">
        <f t="shared" ca="1" si="8"/>
        <v>0</v>
      </c>
      <c r="I54" s="361">
        <f t="shared" ca="1" si="9"/>
        <v>45000</v>
      </c>
      <c r="J54" s="361">
        <f t="shared" ca="1" si="10"/>
        <v>0</v>
      </c>
      <c r="K54" s="362">
        <f t="shared" ca="1" si="11"/>
        <v>45000</v>
      </c>
    </row>
    <row r="55" spans="2:11">
      <c r="B55" s="497">
        <v>4</v>
      </c>
      <c r="C55" s="498" t="s">
        <v>33</v>
      </c>
      <c r="D55" s="358" t="str">
        <f ca="1">IF(ISERROR(OFFSET('HARGA SATUAN'!$D$6,MATCH(RAB!C55,'HARGA SATUAN'!$C$7:$C$1492,0),0)),"",OFFSET('HARGA SATUAN'!$D$6,MATCH(RAB!C55,'HARGA SATUAN'!$C$7:$C$1492,0),0))</f>
        <v>HDW</v>
      </c>
      <c r="E55" s="359" t="str">
        <f ca="1">IF(B55="+","Unit",IF(ISERROR(OFFSET('HARGA SATUAN'!$E$6,MATCH(RAB!C55,'HARGA SATUAN'!$C$7:$C$1492,0),0)),"",OFFSET('HARGA SATUAN'!$E$6,MATCH(RAB!C55,'HARGA SATUAN'!$C$7:$C$1492,0),0)))</f>
        <v>Bh</v>
      </c>
      <c r="F55" s="501">
        <f>F51*2</f>
        <v>2</v>
      </c>
      <c r="G55" s="360">
        <f ca="1">IF(ISERROR(OFFSET('HARGA SATUAN'!$I$6,MATCH(RAB!C55,'HARGA SATUAN'!$C$7:$C$1492,0),0)),0,OFFSET('HARGA SATUAN'!$I$6,MATCH(RAB!C55,'HARGA SATUAN'!$C$7:$C$1492,0),0))</f>
        <v>9500</v>
      </c>
      <c r="H55" s="361">
        <f t="shared" ca="1" si="8"/>
        <v>0</v>
      </c>
      <c r="I55" s="361">
        <f t="shared" ca="1" si="9"/>
        <v>19000</v>
      </c>
      <c r="J55" s="361">
        <f t="shared" ca="1" si="10"/>
        <v>0</v>
      </c>
      <c r="K55" s="362">
        <f t="shared" ca="1" si="11"/>
        <v>19000</v>
      </c>
    </row>
    <row r="56" spans="2:11">
      <c r="B56" s="497">
        <v>5</v>
      </c>
      <c r="C56" s="498" t="s">
        <v>735</v>
      </c>
      <c r="D56" s="358" t="str">
        <f ca="1">IF(ISERROR(OFFSET('HARGA SATUAN'!$D$6,MATCH(RAB!C56,'HARGA SATUAN'!$C$7:$C$1492,0),0)),"",OFFSET('HARGA SATUAN'!$D$6,MATCH(RAB!C56,'HARGA SATUAN'!$C$7:$C$1492,0),0))</f>
        <v>JASA</v>
      </c>
      <c r="E56" s="359" t="str">
        <f ca="1">IF(B56="+","Unit",IF(ISERROR(OFFSET('HARGA SATUAN'!$E$6,MATCH(RAB!C56,'HARGA SATUAN'!$C$7:$C$1492,0),0)),"",OFFSET('HARGA SATUAN'!$E$6,MATCH(RAB!C56,'HARGA SATUAN'!$C$7:$C$1492,0),0)))</f>
        <v>Unit</v>
      </c>
      <c r="F56" s="501">
        <f>F51*1</f>
        <v>1</v>
      </c>
      <c r="G56" s="360">
        <f ca="1">IF(ISERROR(OFFSET('HARGA SATUAN'!$I$6,MATCH(RAB!C56,'HARGA SATUAN'!$C$7:$C$1492,0),0)),0,OFFSET('HARGA SATUAN'!$I$6,MATCH(RAB!C56,'HARGA SATUAN'!$C$7:$C$1492,0),0))</f>
        <v>56400</v>
      </c>
      <c r="H56" s="361">
        <f t="shared" ca="1" si="8"/>
        <v>0</v>
      </c>
      <c r="I56" s="361">
        <f t="shared" ca="1" si="9"/>
        <v>0</v>
      </c>
      <c r="J56" s="361">
        <f t="shared" ca="1" si="10"/>
        <v>56400</v>
      </c>
      <c r="K56" s="362">
        <f t="shared" ca="1" si="11"/>
        <v>56400</v>
      </c>
    </row>
    <row r="57" spans="2:11">
      <c r="B57" s="374"/>
      <c r="C57" s="373"/>
      <c r="D57" s="358" t="str">
        <f ca="1">IF(ISERROR(OFFSET('HARGA SATUAN'!$D$6,MATCH(RAB!C57,'HARGA SATUAN'!$C$7:$C$1492,0),0)),"",OFFSET('HARGA SATUAN'!$D$6,MATCH(RAB!C57,'HARGA SATUAN'!$C$7:$C$1492,0),0))</f>
        <v/>
      </c>
      <c r="E57" s="359" t="str">
        <f ca="1">IF(B57="+","Unit",IF(ISERROR(OFFSET('HARGA SATUAN'!$E$6,MATCH(RAB!C57,'HARGA SATUAN'!$C$7:$C$1492,0),0)),"",OFFSET('HARGA SATUAN'!$E$6,MATCH(RAB!C57,'HARGA SATUAN'!$C$7:$C$1492,0),0)))</f>
        <v/>
      </c>
      <c r="F57" s="368"/>
      <c r="G57" s="360">
        <f ca="1">IF(ISERROR(OFFSET('HARGA SATUAN'!$I$6,MATCH(RAB!C57,'HARGA SATUAN'!$C$7:$C$1492,0),0)),0,OFFSET('HARGA SATUAN'!$I$6,MATCH(RAB!C57,'HARGA SATUAN'!$C$7:$C$1492,0),0))</f>
        <v>0</v>
      </c>
      <c r="H57" s="361">
        <f t="shared" ref="H57:H69" ca="1" si="20">IF(OR(D57="MDU",D57="MDU-KD"),(IF($O$3="RAB NON MDU","PLN KD",G57*F57)),0)</f>
        <v>0</v>
      </c>
      <c r="I57" s="361">
        <f t="shared" ref="I57:I69" ca="1" si="21">IF(D57="HDW",G57*F57,0)</f>
        <v>0</v>
      </c>
      <c r="J57" s="361">
        <f t="shared" ref="J57:J69" ca="1" si="22">IF(D57="JASA",G57*F57,0)</f>
        <v>0</v>
      </c>
      <c r="K57" s="362">
        <f t="shared" ref="K57:K69" ca="1" si="23">SUM(H57:J57)</f>
        <v>0</v>
      </c>
    </row>
    <row r="58" spans="2:11">
      <c r="B58" s="506" t="s">
        <v>1035</v>
      </c>
      <c r="C58" s="509" t="s">
        <v>1619</v>
      </c>
      <c r="D58" s="358" t="str">
        <f ca="1">IF(ISERROR(OFFSET('HARGA SATUAN'!$D$6,MATCH(RAB!C58,'HARGA SATUAN'!$C$7:$C$1492,0),0)),"",OFFSET('HARGA SATUAN'!$D$6,MATCH(RAB!C58,'HARGA SATUAN'!$C$7:$C$1492,0),0))</f>
        <v/>
      </c>
      <c r="E58" s="359" t="str">
        <f ca="1">IF(B58="+","Unit",IF(ISERROR(OFFSET('HARGA SATUAN'!$E$6,MATCH(RAB!C58,'HARGA SATUAN'!$C$7:$C$1492,0),0)),"",OFFSET('HARGA SATUAN'!$E$6,MATCH(RAB!C58,'HARGA SATUAN'!$C$7:$C$1492,0),0)))</f>
        <v>Unit</v>
      </c>
      <c r="F58" s="508">
        <v>1</v>
      </c>
      <c r="G58" s="360">
        <f ca="1">IF(ISERROR(OFFSET('HARGA SATUAN'!$I$6,MATCH(RAB!C58,'HARGA SATUAN'!$C$7:$C$1492,0),0)),0,OFFSET('HARGA SATUAN'!$I$6,MATCH(RAB!C58,'HARGA SATUAN'!$C$7:$C$1492,0),0))</f>
        <v>0</v>
      </c>
      <c r="H58" s="361">
        <f t="shared" ref="H58:H67" ca="1" si="24">IF(OR(D58="MDU",D58="MDU-KD"),(IF($O$3="RAB NON MDU","PLN KD",G58*F58)),0)</f>
        <v>0</v>
      </c>
      <c r="I58" s="361">
        <f t="shared" ref="I58:I67" ca="1" si="25">IF(D58="HDW",G58*F58,0)</f>
        <v>0</v>
      </c>
      <c r="J58" s="361">
        <f t="shared" ref="J58:J67" ca="1" si="26">IF(D58="JASA",G58*F58,0)</f>
        <v>0</v>
      </c>
      <c r="K58" s="362">
        <f t="shared" ref="K58:K67" ca="1" si="27">SUM(H58:J58)</f>
        <v>0</v>
      </c>
    </row>
    <row r="59" spans="2:11">
      <c r="B59" s="506">
        <v>1</v>
      </c>
      <c r="C59" s="509" t="s">
        <v>163</v>
      </c>
      <c r="D59" s="358" t="str">
        <f ca="1">IF(ISERROR(OFFSET('HARGA SATUAN'!$D$6,MATCH(RAB!C59,'HARGA SATUAN'!$C$7:$C$1492,0),0)),"",OFFSET('HARGA SATUAN'!$D$6,MATCH(RAB!C59,'HARGA SATUAN'!$C$7:$C$1492,0),0))</f>
        <v>HDW</v>
      </c>
      <c r="E59" s="359" t="str">
        <f ca="1">IF(B59="+","Unit",IF(ISERROR(OFFSET('HARGA SATUAN'!$E$6,MATCH(RAB!C59,'HARGA SATUAN'!$C$7:$C$1492,0),0)),"",OFFSET('HARGA SATUAN'!$E$6,MATCH(RAB!C59,'HARGA SATUAN'!$C$7:$C$1492,0),0)))</f>
        <v>Bh</v>
      </c>
      <c r="F59" s="508">
        <f>F58*4</f>
        <v>4</v>
      </c>
      <c r="G59" s="360">
        <f ca="1">IF(ISERROR(OFFSET('HARGA SATUAN'!$I$6,MATCH(RAB!C59,'HARGA SATUAN'!$C$7:$C$1492,0),0)),0,OFFSET('HARGA SATUAN'!$I$6,MATCH(RAB!C59,'HARGA SATUAN'!$C$7:$C$1492,0),0))</f>
        <v>7938</v>
      </c>
      <c r="H59" s="361">
        <f t="shared" ca="1" si="24"/>
        <v>0</v>
      </c>
      <c r="I59" s="361">
        <f t="shared" ca="1" si="25"/>
        <v>31752</v>
      </c>
      <c r="J59" s="361">
        <f t="shared" ca="1" si="26"/>
        <v>0</v>
      </c>
      <c r="K59" s="362">
        <f t="shared" ca="1" si="27"/>
        <v>31752</v>
      </c>
    </row>
    <row r="60" spans="2:11">
      <c r="B60" s="506">
        <v>2</v>
      </c>
      <c r="C60" s="509" t="s">
        <v>593</v>
      </c>
      <c r="D60" s="358" t="str">
        <f ca="1">IF(ISERROR(OFFSET('HARGA SATUAN'!$D$6,MATCH(RAB!C60,'HARGA SATUAN'!$C$7:$C$1492,0),0)),"",OFFSET('HARGA SATUAN'!$D$6,MATCH(RAB!C60,'HARGA SATUAN'!$C$7:$C$1492,0),0))</f>
        <v>HDW</v>
      </c>
      <c r="E60" s="359" t="str">
        <f ca="1">IF(B60="+","Unit",IF(ISERROR(OFFSET('HARGA SATUAN'!$E$6,MATCH(RAB!C60,'HARGA SATUAN'!$C$7:$C$1492,0),0)),"",OFFSET('HARGA SATUAN'!$E$6,MATCH(RAB!C60,'HARGA SATUAN'!$C$7:$C$1492,0),0)))</f>
        <v>Bh</v>
      </c>
      <c r="F60" s="508">
        <f>F58*1</f>
        <v>1</v>
      </c>
      <c r="G60" s="360">
        <f ca="1">IF(ISERROR(OFFSET('HARGA SATUAN'!$I$6,MATCH(RAB!C60,'HARGA SATUAN'!$C$7:$C$1492,0),0)),0,OFFSET('HARGA SATUAN'!$I$6,MATCH(RAB!C60,'HARGA SATUAN'!$C$7:$C$1492,0),0))</f>
        <v>380500</v>
      </c>
      <c r="H60" s="361">
        <f t="shared" ca="1" si="24"/>
        <v>0</v>
      </c>
      <c r="I60" s="361">
        <f t="shared" ca="1" si="25"/>
        <v>380500</v>
      </c>
      <c r="J60" s="361">
        <f t="shared" ca="1" si="26"/>
        <v>0</v>
      </c>
      <c r="K60" s="362">
        <f t="shared" ca="1" si="27"/>
        <v>380500</v>
      </c>
    </row>
    <row r="61" spans="2:11">
      <c r="B61" s="506">
        <v>3</v>
      </c>
      <c r="C61" s="509" t="s">
        <v>248</v>
      </c>
      <c r="D61" s="358" t="str">
        <f ca="1">IF(ISERROR(OFFSET('HARGA SATUAN'!$D$6,MATCH(RAB!C61,'HARGA SATUAN'!$C$7:$C$1492,0),0)),"",OFFSET('HARGA SATUAN'!$D$6,MATCH(RAB!C61,'HARGA SATUAN'!$C$7:$C$1492,0),0))</f>
        <v>HDW</v>
      </c>
      <c r="E61" s="359" t="str">
        <f ca="1">IF(B61="+","Unit",IF(ISERROR(OFFSET('HARGA SATUAN'!$E$6,MATCH(RAB!C61,'HARGA SATUAN'!$C$7:$C$1492,0),0)),"",OFFSET('HARGA SATUAN'!$E$6,MATCH(RAB!C61,'HARGA SATUAN'!$C$7:$C$1492,0),0)))</f>
        <v>Bh</v>
      </c>
      <c r="F61" s="508">
        <f>F58*2</f>
        <v>2</v>
      </c>
      <c r="G61" s="360">
        <f ca="1">IF(ISERROR(OFFSET('HARGA SATUAN'!$I$6,MATCH(RAB!C61,'HARGA SATUAN'!$C$7:$C$1492,0),0)),0,OFFSET('HARGA SATUAN'!$I$6,MATCH(RAB!C61,'HARGA SATUAN'!$C$7:$C$1492,0),0))</f>
        <v>60300</v>
      </c>
      <c r="H61" s="361">
        <f t="shared" ca="1" si="24"/>
        <v>0</v>
      </c>
      <c r="I61" s="361">
        <f t="shared" ca="1" si="25"/>
        <v>120600</v>
      </c>
      <c r="J61" s="361">
        <f t="shared" ca="1" si="26"/>
        <v>0</v>
      </c>
      <c r="K61" s="362">
        <f t="shared" ca="1" si="27"/>
        <v>120600</v>
      </c>
    </row>
    <row r="62" spans="2:11">
      <c r="B62" s="506">
        <v>4</v>
      </c>
      <c r="C62" s="507" t="s">
        <v>595</v>
      </c>
      <c r="D62" s="358" t="str">
        <f ca="1">IF(ISERROR(OFFSET('HARGA SATUAN'!$D$6,MATCH(RAB!C62,'HARGA SATUAN'!$C$7:$C$1492,0),0)),"",OFFSET('HARGA SATUAN'!$D$6,MATCH(RAB!C62,'HARGA SATUAN'!$C$7:$C$1492,0),0))</f>
        <v>HDW</v>
      </c>
      <c r="E62" s="359" t="str">
        <f ca="1">IF(B62="+","Unit",IF(ISERROR(OFFSET('HARGA SATUAN'!$E$6,MATCH(RAB!C62,'HARGA SATUAN'!$C$7:$C$1492,0),0)),"",OFFSET('HARGA SATUAN'!$E$6,MATCH(RAB!C62,'HARGA SATUAN'!$C$7:$C$1492,0),0)))</f>
        <v>Bh</v>
      </c>
      <c r="F62" s="501">
        <f>F58*1</f>
        <v>1</v>
      </c>
      <c r="G62" s="360">
        <f ca="1">IF(ISERROR(OFFSET('HARGA SATUAN'!$I$6,MATCH(RAB!C62,'HARGA SATUAN'!$C$7:$C$1492,0),0)),0,OFFSET('HARGA SATUAN'!$I$6,MATCH(RAB!C62,'HARGA SATUAN'!$C$7:$C$1492,0),0))</f>
        <v>78500</v>
      </c>
      <c r="H62" s="361">
        <f t="shared" ca="1" si="24"/>
        <v>0</v>
      </c>
      <c r="I62" s="361">
        <f t="shared" ca="1" si="25"/>
        <v>78500</v>
      </c>
      <c r="J62" s="361">
        <f t="shared" ca="1" si="26"/>
        <v>0</v>
      </c>
      <c r="K62" s="362">
        <f t="shared" ca="1" si="27"/>
        <v>78500</v>
      </c>
    </row>
    <row r="63" spans="2:11">
      <c r="B63" s="506">
        <v>5</v>
      </c>
      <c r="C63" s="507" t="s">
        <v>229</v>
      </c>
      <c r="D63" s="358" t="str">
        <f ca="1">IF(ISERROR(OFFSET('HARGA SATUAN'!$D$6,MATCH(RAB!C63,'HARGA SATUAN'!$C$7:$C$1492,0),0)),"",OFFSET('HARGA SATUAN'!$D$6,MATCH(RAB!C63,'HARGA SATUAN'!$C$7:$C$1492,0),0))</f>
        <v>HDW</v>
      </c>
      <c r="E63" s="359" t="str">
        <f ca="1">IF(B63="+","Unit",IF(ISERROR(OFFSET('HARGA SATUAN'!$E$6,MATCH(RAB!C63,'HARGA SATUAN'!$C$7:$C$1492,0),0)),"",OFFSET('HARGA SATUAN'!$E$6,MATCH(RAB!C63,'HARGA SATUAN'!$C$7:$C$1492,0),0)))</f>
        <v>Bh</v>
      </c>
      <c r="F63" s="501">
        <f>F58*1</f>
        <v>1</v>
      </c>
      <c r="G63" s="360">
        <f ca="1">IF(ISERROR(OFFSET('HARGA SATUAN'!$I$6,MATCH(RAB!C63,'HARGA SATUAN'!$C$7:$C$1492,0),0)),0,OFFSET('HARGA SATUAN'!$I$6,MATCH(RAB!C63,'HARGA SATUAN'!$C$7:$C$1492,0),0))</f>
        <v>4212</v>
      </c>
      <c r="H63" s="361">
        <f t="shared" ca="1" si="24"/>
        <v>0</v>
      </c>
      <c r="I63" s="361">
        <f t="shared" ca="1" si="25"/>
        <v>4212</v>
      </c>
      <c r="J63" s="361">
        <f t="shared" ca="1" si="26"/>
        <v>0</v>
      </c>
      <c r="K63" s="362">
        <f t="shared" ca="1" si="27"/>
        <v>4212</v>
      </c>
    </row>
    <row r="64" spans="2:11">
      <c r="B64" s="506">
        <v>6</v>
      </c>
      <c r="C64" s="507" t="s">
        <v>266</v>
      </c>
      <c r="D64" s="358" t="str">
        <f ca="1">IF(ISERROR(OFFSET('HARGA SATUAN'!$D$6,MATCH(RAB!C64,'HARGA SATUAN'!$C$7:$C$1492,0),0)),"",OFFSET('HARGA SATUAN'!$D$6,MATCH(RAB!C64,'HARGA SATUAN'!$C$7:$C$1492,0),0))</f>
        <v>HDW</v>
      </c>
      <c r="E64" s="359" t="str">
        <f ca="1">IF(B64="+","Unit",IF(ISERROR(OFFSET('HARGA SATUAN'!$E$6,MATCH(RAB!C64,'HARGA SATUAN'!$C$7:$C$1492,0),0)),"",OFFSET('HARGA SATUAN'!$E$6,MATCH(RAB!C64,'HARGA SATUAN'!$C$7:$C$1492,0),0)))</f>
        <v>Mtr</v>
      </c>
      <c r="F64" s="501">
        <f>F58*1</f>
        <v>1</v>
      </c>
      <c r="G64" s="360">
        <f ca="1">IF(ISERROR(OFFSET('HARGA SATUAN'!$I$6,MATCH(RAB!C64,'HARGA SATUAN'!$C$7:$C$1492,0),0)),0,OFFSET('HARGA SATUAN'!$I$6,MATCH(RAB!C64,'HARGA SATUAN'!$C$7:$C$1492,0),0))</f>
        <v>23310</v>
      </c>
      <c r="H64" s="361">
        <f t="shared" ca="1" si="24"/>
        <v>0</v>
      </c>
      <c r="I64" s="361">
        <f t="shared" ca="1" si="25"/>
        <v>23310</v>
      </c>
      <c r="J64" s="361">
        <f t="shared" ca="1" si="26"/>
        <v>0</v>
      </c>
      <c r="K64" s="362">
        <f t="shared" ca="1" si="27"/>
        <v>23310</v>
      </c>
    </row>
    <row r="65" spans="2:13">
      <c r="B65" s="506">
        <v>7</v>
      </c>
      <c r="C65" s="507" t="s">
        <v>35</v>
      </c>
      <c r="D65" s="358" t="str">
        <f ca="1">IF(ISERROR(OFFSET('HARGA SATUAN'!$D$6,MATCH(RAB!C65,'HARGA SATUAN'!$C$7:$C$1492,0),0)),"",OFFSET('HARGA SATUAN'!$D$6,MATCH(RAB!C65,'HARGA SATUAN'!$C$7:$C$1492,0),0))</f>
        <v>HDW</v>
      </c>
      <c r="E65" s="359" t="str">
        <f ca="1">IF(B65="+","Unit",IF(ISERROR(OFFSET('HARGA SATUAN'!$E$6,MATCH(RAB!C65,'HARGA SATUAN'!$C$7:$C$1492,0),0)),"",OFFSET('HARGA SATUAN'!$E$6,MATCH(RAB!C65,'HARGA SATUAN'!$C$7:$C$1492,0),0)))</f>
        <v>Bh</v>
      </c>
      <c r="F65" s="501">
        <f>F58*1</f>
        <v>1</v>
      </c>
      <c r="G65" s="360">
        <f ca="1">IF(ISERROR(OFFSET('HARGA SATUAN'!$I$6,MATCH(RAB!C65,'HARGA SATUAN'!$C$7:$C$1492,0),0)),0,OFFSET('HARGA SATUAN'!$I$6,MATCH(RAB!C65,'HARGA SATUAN'!$C$7:$C$1492,0),0))</f>
        <v>2300</v>
      </c>
      <c r="H65" s="361">
        <f t="shared" ca="1" si="24"/>
        <v>0</v>
      </c>
      <c r="I65" s="361">
        <f t="shared" ca="1" si="25"/>
        <v>2300</v>
      </c>
      <c r="J65" s="361">
        <f t="shared" ca="1" si="26"/>
        <v>0</v>
      </c>
      <c r="K65" s="362">
        <f t="shared" ca="1" si="27"/>
        <v>2300</v>
      </c>
    </row>
    <row r="66" spans="2:13">
      <c r="B66" s="374"/>
      <c r="C66" s="373"/>
      <c r="D66" s="358" t="str">
        <f ca="1">IF(ISERROR(OFFSET('HARGA SATUAN'!$D$6,MATCH(RAB!C66,'HARGA SATUAN'!$C$7:$C$1492,0),0)),"",OFFSET('HARGA SATUAN'!$D$6,MATCH(RAB!C66,'HARGA SATUAN'!$C$7:$C$1492,0),0))</f>
        <v/>
      </c>
      <c r="E66" s="359" t="str">
        <f ca="1">IF(B66="+","Unit",IF(ISERROR(OFFSET('HARGA SATUAN'!$E$6,MATCH(RAB!C66,'HARGA SATUAN'!$C$7:$C$1492,0),0)),"",OFFSET('HARGA SATUAN'!$E$6,MATCH(RAB!C66,'HARGA SATUAN'!$C$7:$C$1492,0),0)))</f>
        <v/>
      </c>
      <c r="F66" s="368"/>
      <c r="G66" s="360">
        <f ca="1">IF(ISERROR(OFFSET('HARGA SATUAN'!$I$6,MATCH(RAB!C66,'HARGA SATUAN'!$C$7:$C$1492,0),0)),0,OFFSET('HARGA SATUAN'!$I$6,MATCH(RAB!C66,'HARGA SATUAN'!$C$7:$C$1492,0),0))</f>
        <v>0</v>
      </c>
      <c r="H66" s="361">
        <f t="shared" ca="1" si="24"/>
        <v>0</v>
      </c>
      <c r="I66" s="361">
        <f t="shared" ca="1" si="25"/>
        <v>0</v>
      </c>
      <c r="J66" s="361">
        <f t="shared" ca="1" si="26"/>
        <v>0</v>
      </c>
      <c r="K66" s="362">
        <f t="shared" ca="1" si="27"/>
        <v>0</v>
      </c>
    </row>
    <row r="67" spans="2:13">
      <c r="B67" s="366" t="s">
        <v>22</v>
      </c>
      <c r="C67" s="367" t="s">
        <v>1615</v>
      </c>
      <c r="D67" s="358" t="str">
        <f ca="1">IF(ISERROR(OFFSET('HARGA SATUAN'!$D$6,MATCH(RAB!C67,'HARGA SATUAN'!$C$7:$C$1492,0),0)),"",OFFSET('HARGA SATUAN'!$D$6,MATCH(RAB!C67,'HARGA SATUAN'!$C$7:$C$1492,0),0))</f>
        <v/>
      </c>
      <c r="E67" s="359" t="str">
        <f ca="1">IF(B67="+","Unit",IF(ISERROR(OFFSET('HARGA SATUAN'!$E$6,MATCH(RAB!C67,'HARGA SATUAN'!$C$7:$C$1492,0),0)),"",OFFSET('HARGA SATUAN'!$E$6,MATCH(RAB!C67,'HARGA SATUAN'!$C$7:$C$1492,0),0)))</f>
        <v/>
      </c>
      <c r="F67" s="368"/>
      <c r="G67" s="360">
        <f ca="1">IF(ISERROR(OFFSET('HARGA SATUAN'!$I$6,MATCH(RAB!C67,'HARGA SATUAN'!$C$7:$C$1492,0),0)),0,OFFSET('HARGA SATUAN'!$I$6,MATCH(RAB!C67,'HARGA SATUAN'!$C$7:$C$1492,0),0))</f>
        <v>0</v>
      </c>
      <c r="H67" s="361">
        <f t="shared" ca="1" si="24"/>
        <v>0</v>
      </c>
      <c r="I67" s="361">
        <f t="shared" ca="1" si="25"/>
        <v>0</v>
      </c>
      <c r="J67" s="361">
        <f t="shared" ca="1" si="26"/>
        <v>0</v>
      </c>
      <c r="K67" s="362">
        <f t="shared" ca="1" si="27"/>
        <v>0</v>
      </c>
    </row>
    <row r="68" spans="2:13">
      <c r="B68" s="374"/>
      <c r="C68" s="373"/>
      <c r="D68" s="358" t="str">
        <f ca="1">IF(ISERROR(OFFSET('HARGA SATUAN'!$D$6,MATCH(RAB!C68,'HARGA SATUAN'!$C$7:$C$1492,0),0)),"",OFFSET('HARGA SATUAN'!$D$6,MATCH(RAB!C68,'HARGA SATUAN'!$C$7:$C$1492,0),0))</f>
        <v/>
      </c>
      <c r="E68" s="359" t="str">
        <f ca="1">IF(B68="+","Unit",IF(ISERROR(OFFSET('HARGA SATUAN'!$E$6,MATCH(RAB!C68,'HARGA SATUAN'!$C$7:$C$1492,0),0)),"",OFFSET('HARGA SATUAN'!$E$6,MATCH(RAB!C68,'HARGA SATUAN'!$C$7:$C$1492,0),0)))</f>
        <v/>
      </c>
      <c r="F68" s="368"/>
      <c r="G68" s="360">
        <f ca="1">IF(ISERROR(OFFSET('HARGA SATUAN'!$I$6,MATCH(RAB!C68,'HARGA SATUAN'!$C$7:$C$1492,0),0)),0,OFFSET('HARGA SATUAN'!$I$6,MATCH(RAB!C68,'HARGA SATUAN'!$C$7:$C$1492,0),0))</f>
        <v>0</v>
      </c>
      <c r="H68" s="361">
        <f t="shared" ca="1" si="20"/>
        <v>0</v>
      </c>
      <c r="I68" s="361">
        <f t="shared" ca="1" si="21"/>
        <v>0</v>
      </c>
      <c r="J68" s="361">
        <f t="shared" ca="1" si="22"/>
        <v>0</v>
      </c>
      <c r="K68" s="362">
        <f t="shared" ca="1" si="23"/>
        <v>0</v>
      </c>
    </row>
    <row r="69" spans="2:13">
      <c r="B69" s="375"/>
      <c r="C69" s="376" t="s">
        <v>475</v>
      </c>
      <c r="D69" s="358" t="str">
        <f ca="1">IF(ISERROR(OFFSET('HARGA SATUAN'!$D$6,MATCH(RAB!C69,'HARGA SATUAN'!$C$7:$C$1492,0),0)),"",OFFSET('HARGA SATUAN'!$D$6,MATCH(RAB!C69,'HARGA SATUAN'!$C$7:$C$1492,0),0))</f>
        <v/>
      </c>
      <c r="E69" s="359" t="str">
        <f ca="1">IF(B69="+","Unit",IF(ISERROR(OFFSET('HARGA SATUAN'!$E$6,MATCH(RAB!C69,'HARGA SATUAN'!$C$7:$C$1492,0),0)),"",OFFSET('HARGA SATUAN'!$E$6,MATCH(RAB!C69,'HARGA SATUAN'!$C$7:$C$1492,0),0)))</f>
        <v/>
      </c>
      <c r="F69" s="368"/>
      <c r="G69" s="360">
        <f ca="1">IF(ISERROR(OFFSET('HARGA SATUAN'!$I$6,MATCH(RAB!C69,'HARGA SATUAN'!$C$7:$C$1492,0),0)),0,OFFSET('HARGA SATUAN'!$I$6,MATCH(RAB!C69,'HARGA SATUAN'!$C$7:$C$1492,0),0))</f>
        <v>0</v>
      </c>
      <c r="H69" s="361">
        <f t="shared" ca="1" si="20"/>
        <v>0</v>
      </c>
      <c r="I69" s="361">
        <f t="shared" ca="1" si="21"/>
        <v>0</v>
      </c>
      <c r="J69" s="361">
        <f t="shared" ca="1" si="22"/>
        <v>0</v>
      </c>
      <c r="K69" s="362">
        <f t="shared" ca="1" si="23"/>
        <v>0</v>
      </c>
    </row>
    <row r="70" spans="2:13">
      <c r="B70" s="378">
        <v>1</v>
      </c>
      <c r="C70" s="379" t="s">
        <v>1091</v>
      </c>
      <c r="D70" s="380" t="str">
        <f ca="1">IF(ISERROR(OFFSET('HARGA SATUAN'!$D$6,MATCH(RAB!C70,'HARGA SATUAN'!$C$7:$C$1492,0),0)),"",OFFSET('HARGA SATUAN'!$D$6,MATCH(RAB!C70,'HARGA SATUAN'!$C$7:$C$1492,0),0))</f>
        <v>JASA</v>
      </c>
      <c r="E70" s="381" t="str">
        <f ca="1">IF(ISERROR(OFFSET('HARGA SATUAN'!$E$6,MATCH(RAB!C70,'HARGA SATUAN'!$C$7:$C$1492,0),0)),"",OFFSET('HARGA SATUAN'!$E$6,MATCH(RAB!C70,'HARGA SATUAN'!$C$7:$C$1492,0),0))</f>
        <v>Lot</v>
      </c>
      <c r="F70" s="382">
        <v>1</v>
      </c>
      <c r="G70" s="383">
        <f ca="1">IF(ISERROR(OFFSET('HARGA SATUAN'!$I$6,MATCH(RAB!C70,'HARGA SATUAN'!$C$7:$C$1492,0),0)),0,OFFSET('HARGA SATUAN'!$I$6,MATCH(RAB!C70,'HARGA SATUAN'!$C$7:$C$1492,0),0))</f>
        <v>2.5000000000000001E-2</v>
      </c>
      <c r="H70" s="384"/>
      <c r="I70" s="384"/>
      <c r="J70" s="384">
        <f ca="1">SUM(K15:K17)*G70</f>
        <v>0</v>
      </c>
      <c r="K70" s="385">
        <f ca="1">SUM(H70:J70)</f>
        <v>0</v>
      </c>
    </row>
    <row r="71" spans="2:13">
      <c r="B71" s="386"/>
      <c r="C71" s="387"/>
      <c r="D71" s="358" t="str">
        <f ca="1">IF(ISERROR(OFFSET('HARGA SATUAN'!$D$6,MATCH(RAB!C71,'HARGA SATUAN'!$C$7:$C$1492,0),0)),"",OFFSET('HARGA SATUAN'!$D$6,MATCH(RAB!C71,'HARGA SATUAN'!$C$7:$C$1492,0),0))</f>
        <v/>
      </c>
      <c r="E71" s="359" t="str">
        <f ca="1">IF(ISERROR(OFFSET('HARGA SATUAN'!$E$6,MATCH(RAB!C71,'HARGA SATUAN'!$C$7:$C$1492,0),0)),"",OFFSET('HARGA SATUAN'!$E$6,MATCH(RAB!C71,'HARGA SATUAN'!$C$7:$C$1492,0),0))</f>
        <v/>
      </c>
      <c r="F71" s="377"/>
      <c r="G71" s="360" t="str">
        <f ca="1">IF(ISERROR(OFFSET('HARGA SATUAN'!$I$6,MATCH(RAB!C71,'HARGA SATUAN'!$C$7:$C$1492,0),0)),"",OFFSET('HARGA SATUAN'!$I$6,MATCH(RAB!C71,'HARGA SATUAN'!$C$7:$C$1492,0),0))</f>
        <v/>
      </c>
      <c r="H71" s="361">
        <f ca="1">IF(OR(D71="MDU",D71="MDU-KD"),IF(G71="PLN",0,G71*F71),0)</f>
        <v>0</v>
      </c>
      <c r="I71" s="361">
        <f ca="1">IF(D71="HDW",IF(G71="PLN",0,G71*F71),0)</f>
        <v>0</v>
      </c>
      <c r="J71" s="361">
        <f ca="1">IF(D71="JASA",IF(G71="PLN",0,G71*F71),0)</f>
        <v>0</v>
      </c>
      <c r="K71" s="362">
        <f ca="1">SUM(H71:J71)</f>
        <v>0</v>
      </c>
    </row>
    <row r="72" spans="2:13" ht="15.75" thickBot="1">
      <c r="B72" s="388"/>
      <c r="C72" s="389"/>
      <c r="D72" s="390"/>
      <c r="E72" s="391"/>
      <c r="F72" s="391"/>
      <c r="G72" s="391"/>
      <c r="H72" s="392"/>
      <c r="I72" s="392"/>
      <c r="J72" s="392"/>
      <c r="K72" s="393"/>
    </row>
    <row r="73" spans="2:13">
      <c r="B73" s="394"/>
      <c r="C73" s="636" t="s">
        <v>1008</v>
      </c>
      <c r="D73" s="636"/>
      <c r="E73" s="636"/>
      <c r="F73" s="636"/>
      <c r="G73" s="395" t="s">
        <v>9</v>
      </c>
      <c r="H73" s="396">
        <f ca="1">SUM(H14:H71)</f>
        <v>36623100</v>
      </c>
      <c r="I73" s="396">
        <f ca="1">SUM(I14:I71)</f>
        <v>7822638</v>
      </c>
      <c r="J73" s="396">
        <f ca="1">SUM(J14:J71)</f>
        <v>1185940</v>
      </c>
      <c r="K73" s="396">
        <f ca="1">SUM(K14:K71)</f>
        <v>45631678</v>
      </c>
    </row>
    <row r="74" spans="2:13">
      <c r="B74" s="397"/>
      <c r="C74" s="619" t="s">
        <v>1457</v>
      </c>
      <c r="D74" s="619"/>
      <c r="E74" s="619"/>
      <c r="F74" s="619"/>
      <c r="G74" s="398" t="s">
        <v>9</v>
      </c>
      <c r="H74" s="399">
        <f ca="1">H73*0.11</f>
        <v>4028541</v>
      </c>
      <c r="I74" s="399">
        <f ca="1">I73*0.11</f>
        <v>860490.18</v>
      </c>
      <c r="J74" s="399">
        <f ca="1">J73*0.11</f>
        <v>130453.4</v>
      </c>
      <c r="K74" s="399">
        <f ca="1">K73*0.11</f>
        <v>5019484.58</v>
      </c>
    </row>
    <row r="75" spans="2:13" ht="15.75" thickBot="1">
      <c r="B75" s="397"/>
      <c r="C75" s="617" t="s">
        <v>463</v>
      </c>
      <c r="D75" s="617"/>
      <c r="E75" s="617"/>
      <c r="F75" s="617"/>
      <c r="G75" s="400" t="s">
        <v>9</v>
      </c>
      <c r="H75" s="401">
        <f ca="1">SUM(H73:H74)</f>
        <v>40651641</v>
      </c>
      <c r="I75" s="401">
        <f ca="1">SUM(I73:I74)</f>
        <v>8683128.1799999997</v>
      </c>
      <c r="J75" s="400">
        <f ca="1">SUM(J73:J74)</f>
        <v>1316393.3999999999</v>
      </c>
      <c r="K75" s="400">
        <f ca="1">SUM(K73:K74)</f>
        <v>50651162.579999998</v>
      </c>
      <c r="M75" s="483"/>
    </row>
    <row r="76" spans="2:13">
      <c r="B76" s="620" t="str">
        <f ca="1">"Terbilang : "&amp;PROPER(IF(K75=0,"nol",IF(K75&lt;0,"minus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IF(--MID(TEXT(ABS(K75),"000000000000000"),1,3)=0,"",MID(TEXT(ABS(K75),"000000000000000"),1,1)&amp;" ratus "&amp;MID(TEXT(ABS(K75),"000000000000000"),2,1)&amp;" puluh "&amp;MID(TEXT(ABS(K75),"000000000000000"),3,1)&amp;" trilyun ")&amp; IF(--MID(TEXT(ABS(K75),"000000000000000"),4,3)=0,"",MID(TEXT(ABS(K75),"000000000000000"),4,1)&amp;" ratus "&amp;MID(TEXT(ABS(K75),"000000000000000"),5,1)&amp;" puluh "&amp;MID(TEXT(ABS(K75),"000000000000000"),6,1)&amp;" milyar ")&amp; IF(--MID(TEXT(ABS(K75),"000000000000000"),7,3)=0,"",MID(TEXT(ABS(K75),"000000000000000"),7,1)&amp;" ratus "&amp;MID(TEXT(ABS(K75),"000000000000000"),8,1)&amp;" puluh "&amp;MID(TEXT(ABS(K75),"000000000000000"),9,1)&amp;" juta ")&amp; IF(--MID(TEXT(ABS(K75),"000000000000000"),10,3)=0,"",IF(--MID(TEXT(ABS(K75),"000000000000000"),10,3)=1,"*",MID(TEXT(ABS(K75),"000000000000000"),10,1)&amp;" ratus "&amp;MID(TEXT(ABS(K75),"000000000000000"),11,1)&amp;" puluh ")&amp;MID(TEXT(ABS(K75),"000000000000000"),12,1)&amp;" ribu ")&amp; IF(--MID(TEXT(ABS(K75),"000000000000000"),13,3)=0,"",MID(TEXT(ABS(K75),"000000000000000"),13,1)&amp;" ratus "&amp;MID(TEXT(ABS(K75),"000000000000000"),14,1)&amp;" puluh "&amp;MID(TEXT(ABS(K75),"000000000000000"),15,1)),1,"satu"),2,"dua"),3,"tiga"),4,"empat"),5,"lima"),6,"enam"),7,"tujuh"),8,"delapan"),9,"sembilan"),"0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Lima Puluh Juta Enam Ratus Lima Puluh Satu Ribu Seratus Enam Puluh Tiga Rupiah</v>
      </c>
      <c r="C76" s="621"/>
      <c r="D76" s="621"/>
      <c r="E76" s="621"/>
      <c r="F76" s="621"/>
      <c r="G76" s="621"/>
      <c r="H76" s="621"/>
      <c r="I76" s="621"/>
      <c r="J76" s="621"/>
      <c r="K76" s="622"/>
    </row>
    <row r="77" spans="2:13">
      <c r="B77" s="623"/>
      <c r="C77" s="624"/>
      <c r="D77" s="624"/>
      <c r="E77" s="624"/>
      <c r="F77" s="624"/>
      <c r="G77" s="624"/>
      <c r="H77" s="624"/>
      <c r="I77" s="624"/>
      <c r="J77" s="624"/>
      <c r="K77" s="625"/>
    </row>
    <row r="78" spans="2:13" ht="15.75" thickBot="1">
      <c r="B78" s="402" t="str">
        <f>"Harga yang dipakai adalah "&amp;'HARGA SATUAN'!I5&amp;""</f>
        <v>Harga yang dipakai adalah RAB HSS 2023</v>
      </c>
      <c r="C78" s="403"/>
      <c r="D78" s="404"/>
      <c r="E78" s="404"/>
      <c r="F78" s="404"/>
      <c r="G78" s="405"/>
      <c r="H78" s="405"/>
      <c r="I78" s="405"/>
      <c r="J78" s="405"/>
      <c r="K78" s="406"/>
    </row>
    <row r="79" spans="2:13">
      <c r="C79" s="407"/>
      <c r="E79" s="409"/>
      <c r="F79" s="409"/>
      <c r="G79" s="409"/>
    </row>
    <row r="80" spans="2:13">
      <c r="C80" s="337"/>
      <c r="E80" s="409"/>
      <c r="F80" s="409"/>
      <c r="G80" s="409"/>
      <c r="H80" s="626"/>
      <c r="I80" s="626"/>
      <c r="J80" s="627"/>
      <c r="K80" s="627"/>
    </row>
    <row r="81" spans="3:11">
      <c r="C81" s="337"/>
      <c r="E81" s="409"/>
      <c r="F81" s="409"/>
      <c r="G81" s="409"/>
      <c r="H81" s="410"/>
      <c r="I81" s="616" t="s">
        <v>1629</v>
      </c>
      <c r="J81" s="616"/>
      <c r="K81" s="616"/>
    </row>
    <row r="82" spans="3:11">
      <c r="C82" s="337"/>
      <c r="E82" s="409"/>
      <c r="F82" s="409"/>
      <c r="G82" s="409"/>
      <c r="H82" s="410"/>
      <c r="I82" s="616" t="s">
        <v>1630</v>
      </c>
      <c r="J82" s="616"/>
      <c r="K82" s="616"/>
    </row>
    <row r="83" spans="3:11">
      <c r="C83" s="337"/>
      <c r="E83" s="409"/>
      <c r="F83" s="409"/>
      <c r="G83" s="409"/>
      <c r="H83" s="411"/>
      <c r="I83" s="412"/>
      <c r="J83" s="412"/>
      <c r="K83" s="412"/>
    </row>
    <row r="84" spans="3:11">
      <c r="C84" s="337"/>
      <c r="E84" s="409"/>
      <c r="F84" s="409"/>
      <c r="G84" s="409"/>
      <c r="H84" s="411"/>
      <c r="I84" s="411"/>
      <c r="J84" s="411"/>
      <c r="K84" s="411"/>
    </row>
    <row r="85" spans="3:11">
      <c r="C85" s="337"/>
      <c r="E85" s="409"/>
      <c r="F85" s="409"/>
      <c r="G85" s="409"/>
      <c r="H85" s="411"/>
      <c r="I85" s="411"/>
      <c r="J85" s="411"/>
      <c r="K85" s="411"/>
    </row>
    <row r="86" spans="3:11">
      <c r="C86" s="337"/>
      <c r="E86" s="409"/>
      <c r="F86" s="409"/>
      <c r="G86" s="409"/>
      <c r="H86" s="411"/>
      <c r="I86" s="411"/>
      <c r="J86" s="411"/>
      <c r="K86" s="411"/>
    </row>
    <row r="87" spans="3:11">
      <c r="C87" s="337"/>
      <c r="E87" s="409"/>
      <c r="F87" s="409"/>
      <c r="G87" s="409"/>
      <c r="H87" s="413"/>
      <c r="I87" s="616" t="s">
        <v>1631</v>
      </c>
      <c r="J87" s="616"/>
      <c r="K87" s="616"/>
    </row>
    <row r="88" spans="3:11">
      <c r="C88" s="407"/>
      <c r="E88" s="409"/>
      <c r="F88" s="409"/>
      <c r="G88" s="409"/>
      <c r="H88" s="411"/>
      <c r="I88" s="411"/>
      <c r="J88" s="411"/>
      <c r="K88" s="411"/>
    </row>
    <row r="89" spans="3:11">
      <c r="C89" s="407"/>
      <c r="E89" s="409"/>
      <c r="F89" s="409"/>
      <c r="G89" s="409"/>
      <c r="H89" s="411"/>
      <c r="I89" s="411"/>
      <c r="J89" s="411"/>
      <c r="K89" s="411"/>
    </row>
    <row r="90" spans="3:11">
      <c r="C90" s="407"/>
      <c r="E90" s="409"/>
      <c r="F90" s="409"/>
      <c r="G90" s="409"/>
      <c r="H90" s="411"/>
      <c r="I90" s="411"/>
      <c r="J90" s="411"/>
      <c r="K90" s="411"/>
    </row>
  </sheetData>
  <sheetProtection sort="0" autoFilter="0"/>
  <protectedRanges>
    <protectedRange sqref="B43:B66 B68" name="Range1_1"/>
    <protectedRange sqref="F14:F17 F42:F69" name="Range1_1_2_2"/>
    <protectedRange sqref="C68 C43:C46 C48:C66" name="Range1_1_1"/>
    <protectedRange sqref="B23:C24 B26:C28 B30:C38 B29 B18:C18 B25 B22 B20:C21 B41:C42 B39 B40" name="Range1_6_2"/>
    <protectedRange sqref="C47 C25" name="Range1_1_3_7"/>
    <protectedRange sqref="C29" name="Range1_1_3_11"/>
    <protectedRange sqref="G39" name="Range1_3_7"/>
    <protectedRange sqref="G40" name="Range1_3_7_1"/>
    <protectedRange sqref="C22" name="Range1_1_3"/>
  </protectedRanges>
  <mergeCells count="22">
    <mergeCell ref="O3:P4"/>
    <mergeCell ref="B4:K4"/>
    <mergeCell ref="C73:F73"/>
    <mergeCell ref="B11:B13"/>
    <mergeCell ref="C11:C13"/>
    <mergeCell ref="D11:D13"/>
    <mergeCell ref="E11:E13"/>
    <mergeCell ref="F11:F13"/>
    <mergeCell ref="G11:G13"/>
    <mergeCell ref="I12:I13"/>
    <mergeCell ref="I82:K82"/>
    <mergeCell ref="I87:K87"/>
    <mergeCell ref="C75:F75"/>
    <mergeCell ref="G6:K6"/>
    <mergeCell ref="I81:K81"/>
    <mergeCell ref="C74:F74"/>
    <mergeCell ref="B76:K77"/>
    <mergeCell ref="H80:K80"/>
    <mergeCell ref="H11:K11"/>
    <mergeCell ref="H12:H13"/>
    <mergeCell ref="J12:J13"/>
    <mergeCell ref="K12:K13"/>
  </mergeCells>
  <phoneticPr fontId="138" type="noConversion"/>
  <conditionalFormatting sqref="C15">
    <cfRule type="cellIs" dxfId="11" priority="452" operator="equal">
      <formula>0</formula>
    </cfRule>
  </conditionalFormatting>
  <conditionalFormatting sqref="C17">
    <cfRule type="cellIs" dxfId="10" priority="79" operator="equal">
      <formula>0</formula>
    </cfRule>
  </conditionalFormatting>
  <conditionalFormatting sqref="C19">
    <cfRule type="cellIs" dxfId="9" priority="77" operator="equal">
      <formula>0</formula>
    </cfRule>
  </conditionalFormatting>
  <conditionalFormatting sqref="C25:C26">
    <cfRule type="cellIs" dxfId="8" priority="32" operator="equal">
      <formula>0</formula>
    </cfRule>
  </conditionalFormatting>
  <conditionalFormatting sqref="C29">
    <cfRule type="cellIs" dxfId="7" priority="31" operator="equal">
      <formula>0</formula>
    </cfRule>
  </conditionalFormatting>
  <conditionalFormatting sqref="C44">
    <cfRule type="cellIs" dxfId="6" priority="6" operator="equal">
      <formula>0</formula>
    </cfRule>
  </conditionalFormatting>
  <conditionalFormatting sqref="C67">
    <cfRule type="cellIs" dxfId="5" priority="75" operator="equal">
      <formula>0</formula>
    </cfRule>
  </conditionalFormatting>
  <conditionalFormatting sqref="C39:G40">
    <cfRule type="cellIs" dxfId="4" priority="2" operator="equal">
      <formula>0</formula>
    </cfRule>
  </conditionalFormatting>
  <conditionalFormatting sqref="E1:E3 G1:G13 E5:E13 H12:I12 O13 E70:G70 H70:K72 E71:H71 E72:F72">
    <cfRule type="cellIs" dxfId="3" priority="1032" stopIfTrue="1" operator="equal">
      <formula>0</formula>
    </cfRule>
  </conditionalFormatting>
  <conditionalFormatting sqref="G71:G65537 E76:E65537">
    <cfRule type="cellIs" dxfId="2" priority="166" stopIfTrue="1" operator="equal">
      <formula>0</formula>
    </cfRule>
  </conditionalFormatting>
  <conditionalFormatting sqref="S14:V17 E14:K38 H39:K40 E41:K69">
    <cfRule type="cellIs" dxfId="1" priority="22" stopIfTrue="1" operator="equal">
      <formula>0</formula>
    </cfRule>
  </conditionalFormatting>
  <conditionalFormatting sqref="C22">
    <cfRule type="cellIs" dxfId="0" priority="1" operator="equal">
      <formula>0</formula>
    </cfRule>
  </conditionalFormatting>
  <dataValidations count="4">
    <dataValidation allowBlank="1" showInputMessage="1" showErrorMessage="1" errorTitle="PERINGATAN !!!" error="MDU / UPAH SALAH BOZ...." sqref="O11:Q11 F51:F56 C23:C24 F62:F65 H14:K72 F18:F38 F41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  <dataValidation type="list" allowBlank="1" showInputMessage="1" showErrorMessage="1" errorTitle="PERINGATAN !!!" error="GOLONGAN MATERIAL/JASA SALAH...." sqref="D39:D40" xr:uid="{DEB23348-F445-4DC7-9D51-FA1706CAEDB7}">
      <formula1>#REF!</formula1>
    </dataValidation>
  </dataValidations>
  <printOptions horizontalCentered="1"/>
  <pageMargins left="0.27559055118110198" right="0.3" top="0.31496062992126" bottom="0.59055118110236204" header="0.31496062992126" footer="0.31496062992126"/>
  <pageSetup paperSize="9" scale="54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SRI UTAMI</cp:lastModifiedBy>
  <cp:lastPrinted>2023-08-28T04:37:29Z</cp:lastPrinted>
  <dcterms:created xsi:type="dcterms:W3CDTF">2011-02-06T11:57:38Z</dcterms:created>
  <dcterms:modified xsi:type="dcterms:W3CDTF">2023-08-28T06:22:58Z</dcterms:modified>
</cp:coreProperties>
</file>