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wnloads/"/>
    </mc:Choice>
  </mc:AlternateContent>
  <xr:revisionPtr revIDLastSave="0" documentId="13_ncr:1_{F9220E64-8757-B940-AFB6-EDDBEA372324}" xr6:coauthVersionLast="47" xr6:coauthVersionMax="47" xr10:uidLastSave="{00000000-0000-0000-0000-000000000000}"/>
  <bookViews>
    <workbookView xWindow="0" yWindow="500" windowWidth="20740" windowHeight="11160" tabRatio="859" firstSheet="2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6" r:id="rId10"/>
    <sheet name="PETA" sheetId="77" r:id="rId11"/>
    <sheet name="SLD " sheetId="78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 localSheetId="10">[34]JAN07!#REF!</definedName>
    <definedName name="dc" localSheetId="11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9">INDEX([41]KKO!#REF!,MATCH([41]KKO!#REF!:[41]KKO!#REF!,0)*2)</definedName>
    <definedName name="GBR" localSheetId="10">INDEX([41]KKO!#REF!,MATCH([41]KKO!#REF!:[41]KKO!#REF!,0)*2)</definedName>
    <definedName name="GBR" localSheetId="11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>[43]Format!$AA$1:$AG$1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'[44]MATERIAL juni 05'!$A$1:$AH$65536</definedName>
    <definedName name="HMRIEL">'[44]UPDATE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[45]DTU!$B$2:$D$48</definedName>
    <definedName name="input" localSheetId="6">'[46]Neraca seAPJ'!#REF!</definedName>
    <definedName name="input" localSheetId="9">'[46]Neraca seAPJ'!#REF!</definedName>
    <definedName name="input" localSheetId="7">'[46]Neraca seAPJ'!#REF!</definedName>
    <definedName name="input" localSheetId="5">'[46]Neraca seAPJ'!#REF!</definedName>
    <definedName name="input" localSheetId="10">'[46]Neraca seAPJ'!#REF!</definedName>
    <definedName name="input" localSheetId="11">'[46]Neraca seAPJ'!#REF!</definedName>
    <definedName name="input">'[46]Neraca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'[47]W-NAD'!#REF!</definedName>
    <definedName name="JAJA" localSheetId="7">'[47]W-NAD'!#REF!</definedName>
    <definedName name="JAJA">'[47]W-NAD'!#REF!</definedName>
    <definedName name="jamkerja">'[48]D2. ANALISA HS INSHAR'!$D$2</definedName>
    <definedName name="JamKerja01">'[49]E3. ANALISA HS HAR TEK SUTM'!$D$2</definedName>
    <definedName name="jamkerjaentri" localSheetId="6">'[48]D2. ANALISA HS INSHAR'!#REF!</definedName>
    <definedName name="jamkerjaentri" localSheetId="9">'[48]D2. ANALISA HS INSHAR'!#REF!</definedName>
    <definedName name="jamkerjaentri" localSheetId="7">'[48]D2. ANALISA HS INSHAR'!#REF!</definedName>
    <definedName name="jamkerjaentri" localSheetId="5">'[48]D2. ANALISA HS INSHAR'!#REF!</definedName>
    <definedName name="jamkerjaentri" localSheetId="10">'[48]D2. ANALISA HS INSHAR'!#REF!</definedName>
    <definedName name="jamkerjaentri" localSheetId="11">'[48]D2. ANALISA HS INSHAR'!#REF!</definedName>
    <definedName name="jamkerjaentri">'[48]D2. ANALISA HS INSHAR'!#REF!</definedName>
    <definedName name="jamkerjahar">'[49]E6.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[50]Jasa!$B$1:$F$65536</definedName>
    <definedName name="jasa.">[50]Jasa!$B$1:$F$65536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[51]data!$F$2:$F$4</definedName>
    <definedName name="jenis_pph">[51]data!$E$2:$E$7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[52]Cover!$C$5</definedName>
    <definedName name="KursUSD">[53]Asumsi!$E$9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9">INDEX([41]PDL!$B$1:$B$3,IFERROR(MATCH([41]KKO!$D$16,[41]PDL!$A$1:$A$2,),3))</definedName>
    <definedName name="Kutools_PDL0_1" localSheetId="10">INDEX([41]PDL!$B$1:$B$3,IFERROR(MATCH([41]KKO!$D$16,[41]PDL!$A$1:$A$2,),3))</definedName>
    <definedName name="Kutools_PDL0_1" localSheetId="11">INDEX([41]PDL!$B$1:$B$3,IFERROR(MATCH([41]KKO!$D$16,[41]PDL!$A$1:$A$2,),3))</definedName>
    <definedName name="Kutools_PDL0_1">INDEX(PDL!$B$1:$B$3,IFERROR(MATCH(KKO!$D$15,PDL!$A$1:$A$2,),3))</definedName>
    <definedName name="Kutools_PDL1_1" localSheetId="9">INDEX([41]PDL!$D$4:$D$6,IFERROR(MATCH([41]KKO!$D$16,[41]PDL!$C$4:$C$5,),3))</definedName>
    <definedName name="Kutools_PDL1_1" localSheetId="10">INDEX([41]PDL!$D$4:$D$6,IFERROR(MATCH([41]KKO!$D$16,[41]PDL!$C$4:$C$5,),3))</definedName>
    <definedName name="Kutools_PDL1_1" localSheetId="11">INDEX([41]PDL!$D$4:$D$6,IFERROR(MATCH([41]KKO!$D$16,[41]PDL!$C$4:$C$5,),3))</definedName>
    <definedName name="Kutools_PDL1_1">INDEX(PDL!$D$4:$D$6,IFERROR(MATCH(KKO!$D$15,PDL!$C$4:$C$5,),3))</definedName>
    <definedName name="Kutools_PDL10_1" localSheetId="9">INDEX([41]PDL!$V$31:$V$33,IFERROR(MATCH([41]KKO!$K$16,[41]PDL!$U$31:$U$32,),3))</definedName>
    <definedName name="Kutools_PDL10_1" localSheetId="10">INDEX([41]PDL!$V$31:$V$33,IFERROR(MATCH([41]KKO!$K$16,[41]PDL!$U$31:$U$32,),3))</definedName>
    <definedName name="Kutools_PDL10_1" localSheetId="11">INDEX([41]PDL!$V$31:$V$33,IFERROR(MATCH([41]KKO!$K$16,[41]PDL!$U$31:$U$32,),3))</definedName>
    <definedName name="Kutools_PDL10_1">INDEX(PDL!$V$31:$V$33,IFERROR(MATCH(KKO!$K$15,PDL!$U$31:$U$32,),3))</definedName>
    <definedName name="Kutools_PDL2_1" localSheetId="9">INDEX([41]PDL!$F$7:$F$9,IFERROR(MATCH([41]KKO!$K$16,[41]PDL!$E$7:$E$8,),3))</definedName>
    <definedName name="Kutools_PDL2_1" localSheetId="10">INDEX([41]PDL!$F$7:$F$9,IFERROR(MATCH([41]KKO!$K$16,[41]PDL!$E$7:$E$8,),3))</definedName>
    <definedName name="Kutools_PDL2_1" localSheetId="11">INDEX([41]PDL!$F$7:$F$9,IFERROR(MATCH([41]KKO!$K$16,[41]PDL!$E$7:$E$8,),3))</definedName>
    <definedName name="Kutools_PDL2_1">INDEX(PDL!$F$7:$F$9,IFERROR(MATCH(KKO!$K$15,PDL!$E$7:$E$8,),3))</definedName>
    <definedName name="Kutools_PDL3_1" localSheetId="9">INDEX([41]PDL!$H$10:$H$12,IFERROR(MATCH([41]KKO!$D$16,[41]PDL!$G$10:$G$11,),3))</definedName>
    <definedName name="Kutools_PDL3_1" localSheetId="10">INDEX([41]PDL!$H$10:$H$12,IFERROR(MATCH([41]KKO!$D$16,[41]PDL!$G$10:$G$11,),3))</definedName>
    <definedName name="Kutools_PDL3_1" localSheetId="11">INDEX([41]PDL!$H$10:$H$12,IFERROR(MATCH([41]KKO!$D$16,[41]PDL!$G$10:$G$11,),3))</definedName>
    <definedName name="Kutools_PDL3_1">INDEX(PDL!$H$10:$H$12,IFERROR(MATCH(KKO!$D$15,PDL!$G$10:$G$11,),3))</definedName>
    <definedName name="Kutools_PDL4_1" localSheetId="9">INDEX([41]PDL!$J$13:$J$15,IFERROR(MATCH([41]KKO!$D$16,[41]PDL!$I$13:$I$14,),3))</definedName>
    <definedName name="Kutools_PDL4_1" localSheetId="10">INDEX([41]PDL!$J$13:$J$15,IFERROR(MATCH([41]KKO!$D$16,[41]PDL!$I$13:$I$14,),3))</definedName>
    <definedName name="Kutools_PDL4_1" localSheetId="11">INDEX([41]PDL!$J$13:$J$15,IFERROR(MATCH([41]KKO!$D$16,[41]PDL!$I$13:$I$14,),3))</definedName>
    <definedName name="Kutools_PDL4_1">INDEX(PDL!$J$13:$J$15,IFERROR(MATCH(KKO!$D$15,PDL!$I$13:$I$14,),3))</definedName>
    <definedName name="Kutools_PDL5_1" localSheetId="9">INDEX([41]PDL!$L$16:$L$18,IFERROR(MATCH([41]KKO!$K$16,[41]PDL!$K$16:$K$17,),3))</definedName>
    <definedName name="Kutools_PDL5_1" localSheetId="10">INDEX([41]PDL!$L$16:$L$18,IFERROR(MATCH([41]KKO!$K$16,[41]PDL!$K$16:$K$17,),3))</definedName>
    <definedName name="Kutools_PDL5_1" localSheetId="11">INDEX([41]PDL!$L$16:$L$18,IFERROR(MATCH([41]KKO!$K$16,[41]PDL!$K$16:$K$17,),3))</definedName>
    <definedName name="Kutools_PDL5_1">INDEX(PDL!$L$16:$L$18,IFERROR(MATCH(KKO!$K$15,PDL!$K$16:$K$17,),3))</definedName>
    <definedName name="Kutools_PDL6_1" localSheetId="9">INDEX([41]PDL!$N$19:$N$21,IFERROR(MATCH([41]KKO!$D$16,[41]PDL!$M$19:$M$20,),3))</definedName>
    <definedName name="Kutools_PDL6_1" localSheetId="10">INDEX([41]PDL!$N$19:$N$21,IFERROR(MATCH([41]KKO!$D$16,[41]PDL!$M$19:$M$20,),3))</definedName>
    <definedName name="Kutools_PDL6_1" localSheetId="11">INDEX([41]PDL!$N$19:$N$21,IFERROR(MATCH([41]KKO!$D$16,[41]PDL!$M$19:$M$20,),3))</definedName>
    <definedName name="Kutools_PDL6_1">INDEX(PDL!$N$19:$N$21,IFERROR(MATCH(KKO!$D$15,PDL!$M$19:$M$20,),3))</definedName>
    <definedName name="Kutools_PDL7_1" localSheetId="9">INDEX([41]PDL!$P$22:$P$24,IFERROR(MATCH([41]KKO!$D$16,[41]PDL!$O$22:$O$23,),3))</definedName>
    <definedName name="Kutools_PDL7_1" localSheetId="10">INDEX([41]PDL!$P$22:$P$24,IFERROR(MATCH([41]KKO!$D$16,[41]PDL!$O$22:$O$23,),3))</definedName>
    <definedName name="Kutools_PDL7_1" localSheetId="11">INDEX([41]PDL!$P$22:$P$24,IFERROR(MATCH([41]KKO!$D$16,[41]PDL!$O$22:$O$23,),3))</definedName>
    <definedName name="Kutools_PDL7_1">INDEX(PDL!$P$22:$P$24,IFERROR(MATCH(KKO!$D$15,PDL!$O$22:$O$23,),3))</definedName>
    <definedName name="Kutools_PDL8_1" localSheetId="9">INDEX([41]PDL!$R$25:$R$27,IFERROR(MATCH([41]KKO!$D$16,[41]PDL!$Q$25:$Q$26,),3))</definedName>
    <definedName name="Kutools_PDL8_1" localSheetId="10">INDEX([41]PDL!$R$25:$R$27,IFERROR(MATCH([41]KKO!$D$16,[41]PDL!$Q$25:$Q$26,),3))</definedName>
    <definedName name="Kutools_PDL8_1" localSheetId="11">INDEX([41]PDL!$R$25:$R$27,IFERROR(MATCH([41]KKO!$D$16,[41]PDL!$Q$25:$Q$26,),3))</definedName>
    <definedName name="Kutools_PDL8_1">INDEX(PDL!$R$25:$R$27,IFERROR(MATCH(KKO!$D$15,PDL!$Q$25:$Q$26,),3))</definedName>
    <definedName name="Kutools_PDL9_1" localSheetId="9">INDEX([41]PDL!$T$28:$T$30,IFERROR(MATCH([41]KKO!$D$16,[41]PDL!$S$28:$S$29,),3))</definedName>
    <definedName name="Kutools_PDL9_1" localSheetId="10">INDEX([41]PDL!$T$28:$T$30,IFERROR(MATCH([41]KKO!$D$16,[41]PDL!$S$28:$S$29,),3))</definedName>
    <definedName name="Kutools_PDL9_1" localSheetId="11">INDEX([41]PDL!$T$28:$T$30,IFERROR(MATCH([41]KKO!$D$16,[41]PDL!$S$28:$S$29,),3))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[54]PMT!#REF!</definedName>
    <definedName name="l" localSheetId="7">[54]PMT!#REF!</definedName>
    <definedName name="l">[54]PMT!#REF!</definedName>
    <definedName name="L_19" localSheetId="6">'[55]FORM-B'!#REF!</definedName>
    <definedName name="L_19" localSheetId="7">'[55]FORM-B'!#REF!</definedName>
    <definedName name="L_19">'[55]FORM-B'!#REF!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[57]INPBA!$F$2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'[58]AHS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'[55]FORM-B'!#REF!</definedName>
    <definedName name="M_19" localSheetId="7">'[55]FORM-B'!#REF!</definedName>
    <definedName name="M_19">'[55]FORM-B'!#REF!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[50]Mat!$B$1:$L$65536</definedName>
    <definedName name="mat.">[50]Mat!$B$1:$L$65536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[59]aruskas!$A$110:$T$180</definedName>
    <definedName name="MD_19">[60]aruskas!$A$110:$T$180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'[61]Standar Konstruksi'!$G$29:$G$29</definedName>
    <definedName name="MmExcelLinker_56E02BF7_1622_44A2_A1B4_91C09D796B1E" localSheetId="7">KKF!RAB-PER '[61]Standar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[62]Cover!$B$7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 localSheetId="10">[20]Usulan!#REF!</definedName>
    <definedName name="NEGO" localSheetId="11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[63]Valuation!$I$53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9">[41]KKO!#REF!</definedName>
    <definedName name="pict" localSheetId="10">[41]KKO!#REF!</definedName>
    <definedName name="pict" localSheetId="11">[41]KKO!#REF!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[54]PMT!$D$12:$D$55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[65]JURNAL!#REF!</definedName>
    <definedName name="PUR" localSheetId="7">[65]JURNAL!#REF!</definedName>
    <definedName name="PUR">[65]JURNAL!#REF!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 localSheetId="10">OFFSET('[19]Regional Overhead Allocation_WJ'!#REF!,0,0,COUNTA('[19]Regional Overhead Allocation_WJ'!#REF!),35)</definedName>
    <definedName name="Rate_of_Absorption_WJ_A2IS_Options" localSheetId="11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'[65]BB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[66]JAN07!#REF!</definedName>
    <definedName name="rtyu" localSheetId="7">[66]JAN07!#REF!</definedName>
    <definedName name="rtyu">[67]JAN07!#REF!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[68]PICKUP!$D$12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 localSheetId="10">[17]JAN09!#REF!</definedName>
    <definedName name="sasa" localSheetId="11">[17]JAN09!#REF!</definedName>
    <definedName name="sasa">[17]JAN09!#REF!</definedName>
    <definedName name="SATUAN" localSheetId="9">'[69]Rekap PMG.'!$A$10:$E$51</definedName>
    <definedName name="SATUAN">'[69]Rekap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[70]x!$G$9:$G$47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[45]DTU!$B$2:$D$48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 localSheetId="10">[17]JAN09!#REF!</definedName>
    <definedName name="sdffA" localSheetId="11">[17]JAN09!#REF!</definedName>
    <definedName name="sdffA">[17]JAN09!#REF!</definedName>
    <definedName name="sds">'[71]master rab'!$B$1:$H$65536</definedName>
    <definedName name="seapj">'[46]Neraca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[72]LAIN2!$Z$7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[72]LAIN2!$Z$5</definedName>
    <definedName name="serib">[72]LAIN2!$Z$6</definedName>
    <definedName name="Service_Mapping">'[19]Service Mapping'!$C$6:$Y$39</definedName>
    <definedName name="sewadetektorkabel_har">'[58]AHS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'[58]AHS - Non Personel'!$D$27</definedName>
    <definedName name="SewaKantorBulan">'[58]AHS - Non Personel'!$D$23</definedName>
    <definedName name="SewaKomHari">#N/A</definedName>
    <definedName name="SewaLaptopBln">#N/A</definedName>
    <definedName name="SewaMejaKursi">'[58]AHS - Non Personel'!$D$32</definedName>
    <definedName name="SewaMobil">#N/A</definedName>
    <definedName name="sewamobilbak_hari">'[58]AHS - Non Personel'!$D$29</definedName>
    <definedName name="SewaMotorBln">#N/A</definedName>
    <definedName name="SewaMotorHari">#N/A</definedName>
    <definedName name="SewaRumahBulan">'[58]AHS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[74]HB2!$A$1:$L$65536</definedName>
    <definedName name="stdpln">'[75]HB BARU'!$A$1:$J$780</definedName>
    <definedName name="stok">[65]DTstok!$A$1:$B$65536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'[76]master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[77]SuMBER!$N$3:$FO$21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[66]JAN07!#REF!</definedName>
    <definedName name="swed" localSheetId="7">[66]JAN07!#REF!</definedName>
    <definedName name="swed">[67]JAN07!#REF!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[78]Sheet1!$E$2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>[79]bantu!$M$5:$X$5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[57]INPBA!$F$2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[72]LAIN2!$Z$10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[63]Valuation!$I$61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'[80]Rekap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[81]Usulan!#REF!</definedName>
    <definedName name="usul" localSheetId="9">[81]Usulan!#REF!</definedName>
    <definedName name="usul" localSheetId="7">[81]Usulan!#REF!</definedName>
    <definedName name="usul" localSheetId="5">[81]Usulan!#REF!</definedName>
    <definedName name="usul">[81]Usulan!#REF!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[66]JAN07!#REF!</definedName>
    <definedName name="x" localSheetId="7">[66]JAN07!#REF!</definedName>
    <definedName name="x">[67]JAN07!#REF!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[66]JAN07!#REF!</definedName>
    <definedName name="xs" localSheetId="9">[67]JAN07!#REF!</definedName>
    <definedName name="xs" localSheetId="7">[66]JAN07!#REF!</definedName>
    <definedName name="xs" localSheetId="5">[67]JAN07!#REF!</definedName>
    <definedName name="xs">[67]JAN07!#REF!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('[82]Submission Form'!$A$4:$C$5,'[82]Submission Form'!$D$7,'[82]Submission Form'!$D$10:$D$11,'[82]Submission Form'!$D$17:$D$26,'[82]Submission Form'!$D$33)</definedName>
    <definedName name="zz">'[59]Hal-1'!$M$33:$M$33</definedName>
    <definedName name="zz_19">'[60]Hal-1'!$M$33:$M$33</definedName>
    <definedName name="zzz">[59]aruskas!$A$110:$T$180</definedName>
    <definedName name="zzz_19">[60]aruskas!$A$110:$T$180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2" i="76" l="1"/>
  <c r="V2" i="76"/>
  <c r="G116" i="11" l="1"/>
  <c r="E116" i="11"/>
  <c r="D116" i="11"/>
  <c r="J116" i="11" s="1"/>
  <c r="G115" i="11"/>
  <c r="E115" i="11"/>
  <c r="D115" i="11"/>
  <c r="J115" i="11" s="1"/>
  <c r="G114" i="11"/>
  <c r="E114" i="11"/>
  <c r="D114" i="11"/>
  <c r="G112" i="11"/>
  <c r="E112" i="11"/>
  <c r="D112" i="11"/>
  <c r="H112" i="11" s="1"/>
  <c r="G111" i="11"/>
  <c r="E111" i="11"/>
  <c r="D111" i="11"/>
  <c r="J111" i="11" s="1"/>
  <c r="G110" i="11"/>
  <c r="E110" i="11"/>
  <c r="D110" i="11"/>
  <c r="G109" i="11"/>
  <c r="E109" i="11"/>
  <c r="D109" i="11"/>
  <c r="G108" i="11"/>
  <c r="E108" i="11"/>
  <c r="D108" i="11"/>
  <c r="J108" i="11" s="1"/>
  <c r="A108" i="11"/>
  <c r="G107" i="11"/>
  <c r="E107" i="11"/>
  <c r="D107" i="11"/>
  <c r="J107" i="11" s="1"/>
  <c r="A107" i="11"/>
  <c r="G106" i="11"/>
  <c r="E106" i="11"/>
  <c r="D106" i="11"/>
  <c r="J106" i="11" s="1"/>
  <c r="A106" i="11"/>
  <c r="G105" i="11"/>
  <c r="E105" i="11"/>
  <c r="D105" i="11"/>
  <c r="J105" i="11" s="1"/>
  <c r="G104" i="11"/>
  <c r="E104" i="11"/>
  <c r="D104" i="11"/>
  <c r="J104" i="11" s="1"/>
  <c r="A104" i="11"/>
  <c r="G103" i="11"/>
  <c r="E103" i="11"/>
  <c r="D103" i="11"/>
  <c r="A103" i="11"/>
  <c r="D102" i="11"/>
  <c r="G101" i="11"/>
  <c r="E101" i="11"/>
  <c r="D101" i="11"/>
  <c r="J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31" i="11"/>
  <c r="D131" i="11"/>
  <c r="I131" i="11" s="1"/>
  <c r="G130" i="11"/>
  <c r="E130" i="11"/>
  <c r="D130" i="11"/>
  <c r="H130" i="11" s="1"/>
  <c r="G129" i="11"/>
  <c r="E129" i="11"/>
  <c r="D129" i="11"/>
  <c r="I129" i="11" s="1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J82" i="11" s="1"/>
  <c r="A82" i="11"/>
  <c r="E81" i="11"/>
  <c r="D81" i="11"/>
  <c r="H81" i="11" s="1"/>
  <c r="E80" i="11"/>
  <c r="D80" i="11"/>
  <c r="A80" i="11"/>
  <c r="E79" i="11"/>
  <c r="D79" i="11"/>
  <c r="E78" i="11"/>
  <c r="D78" i="11"/>
  <c r="J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G122" i="11"/>
  <c r="G128" i="11"/>
  <c r="G133" i="11"/>
  <c r="G134" i="11"/>
  <c r="G141" i="11"/>
  <c r="E122" i="11"/>
  <c r="E123" i="11"/>
  <c r="E124" i="11"/>
  <c r="E125" i="11"/>
  <c r="E126" i="11"/>
  <c r="E127" i="11"/>
  <c r="E128" i="11"/>
  <c r="E133" i="11"/>
  <c r="E134" i="11"/>
  <c r="E135" i="11"/>
  <c r="E136" i="11"/>
  <c r="E137" i="11"/>
  <c r="E138" i="11"/>
  <c r="E139" i="11"/>
  <c r="E140" i="11"/>
  <c r="E141" i="11"/>
  <c r="D142" i="11"/>
  <c r="J142" i="11" s="1"/>
  <c r="D121" i="11"/>
  <c r="D122" i="11"/>
  <c r="H122" i="11" s="1"/>
  <c r="D123" i="11"/>
  <c r="H123" i="11" s="1"/>
  <c r="D124" i="11"/>
  <c r="J124" i="11" s="1"/>
  <c r="D125" i="11"/>
  <c r="D126" i="11"/>
  <c r="H126" i="11" s="1"/>
  <c r="D127" i="11"/>
  <c r="H127" i="11" s="1"/>
  <c r="D128" i="11"/>
  <c r="I128" i="11" s="1"/>
  <c r="D133" i="11"/>
  <c r="H133" i="11" s="1"/>
  <c r="D134" i="11"/>
  <c r="J134" i="11" s="1"/>
  <c r="D135" i="11"/>
  <c r="D136" i="11"/>
  <c r="J136" i="11" s="1"/>
  <c r="D137" i="11"/>
  <c r="J137" i="11" s="1"/>
  <c r="D138" i="11"/>
  <c r="D139" i="11"/>
  <c r="H139" i="11" s="1"/>
  <c r="D140" i="11"/>
  <c r="J140" i="11" s="1"/>
  <c r="D141" i="11"/>
  <c r="H141" i="11" s="1"/>
  <c r="E97" i="11"/>
  <c r="E117" i="1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J47" i="11" s="1"/>
  <c r="A47" i="11"/>
  <c r="E46" i="11"/>
  <c r="D46" i="11"/>
  <c r="A46" i="11"/>
  <c r="E45" i="11"/>
  <c r="D45" i="11"/>
  <c r="A45" i="11"/>
  <c r="E43" i="11"/>
  <c r="D43" i="11"/>
  <c r="H43" i="11" s="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J64" i="11" s="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H60" i="11" s="1"/>
  <c r="A60" i="11"/>
  <c r="E59" i="11"/>
  <c r="D59" i="11"/>
  <c r="H59" i="11" s="1"/>
  <c r="A59" i="11"/>
  <c r="E58" i="11"/>
  <c r="D58" i="11"/>
  <c r="A58" i="11"/>
  <c r="E57" i="11"/>
  <c r="D57" i="11"/>
  <c r="J57" i="11" s="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142" i="11"/>
  <c r="E142" i="11"/>
  <c r="A123" i="11"/>
  <c r="A122" i="11"/>
  <c r="E120" i="11"/>
  <c r="D120" i="11"/>
  <c r="A120" i="11"/>
  <c r="E119" i="11"/>
  <c r="D119" i="11"/>
  <c r="H119" i="11" s="1"/>
  <c r="E118" i="11"/>
  <c r="D118" i="11"/>
  <c r="A118" i="11"/>
  <c r="D117" i="11"/>
  <c r="E96" i="11"/>
  <c r="D96" i="11"/>
  <c r="J96" i="11" s="1"/>
  <c r="A96" i="11"/>
  <c r="E95" i="11"/>
  <c r="D95" i="11"/>
  <c r="A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G97" i="11"/>
  <c r="D97" i="11"/>
  <c r="J97" i="11" s="1"/>
  <c r="D18" i="11"/>
  <c r="H18" i="11" s="1"/>
  <c r="E18" i="11"/>
  <c r="D14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25" i="11"/>
  <c r="A126" i="11"/>
  <c r="A127" i="11"/>
  <c r="G143" i="11"/>
  <c r="E143" i="11"/>
  <c r="D143" i="11"/>
  <c r="H143" i="11" s="1"/>
  <c r="E144" i="11"/>
  <c r="D145" i="11"/>
  <c r="H145" i="11" s="1"/>
  <c r="E145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4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9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23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19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40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31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24" i="11"/>
  <c r="I578" i="10"/>
  <c r="I670" i="10"/>
  <c r="G127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8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2" i="11"/>
  <c r="I1220" i="10"/>
  <c r="I1219" i="10"/>
  <c r="I9" i="10"/>
  <c r="G135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37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25" i="11"/>
  <c r="G72" i="11"/>
  <c r="G24" i="11"/>
  <c r="G78" i="11"/>
  <c r="N1362" i="10"/>
  <c r="N1357" i="10"/>
  <c r="N1349" i="10"/>
  <c r="N1332" i="10"/>
  <c r="N1316" i="10"/>
  <c r="N1309" i="10"/>
  <c r="N1258" i="10"/>
  <c r="G144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26" i="11"/>
  <c r="G73" i="11"/>
  <c r="N1430" i="10"/>
  <c r="N1390" i="10"/>
  <c r="N1352" i="10"/>
  <c r="N1344" i="10"/>
  <c r="N1337" i="10"/>
  <c r="N1307" i="10"/>
  <c r="N146" i="10"/>
  <c r="G120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36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37" i="11"/>
  <c r="G92" i="11"/>
  <c r="A91" i="11" s="1"/>
  <c r="G117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118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F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F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J58" i="11" l="1"/>
  <c r="J79" i="11"/>
  <c r="H75" i="11"/>
  <c r="K9" i="60"/>
  <c r="K16" i="60" s="1"/>
  <c r="K20" i="60" s="1"/>
  <c r="C8" i="54"/>
  <c r="I8" i="54" s="1"/>
  <c r="C7" i="54"/>
  <c r="D9" i="60"/>
  <c r="E858" i="41"/>
  <c r="I114" i="11"/>
  <c r="H125" i="11"/>
  <c r="I110" i="11"/>
  <c r="E241" i="29"/>
  <c r="H82" i="11"/>
  <c r="E862" i="41"/>
  <c r="E831" i="41"/>
  <c r="F58" i="39"/>
  <c r="E761" i="41"/>
  <c r="E751" i="41"/>
  <c r="E757" i="41"/>
  <c r="F809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I7" i="54"/>
  <c r="H77" i="11"/>
  <c r="J103" i="11"/>
  <c r="H109" i="11"/>
  <c r="I78" i="11"/>
  <c r="I31" i="11"/>
  <c r="F834" i="41"/>
  <c r="J52" i="11"/>
  <c r="E269" i="29"/>
  <c r="I26" i="11"/>
  <c r="I36" i="11"/>
  <c r="I97" i="11"/>
  <c r="H36" i="11"/>
  <c r="H97" i="11"/>
  <c r="F352" i="29"/>
  <c r="J36" i="39"/>
  <c r="E748" i="41"/>
  <c r="I41" i="11"/>
  <c r="I38" i="11"/>
  <c r="E351" i="29"/>
  <c r="J39" i="11"/>
  <c r="F806" i="41"/>
  <c r="F826" i="41"/>
  <c r="I74" i="11"/>
  <c r="F824" i="41"/>
  <c r="J65" i="11"/>
  <c r="J45" i="11"/>
  <c r="I124" i="11"/>
  <c r="H23" i="11"/>
  <c r="H24" i="11"/>
  <c r="I82" i="11"/>
  <c r="J118" i="11"/>
  <c r="H79" i="11"/>
  <c r="I109" i="11"/>
  <c r="I28" i="11"/>
  <c r="I95" i="11"/>
  <c r="I91" i="11"/>
  <c r="J51" i="11"/>
  <c r="I37" i="11"/>
  <c r="H25" i="11"/>
  <c r="J109" i="11"/>
  <c r="H111" i="11"/>
  <c r="J114" i="11"/>
  <c r="J110" i="11"/>
  <c r="I112" i="11"/>
  <c r="J23" i="11"/>
  <c r="E743" i="41"/>
  <c r="H110" i="11"/>
  <c r="I111" i="11"/>
  <c r="J112" i="11"/>
  <c r="H100" i="11"/>
  <c r="H101" i="11"/>
  <c r="H105" i="11"/>
  <c r="H106" i="11"/>
  <c r="H107" i="11"/>
  <c r="H108" i="11"/>
  <c r="I43" i="11"/>
  <c r="H98" i="11"/>
  <c r="H99" i="11"/>
  <c r="I100" i="11"/>
  <c r="I101" i="11"/>
  <c r="H103" i="11"/>
  <c r="H104" i="11"/>
  <c r="I105" i="11"/>
  <c r="I106" i="11"/>
  <c r="I107" i="11"/>
  <c r="I108" i="11"/>
  <c r="H116" i="11"/>
  <c r="F304" i="29"/>
  <c r="I98" i="11"/>
  <c r="I99" i="11"/>
  <c r="I103" i="11"/>
  <c r="I104" i="11"/>
  <c r="H115" i="11"/>
  <c r="I116" i="11"/>
  <c r="I80" i="11"/>
  <c r="H142" i="11"/>
  <c r="H114" i="11"/>
  <c r="I115" i="11"/>
  <c r="I118" i="11"/>
  <c r="F762" i="41"/>
  <c r="E766" i="41"/>
  <c r="E823" i="41"/>
  <c r="H118" i="1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J131" i="11"/>
  <c r="E319" i="29"/>
  <c r="F225" i="29"/>
  <c r="E1227" i="41"/>
  <c r="I145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I96" i="1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F835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137" i="11"/>
  <c r="J95" i="11"/>
  <c r="J92" i="11"/>
  <c r="I125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120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H95" i="1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I58" i="11"/>
  <c r="J18" i="11"/>
  <c r="H16" i="11"/>
  <c r="J41" i="11"/>
  <c r="I137" i="11"/>
  <c r="F242" i="29"/>
  <c r="F298" i="29"/>
  <c r="I77" i="11"/>
  <c r="E276" i="29"/>
  <c r="J145" i="11"/>
  <c r="I126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J130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H124" i="11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119" i="11"/>
  <c r="I69" i="11"/>
  <c r="H129" i="11"/>
  <c r="H96" i="11"/>
  <c r="J59" i="11"/>
  <c r="J24" i="11"/>
  <c r="E64" i="39"/>
  <c r="J69" i="11"/>
  <c r="I140" i="11"/>
  <c r="J66" i="11"/>
  <c r="I70" i="11"/>
  <c r="I72" i="11"/>
  <c r="I141" i="11"/>
  <c r="J128" i="11"/>
  <c r="H71" i="11"/>
  <c r="J29" i="11"/>
  <c r="F240" i="29"/>
  <c r="I52" i="11"/>
  <c r="I66" i="11"/>
  <c r="J48" i="11"/>
  <c r="J125" i="11"/>
  <c r="H70" i="11"/>
  <c r="E263" i="29"/>
  <c r="F277" i="29"/>
  <c r="I94" i="11"/>
  <c r="J93" i="11"/>
  <c r="H140" i="11"/>
  <c r="I130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H134" i="11"/>
  <c r="I134" i="11"/>
  <c r="J33" i="11"/>
  <c r="H33" i="11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J139" i="11"/>
  <c r="I76" i="11"/>
  <c r="F286" i="29"/>
  <c r="E246" i="29"/>
  <c r="I119" i="11"/>
  <c r="I122" i="11"/>
  <c r="H128" i="11"/>
  <c r="J129" i="11"/>
  <c r="E66" i="39"/>
  <c r="F266" i="29"/>
  <c r="F60" i="39"/>
  <c r="J83" i="11"/>
  <c r="I139" i="11"/>
  <c r="H20" i="11"/>
  <c r="H91" i="11"/>
  <c r="I133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J122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F300" i="29"/>
  <c r="E232" i="29"/>
  <c r="F232" i="29"/>
  <c r="H117" i="11"/>
  <c r="J117" i="11"/>
  <c r="I117" i="11"/>
  <c r="F357" i="29"/>
  <c r="F345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H138" i="11"/>
  <c r="J138" i="11"/>
  <c r="I138" i="11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I123" i="11"/>
  <c r="J123" i="11"/>
  <c r="J94" i="11"/>
  <c r="H94" i="11"/>
  <c r="H49" i="11"/>
  <c r="I49" i="11"/>
  <c r="J127" i="11"/>
  <c r="I127" i="11"/>
  <c r="J30" i="11"/>
  <c r="H30" i="11"/>
  <c r="I30" i="11"/>
  <c r="E283" i="29"/>
  <c r="F283" i="29"/>
  <c r="K15" i="29"/>
  <c r="J141" i="11"/>
  <c r="I136" i="11"/>
  <c r="H136" i="11"/>
  <c r="E288" i="29"/>
  <c r="F288" i="29"/>
  <c r="H57" i="11"/>
  <c r="I57" i="11"/>
  <c r="H67" i="11"/>
  <c r="J67" i="11"/>
  <c r="H45" i="11"/>
  <c r="I45" i="11"/>
  <c r="J135" i="11"/>
  <c r="H135" i="11"/>
  <c r="I13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143" i="11"/>
  <c r="I143" i="11"/>
  <c r="I120" i="11"/>
  <c r="H120" i="11"/>
  <c r="H80" i="11"/>
  <c r="J80" i="11"/>
  <c r="E313" i="29"/>
  <c r="J75" i="11"/>
  <c r="I20" i="11"/>
  <c r="I142" i="11"/>
  <c r="H55" i="11"/>
  <c r="J126" i="11"/>
  <c r="J74" i="11"/>
  <c r="J91" i="11"/>
  <c r="J133" i="11"/>
  <c r="H131" i="11"/>
  <c r="F729" i="41" l="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81" i="11"/>
  <c r="H7" i="54"/>
  <c r="D7" i="54"/>
  <c r="H8" i="54"/>
  <c r="D8" i="54"/>
  <c r="E8" i="54" s="1"/>
  <c r="C9" i="54"/>
  <c r="K82" i="11"/>
  <c r="F373" i="29"/>
  <c r="F1089" i="41"/>
  <c r="F65" i="39"/>
  <c r="F69" i="39"/>
  <c r="F372" i="29"/>
  <c r="F1158" i="41"/>
  <c r="F1052" i="41"/>
  <c r="F371" i="29"/>
  <c r="F940" i="41"/>
  <c r="F369" i="29"/>
  <c r="K68" i="11"/>
  <c r="K85" i="11"/>
  <c r="K88" i="11"/>
  <c r="K79" i="11"/>
  <c r="K124" i="11"/>
  <c r="K77" i="11"/>
  <c r="K78" i="11"/>
  <c r="K36" i="39"/>
  <c r="K65" i="11"/>
  <c r="K96" i="11"/>
  <c r="K126" i="11"/>
  <c r="K31" i="11"/>
  <c r="K36" i="11"/>
  <c r="K131" i="11"/>
  <c r="K26" i="11"/>
  <c r="F852" i="41"/>
  <c r="K137" i="1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97" i="11"/>
  <c r="K109" i="11"/>
  <c r="K110" i="11"/>
  <c r="K112" i="11"/>
  <c r="K28" i="11"/>
  <c r="K114" i="11"/>
  <c r="K103" i="11"/>
  <c r="K106" i="11"/>
  <c r="K23" i="11"/>
  <c r="K53" i="11"/>
  <c r="K74" i="11"/>
  <c r="K55" i="11"/>
  <c r="K43" i="11"/>
  <c r="K142" i="11"/>
  <c r="K50" i="11"/>
  <c r="K76" i="11"/>
  <c r="K116" i="11"/>
  <c r="K101" i="11"/>
  <c r="K111" i="11"/>
  <c r="K99" i="11"/>
  <c r="K104" i="11"/>
  <c r="K107" i="11"/>
  <c r="K100" i="11"/>
  <c r="K115" i="11"/>
  <c r="K98" i="11"/>
  <c r="K128" i="11"/>
  <c r="K48" i="11"/>
  <c r="K90" i="11"/>
  <c r="K118" i="11"/>
  <c r="K108" i="11"/>
  <c r="K87" i="11"/>
  <c r="K35" i="11"/>
  <c r="K69" i="11"/>
  <c r="K105" i="11"/>
  <c r="K27" i="11"/>
  <c r="K39" i="11"/>
  <c r="K24" i="11"/>
  <c r="K95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45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129" i="11"/>
  <c r="K66" i="11"/>
  <c r="K140" i="11"/>
  <c r="K141" i="11"/>
  <c r="K130" i="11"/>
  <c r="K119" i="11"/>
  <c r="K93" i="11"/>
  <c r="K125" i="11"/>
  <c r="K72" i="11"/>
  <c r="K136" i="11"/>
  <c r="K18" i="11"/>
  <c r="K70" i="11"/>
  <c r="K37" i="11"/>
  <c r="K122" i="11"/>
  <c r="K133" i="11"/>
  <c r="K94" i="11"/>
  <c r="K91" i="11"/>
  <c r="K44" i="11"/>
  <c r="K134" i="11"/>
  <c r="K33" i="11"/>
  <c r="K127" i="11"/>
  <c r="K139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143" i="11"/>
  <c r="K135" i="11"/>
  <c r="K38" i="11"/>
  <c r="F347" i="29"/>
  <c r="K19" i="11"/>
  <c r="K46" i="11"/>
  <c r="K120" i="11"/>
  <c r="K67" i="11"/>
  <c r="K30" i="11"/>
  <c r="K42" i="11"/>
  <c r="K56" i="11"/>
  <c r="K57" i="11"/>
  <c r="K138" i="11"/>
  <c r="K117" i="11"/>
  <c r="H147" i="11"/>
  <c r="F828" i="41"/>
  <c r="F802" i="41"/>
  <c r="K123" i="11"/>
  <c r="K61" i="11"/>
  <c r="F312" i="29"/>
  <c r="F233" i="29"/>
  <c r="I147" i="11"/>
  <c r="K15" i="11"/>
  <c r="K25" i="11"/>
  <c r="I9" i="54" l="1"/>
  <c r="H9" i="54"/>
  <c r="C10" i="54"/>
  <c r="D9" i="54"/>
  <c r="L8" i="54"/>
  <c r="M8" i="54" s="1"/>
  <c r="E7" i="54"/>
  <c r="L7" i="54" s="1"/>
  <c r="M7" i="54" s="1"/>
  <c r="C19" i="39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F129" i="29"/>
  <c r="F140" i="29"/>
  <c r="F36" i="29"/>
  <c r="F105" i="29"/>
  <c r="F35" i="29"/>
  <c r="F599" i="41"/>
  <c r="C380" i="41"/>
  <c r="G380" i="41" s="1"/>
  <c r="C513" i="4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B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G513" i="41"/>
  <c r="D513" i="41"/>
  <c r="L513" i="41"/>
  <c r="B513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48" i="11"/>
  <c r="H149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G554" i="41"/>
  <c r="B495" i="41"/>
  <c r="D495" i="41"/>
  <c r="L495" i="41"/>
  <c r="G495" i="41"/>
  <c r="C148" i="41"/>
  <c r="C182" i="41"/>
  <c r="B21" i="39"/>
  <c r="E21" i="39" s="1"/>
  <c r="G21" i="39"/>
  <c r="D21" i="39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D19" i="39"/>
  <c r="B19" i="39"/>
  <c r="E19" i="39" s="1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D61" i="29"/>
  <c r="L496" i="41"/>
  <c r="D106" i="29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G398" i="41"/>
  <c r="B398" i="41"/>
  <c r="L398" i="41"/>
  <c r="D398" i="41"/>
  <c r="L191" i="41"/>
  <c r="B191" i="41"/>
  <c r="D191" i="41"/>
  <c r="G191" i="41"/>
  <c r="D86" i="29"/>
  <c r="I148" i="11"/>
  <c r="I149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02" i="41"/>
  <c r="L202" i="41"/>
  <c r="D202" i="41"/>
  <c r="G202" i="41"/>
  <c r="G339" i="41"/>
  <c r="D339" i="41"/>
  <c r="D43" i="29"/>
  <c r="D599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B22" i="39"/>
  <c r="E22" i="39" s="1"/>
  <c r="D22" i="39"/>
  <c r="G22" i="3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B66" i="29"/>
  <c r="E66" i="29" s="1"/>
  <c r="D66" i="29"/>
  <c r="G66" i="29"/>
  <c r="G20" i="39"/>
  <c r="G412" i="41"/>
  <c r="B412" i="41"/>
  <c r="L412" i="41"/>
  <c r="D412" i="41"/>
  <c r="J144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L339" i="41" l="1"/>
  <c r="D241" i="41"/>
  <c r="G546" i="41"/>
  <c r="L370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H513" i="41"/>
  <c r="K513" i="41"/>
  <c r="J513" i="41"/>
  <c r="E513" i="41"/>
  <c r="I513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I22" i="39"/>
  <c r="J22" i="39"/>
  <c r="H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44" i="11"/>
  <c r="K147" i="11" s="1"/>
  <c r="J147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H202" i="41"/>
  <c r="E202" i="41"/>
  <c r="I202" i="41"/>
  <c r="K202" i="41"/>
  <c r="J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I398" i="41"/>
  <c r="E398" i="41"/>
  <c r="K398" i="41"/>
  <c r="J398" i="41"/>
  <c r="H398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J66" i="29"/>
  <c r="I66" i="29"/>
  <c r="H66" i="29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K164" i="41"/>
  <c r="E164" i="41"/>
  <c r="I164" i="41"/>
  <c r="H164" i="41"/>
  <c r="J164" i="41"/>
  <c r="E39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H407" i="41"/>
  <c r="J407" i="41"/>
  <c r="E407" i="41"/>
  <c r="I407" i="41"/>
  <c r="K407" i="41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E327" i="41"/>
  <c r="J327" i="41"/>
  <c r="H327" i="41"/>
  <c r="I327" i="41"/>
  <c r="K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H263" i="41"/>
  <c r="I263" i="41"/>
  <c r="E263" i="41"/>
  <c r="K263" i="41"/>
  <c r="J263" i="4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272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K426" i="41"/>
  <c r="I426" i="41"/>
  <c r="H426" i="41"/>
  <c r="E426" i="41"/>
  <c r="J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K133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J21" i="39"/>
  <c r="H21" i="39"/>
  <c r="I21" i="39"/>
  <c r="K495" i="41"/>
  <c r="H495" i="41"/>
  <c r="I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503" i="41" l="1"/>
  <c r="K503" i="41"/>
  <c r="H130" i="29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C12" i="54"/>
  <c r="E11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K130" i="29" s="1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K22" i="39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K21" i="39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K66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48" i="11"/>
  <c r="J149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48" i="11"/>
  <c r="K149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87" i="29" l="1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0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J15" i="54" s="1"/>
  <c r="I15" i="54"/>
  <c r="C16" i="54"/>
  <c r="N13" i="54"/>
  <c r="P13" i="54" s="1"/>
  <c r="L14" i="54"/>
  <c r="M14" i="54" s="1"/>
  <c r="N7" i="54"/>
  <c r="N15" i="54" l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J20" i="54" s="1"/>
  <c r="I20" i="54"/>
  <c r="D20" i="54"/>
  <c r="C21" i="54"/>
  <c r="Q11" i="54"/>
  <c r="S10" i="54"/>
  <c r="T10" i="54"/>
  <c r="N19" i="54" l="1"/>
  <c r="P19" i="54" s="1"/>
  <c r="E20" i="54"/>
  <c r="L20" i="54"/>
  <c r="M20" i="54" s="1"/>
  <c r="N20" i="54" s="1"/>
  <c r="P20" i="54" s="1"/>
  <c r="H21" i="54"/>
  <c r="I21" i="54"/>
  <c r="C22" i="54"/>
  <c r="D21" i="54"/>
  <c r="E21" i="54" s="1"/>
  <c r="L21" i="54" s="1"/>
  <c r="M21" i="54" s="1"/>
  <c r="S11" i="54"/>
  <c r="Q12" i="54"/>
  <c r="T11" i="54"/>
  <c r="J21" i="54" l="1"/>
  <c r="N21" i="54" s="1"/>
  <c r="P21" i="54" s="1"/>
  <c r="C23" i="54"/>
  <c r="I22" i="54"/>
  <c r="H22" i="54"/>
  <c r="D22" i="54"/>
  <c r="E22" i="54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C24" i="54"/>
  <c r="E23" i="54"/>
  <c r="S13" i="54"/>
  <c r="Q14" i="54"/>
  <c r="T13" i="54"/>
  <c r="J23" i="54" l="1"/>
  <c r="D24" i="54"/>
  <c r="E24" i="54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5" i="54" s="1"/>
  <c r="J24" i="54"/>
  <c r="L24" i="54"/>
  <c r="M24" i="54" s="1"/>
  <c r="Q16" i="54"/>
  <c r="T16" i="54" s="1"/>
  <c r="S15" i="54"/>
  <c r="T15" i="54"/>
  <c r="N24" i="54" l="1"/>
  <c r="P24" i="54" s="1"/>
  <c r="N25" i="54"/>
  <c r="P25" i="54" s="1"/>
  <c r="C27" i="54"/>
  <c r="I26" i="54"/>
  <c r="H26" i="54"/>
  <c r="J26" i="54" s="1"/>
  <c r="D26" i="54"/>
  <c r="S16" i="54"/>
  <c r="Q17" i="54"/>
  <c r="T17" i="54" s="1"/>
  <c r="E26" i="54" l="1"/>
  <c r="L26" i="54"/>
  <c r="M26" i="54" s="1"/>
  <c r="N26" i="54" s="1"/>
  <c r="P26" i="54" s="1"/>
  <c r="D27" i="54"/>
  <c r="C28" i="54"/>
  <c r="I27" i="54"/>
  <c r="H27" i="54"/>
  <c r="J27" i="54" s="1"/>
  <c r="E27" i="54"/>
  <c r="L27" i="54" s="1"/>
  <c r="M27" i="54" s="1"/>
  <c r="S17" i="54"/>
  <c r="Q18" i="54"/>
  <c r="T18" i="54" s="1"/>
  <c r="N27" i="54" l="1"/>
  <c r="P27" i="54" s="1"/>
  <c r="I28" i="54"/>
  <c r="H28" i="54"/>
  <c r="J28" i="54" s="1"/>
  <c r="C29" i="54"/>
  <c r="D28" i="54"/>
  <c r="E28" i="54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/>
  <c r="H32" i="54"/>
  <c r="J32" i="54" s="1"/>
  <c r="S22" i="54"/>
  <c r="Q23" i="54"/>
  <c r="T23" i="54" s="1"/>
  <c r="N31" i="54" l="1"/>
  <c r="P31" i="54" s="1"/>
  <c r="L32" i="54"/>
  <c r="M32" i="54" s="1"/>
  <c r="J33" i="54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<sst xmlns="http://schemas.openxmlformats.org/spreadsheetml/2006/main" count="4752" uniqueCount="1645">
  <si>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</si>
  <si>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</si>
  <si>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</si>
  <si>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</si>
  <si>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</si>
  <si>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</si>
  <si>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</si>
  <si>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</si>
  <si>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</si>
  <si>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</si>
  <si>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</si>
  <si>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</si>
  <si>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</si>
  <si>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</si>
  <si>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</si>
  <si>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</si>
  <si>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</si>
  <si>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</si>
  <si>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</si>
  <si>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</si>
  <si>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</si>
  <si>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</si>
  <si>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</si>
  <si>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</si>
  <si>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</si>
  <si>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</si>
  <si>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</si>
  <si>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</si>
  <si>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</si>
  <si>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</si>
  <si>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</si>
  <si>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</si>
  <si>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</si>
  <si>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</si>
  <si>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</si>
  <si>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</si>
  <si>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</si>
  <si>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</si>
  <si>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</si>
  <si>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</si>
  <si>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</si>
  <si>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</si>
  <si>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</si>
  <si>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</si>
  <si>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</si>
  <si>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</si>
  <si>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</si>
  <si>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</si>
  <si>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</si>
  <si>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</si>
  <si>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</si>
  <si>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</si>
  <si>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</si>
  <si>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</si>
  <si>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</si>
  <si>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</si>
  <si>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</si>
  <si>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</si>
  <si>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</si>
  <si>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</si>
  <si>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</si>
  <si>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</si>
  <si>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</si>
  <si>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</si>
  <si>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</si>
  <si>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</si>
  <si>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</si>
  <si>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</si>
  <si>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</si>
  <si>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</si>
  <si>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</si>
  <si>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</si>
  <si>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</si>
  <si>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</si>
  <si>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</si>
  <si>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</si>
  <si>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</si>
  <si>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</si>
  <si>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</si>
  <si>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</si>
  <si>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</si>
  <si>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</si>
  <si>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</si>
  <si>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</si>
  <si>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</si>
  <si>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</si>
  <si>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</si>
  <si>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</si>
  <si>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</si>
  <si>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</si>
  <si>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</si>
  <si>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</si>
  <si>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</si>
  <si>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</si>
  <si>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</si>
  <si>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</si>
  <si>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</si>
  <si>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</si>
  <si>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</si>
  <si>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</si>
  <si>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</si>
  <si>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</si>
  <si>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</si>
  <si>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</si>
  <si>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</si>
  <si>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</si>
  <si>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</si>
  <si>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</si>
  <si>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</si>
  <si>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</si>
  <si>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</si>
  <si>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</si>
  <si>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</si>
  <si>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</si>
  <si>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</si>
  <si>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</si>
  <si>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</si>
  <si>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</si>
  <si>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</si>
  <si>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</si>
  <si>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</si>
  <si>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</si>
  <si>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</si>
  <si>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</si>
  <si>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</si>
  <si>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</si>
  <si>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</si>
  <si>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</si>
  <si>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</si>
  <si>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</si>
  <si>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</si>
  <si>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</si>
  <si>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</si>
  <si>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</si>
  <si>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</si>
  <si>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</si>
  <si>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</si>
  <si>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</si>
  <si>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</si>
  <si>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</si>
  <si>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</si>
  <si>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</si>
  <si>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</si>
  <si>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</si>
  <si>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</si>
  <si>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</si>
  <si>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</si>
  <si>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</si>
  <si>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</si>
  <si>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</si>
  <si>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</si>
  <si>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</si>
  <si>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</si>
  <si>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</si>
  <si>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</si>
  <si>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</si>
  <si>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</si>
  <si>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</si>
  <si>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</si>
  <si>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</si>
  <si>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</si>
  <si>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</si>
  <si>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</si>
  <si>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</si>
  <si>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</si>
  <si>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</si>
  <si>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</si>
  <si>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</si>
  <si>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</si>
  <si>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</si>
  <si>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</si>
  <si>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</si>
  <si>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</si>
  <si>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</si>
  <si>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</si>
  <si>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</si>
  <si>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</si>
  <si>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</si>
  <si>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</si>
  <si>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</si>
  <si>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</si>
  <si>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</si>
  <si>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</si>
  <si>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</si>
  <si>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</si>
  <si>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</si>
  <si>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</si>
  <si>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</si>
  <si>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</si>
  <si>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</si>
  <si>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</si>
  <si>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</si>
  <si>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</si>
  <si>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</si>
  <si>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</si>
  <si>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</si>
  <si>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</si>
  <si>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</si>
  <si>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</si>
  <si>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</si>
  <si>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</si>
  <si>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</si>
  <si>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</si>
  <si>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</si>
  <si>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</si>
  <si>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</si>
  <si>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</si>
  <si>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</si>
  <si>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</si>
  <si>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</si>
  <si>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</si>
  <si>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</si>
  <si>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</si>
  <si>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</si>
  <si>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</si>
  <si>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</si>
  <si>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</si>
  <si>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</si>
  <si>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</si>
  <si>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</si>
  <si>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</si>
  <si>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</si>
  <si>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</si>
  <si>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</si>
  <si>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</si>
  <si>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</si>
  <si>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</si>
  <si>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</si>
  <si>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</si>
  <si>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</si>
  <si>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</si>
  <si>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</si>
  <si>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</si>
  <si>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</si>
  <si>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</si>
  <si>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</si>
  <si>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</si>
  <si>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</si>
  <si>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</si>
  <si>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</si>
  <si>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</si>
  <si>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</si>
  <si>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</si>
  <si>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</si>
  <si>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</si>
  <si>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</si>
  <si>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</si>
  <si>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</si>
  <si>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</si>
  <si>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</si>
  <si>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</si>
  <si>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</si>
  <si>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</si>
  <si>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</si>
  <si>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</si>
  <si>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</si>
  <si>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</si>
  <si>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</si>
  <si>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</si>
  <si>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</si>
  <si>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</si>
  <si>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</si>
  <si>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</si>
  <si>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</si>
  <si>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</si>
  <si>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</si>
  <si>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</si>
  <si>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</si>
  <si>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</si>
  <si>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</si>
  <si>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</si>
  <si>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</si>
  <si>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</si>
  <si>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</si>
  <si>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</si>
  <si>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</si>
  <si>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</si>
  <si>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</si>
  <si>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</si>
  <si>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</si>
  <si>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</si>
  <si>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</si>
  <si>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</si>
  <si>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</si>
  <si>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</si>
  <si>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</si>
  <si>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</si>
  <si>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</si>
  <si>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</si>
  <si>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</si>
  <si>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</si>
  <si>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</si>
  <si>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</si>
  <si>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</si>
  <si>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</si>
  <si>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</si>
  <si>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</si>
  <si>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</si>
  <si>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</si>
  <si>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</si>
  <si>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</si>
  <si>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</si>
  <si>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</si>
  <si>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</si>
  <si>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</si>
  <si>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</si>
  <si>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</si>
  <si>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</si>
  <si>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</si>
  <si>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</si>
  <si>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</si>
  <si>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</si>
  <si>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</si>
  <si>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</si>
  <si>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</si>
  <si>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</si>
  <si>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</si>
  <si>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</si>
  <si>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</si>
  <si>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</si>
  <si>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</si>
  <si>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</si>
  <si>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</si>
  <si>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</si>
  <si>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</si>
  <si>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</si>
  <si>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</si>
  <si>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</si>
  <si>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</si>
  <si>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</si>
  <si>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</si>
  <si>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</si>
  <si>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</si>
  <si>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</si>
  <si>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</si>
  <si>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</si>
  <si>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</si>
  <si>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</si>
  <si>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</si>
  <si>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</si>
  <si>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</si>
  <si>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</si>
  <si>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</si>
  <si>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</si>
  <si>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</si>
  <si>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</si>
  <si>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</si>
  <si>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</si>
  <si>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</si>
  <si>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</si>
  <si>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</si>
  <si>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</si>
  <si>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</si>
  <si>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</si>
  <si>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</si>
  <si>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</si>
  <si>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</si>
  <si>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</si>
  <si>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</si>
  <si>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</si>
  <si>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</si>
  <si>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</si>
  <si>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</si>
  <si>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</si>
  <si>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</si>
  <si>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</si>
  <si>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</si>
  <si>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</si>
  <si>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</si>
  <si>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</si>
  <si>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</si>
  <si>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</si>
  <si>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</si>
  <si>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</si>
  <si>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</si>
  <si>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</si>
  <si>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</si>
  <si>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</si>
  <si>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</si>
  <si>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</si>
  <si>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</si>
  <si>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</si>
  <si>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</si>
  <si>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</si>
  <si>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</si>
  <si>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</si>
  <si>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</si>
  <si>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</si>
  <si>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</si>
  <si>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</si>
  <si>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</si>
  <si>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</si>
  <si>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</si>
  <si>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</si>
  <si>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</si>
  <si>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</si>
  <si>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</si>
  <si>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</si>
  <si>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</si>
  <si>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</si>
  <si>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</si>
  <si>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</si>
  <si>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</si>
  <si>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</si>
  <si>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</si>
  <si>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</si>
  <si>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</si>
  <si>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</si>
  <si>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</si>
  <si>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</si>
  <si>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</si>
  <si>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</si>
  <si>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</si>
  <si>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</si>
  <si>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</si>
  <si>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</si>
  <si>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</si>
  <si>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</si>
  <si>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</si>
  <si>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</si>
  <si>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</si>
  <si>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</si>
  <si>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</si>
  <si>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</si>
  <si>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</si>
  <si>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</si>
  <si>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</si>
  <si>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</si>
  <si>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</si>
  <si>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</si>
  <si>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</si>
  <si>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</si>
  <si>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</si>
  <si>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</si>
  <si>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</si>
  <si>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</si>
  <si>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</si>
  <si>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</si>
  <si>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</si>
  <si>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</si>
  <si>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</si>
  <si>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</si>
  <si>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</si>
  <si>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</si>
  <si>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</si>
  <si>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</si>
  <si>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</si>
  <si>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</si>
  <si>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</si>
  <si>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</si>
  <si>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</si>
  <si>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</si>
  <si>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</si>
  <si>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</si>
  <si>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</si>
  <si>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</si>
  <si>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</si>
  <si>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</si>
  <si>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</si>
  <si>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</si>
  <si>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</si>
  <si>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</si>
  <si>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</si>
  <si>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</si>
  <si>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</si>
  <si>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</si>
  <si>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</si>
  <si>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</si>
  <si>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</si>
  <si>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</si>
  <si>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</si>
  <si>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</si>
  <si>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</si>
  <si>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</si>
  <si>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</si>
  <si>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</si>
  <si>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</si>
  <si>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</si>
  <si>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</si>
  <si>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</si>
  <si>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</si>
  <si>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</si>
  <si>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</si>
  <si>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</si>
  <si>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</si>
  <si>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</si>
  <si>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</si>
  <si>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</si>
  <si>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</si>
  <si>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</si>
  <si>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</si>
  <si>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</si>
  <si>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</si>
  <si>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</si>
  <si>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</si>
  <si>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</si>
  <si>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</si>
  <si>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</si>
  <si>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</si>
  <si>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</si>
  <si>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</si>
  <si>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</si>
  <si>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</si>
  <si>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</si>
  <si>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</si>
  <si>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</si>
  <si>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</si>
  <si>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</si>
  <si>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</si>
  <si>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</si>
  <si>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</si>
  <si>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</si>
  <si>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</si>
  <si>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</si>
  <si>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</si>
  <si>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</si>
  <si>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</si>
  <si>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</si>
  <si>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</si>
  <si>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</si>
  <si>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</si>
  <si>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</si>
  <si>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</si>
  <si>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</si>
  <si>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</si>
  <si>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</si>
  <si>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</si>
  <si>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</si>
  <si>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</si>
  <si>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</si>
  <si>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</si>
  <si>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</si>
  <si>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</si>
  <si>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</si>
  <si>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</si>
  <si>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</si>
  <si>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</si>
  <si>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</si>
  <si>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</si>
  <si>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</si>
  <si>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</si>
  <si>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</si>
  <si>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</si>
  <si>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</si>
  <si>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</si>
  <si>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</si>
  <si>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</si>
  <si>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</si>
  <si>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</si>
  <si>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</si>
  <si>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</si>
  <si>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</si>
  <si>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</si>
  <si>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</si>
  <si>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</si>
  <si>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</si>
  <si>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</si>
  <si>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</si>
  <si>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</si>
  <si>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</si>
  <si>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</si>
  <si>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</si>
  <si>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</si>
  <si>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</si>
  <si>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</si>
  <si>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</si>
  <si>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</si>
  <si>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</si>
  <si>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</si>
  <si>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</si>
  <si>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</si>
  <si>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</si>
  <si>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</si>
  <si>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</si>
  <si>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</si>
  <si>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</si>
  <si>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</si>
  <si>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</si>
  <si>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</si>
  <si>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</si>
  <si>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</si>
  <si>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</si>
  <si>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</si>
  <si>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</si>
  <si>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</si>
  <si>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</si>
  <si>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</si>
  <si>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</si>
  <si>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</si>
  <si>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</si>
  <si>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</si>
  <si>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</si>
  <si>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</si>
  <si>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</si>
  <si>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</si>
  <si>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</si>
  <si>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</si>
  <si>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</si>
  <si>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</si>
  <si>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</si>
  <si>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</si>
  <si>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</si>
  <si>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</si>
  <si>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</si>
  <si>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</si>
  <si>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</si>
  <si>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</si>
  <si>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</si>
  <si>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</si>
  <si>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</si>
  <si>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</si>
  <si>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</si>
  <si>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</si>
  <si>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</si>
  <si>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</si>
  <si>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</si>
  <si>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</si>
  <si>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</si>
  <si>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</si>
  <si>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</si>
  <si>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</si>
  <si>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</si>
  <si>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</si>
  <si>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</si>
  <si>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</si>
  <si>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</si>
  <si>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</si>
  <si>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</si>
  <si>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</si>
  <si>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</si>
  <si>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</si>
  <si>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</si>
  <si>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</si>
  <si>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</si>
  <si>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</si>
  <si>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</si>
  <si>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</si>
  <si>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</si>
  <si>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</si>
  <si>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</si>
  <si>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</si>
  <si>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</si>
  <si>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</si>
  <si>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</si>
  <si>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</si>
  <si>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</si>
  <si>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</si>
  <si>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</si>
  <si>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</si>
  <si>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</si>
  <si>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</si>
  <si>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</si>
  <si>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</si>
  <si>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</si>
  <si>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</si>
  <si>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</si>
  <si>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</si>
  <si>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</si>
  <si>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</si>
  <si>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</si>
  <si>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</si>
  <si>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</si>
  <si>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</si>
  <si>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</si>
  <si>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</si>
  <si>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</si>
  <si>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</si>
  <si>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</si>
  <si>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</si>
  <si>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</si>
  <si>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</si>
  <si>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</si>
  <si>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</si>
  <si>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</si>
  <si>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</si>
  <si>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</si>
  <si>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</si>
  <si>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</si>
  <si>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</si>
  <si>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</si>
  <si>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</si>
  <si>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</si>
  <si>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</si>
  <si>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</si>
  <si>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</si>
  <si>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</si>
  <si>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</si>
  <si>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</si>
  <si>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</si>
  <si>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</si>
  <si>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</si>
  <si>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</si>
  <si>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</si>
  <si>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</si>
  <si>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</si>
  <si>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</si>
  <si>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</si>
  <si>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</si>
  <si>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</si>
  <si>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</si>
  <si>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</si>
  <si>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</si>
  <si>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</si>
  <si>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</si>
  <si>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</si>
  <si>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</si>
  <si>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</si>
  <si>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</si>
  <si>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</si>
  <si>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</si>
  <si>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</si>
  <si>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</si>
  <si>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</si>
  <si>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</si>
  <si>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</si>
  <si>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</si>
  <si>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</si>
  <si>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</si>
  <si>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</si>
  <si>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</si>
  <si>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</si>
  <si>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</si>
  <si>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</si>
  <si>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</si>
  <si>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</si>
  <si>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</si>
  <si>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</si>
  <si>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</si>
  <si>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</si>
  <si>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</si>
  <si>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</si>
  <si>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</si>
  <si>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</si>
  <si>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</si>
  <si>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</si>
  <si>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</si>
  <si>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</si>
  <si>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</si>
  <si>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</si>
  <si>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</si>
  <si>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</si>
  <si>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</si>
  <si>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</si>
  <si>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</si>
  <si>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</si>
  <si>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</si>
  <si>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</si>
  <si>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</si>
  <si>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</si>
  <si>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</si>
  <si>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</si>
  <si>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</si>
  <si>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</si>
  <si>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</si>
  <si>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</si>
  <si>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</si>
  <si>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</si>
  <si>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</si>
  <si>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</si>
  <si>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</si>
  <si>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</si>
  <si>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</si>
  <si>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</si>
  <si>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</si>
  <si>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</si>
  <si>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</si>
  <si>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</si>
  <si>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</si>
  <si>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</si>
  <si>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</si>
  <si>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</si>
  <si>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</si>
  <si>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</si>
  <si>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</si>
  <si>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</si>
  <si>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</si>
  <si>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</si>
  <si>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</si>
  <si>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</si>
  <si>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</si>
  <si>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</si>
  <si>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</si>
  <si>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</si>
  <si>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</si>
  <si>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</si>
  <si>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</si>
  <si>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</si>
  <si>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</si>
  <si>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</si>
  <si>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</si>
  <si>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</si>
  <si>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</si>
  <si>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</si>
  <si>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</si>
  <si>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</si>
  <si>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</si>
  <si>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</si>
  <si>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</si>
  <si>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</si>
  <si>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</si>
  <si>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</si>
  <si>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</si>
  <si>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</si>
  <si>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</si>
  <si>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</si>
  <si>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</si>
  <si>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</si>
  <si>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</si>
  <si>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</si>
  <si>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</si>
  <si>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</si>
  <si>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</si>
  <si>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</si>
  <si>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</si>
  <si>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</si>
  <si>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</si>
  <si>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</si>
  <si>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</si>
  <si>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</si>
  <si>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</si>
  <si>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</si>
  <si>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</si>
  <si>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</si>
  <si>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</si>
  <si>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</si>
  <si>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</si>
  <si>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</si>
  <si>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</si>
  <si>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</si>
  <si>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</si>
  <si>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</si>
  <si>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</si>
  <si>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</si>
  <si>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</si>
  <si>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</si>
  <si>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</si>
  <si>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</si>
  <si>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</si>
  <si>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</si>
  <si>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</si>
  <si>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</si>
  <si>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</si>
  <si>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</si>
  <si>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</si>
  <si>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</si>
  <si>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</si>
  <si>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</si>
  <si>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</si>
  <si>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</si>
  <si>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</si>
  <si>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</si>
  <si>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</si>
  <si>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</si>
  <si>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</si>
  <si>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</si>
  <si>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</si>
  <si>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</si>
  <si>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</si>
  <si>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</si>
  <si>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</si>
  <si>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</si>
  <si>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</si>
  <si>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</si>
  <si>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</si>
  <si>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</si>
  <si>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</si>
  <si>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</si>
  <si>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</si>
  <si>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</si>
  <si>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</si>
  <si>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</si>
  <si>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</si>
  <si>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</si>
  <si>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</si>
  <si>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</si>
  <si>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</si>
  <si>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</si>
  <si>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</si>
  <si>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</si>
  <si>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</si>
  <si>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</si>
  <si>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</si>
  <si>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</si>
  <si>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</si>
  <si>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</si>
  <si>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</si>
  <si>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</si>
  <si>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</si>
  <si>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</si>
  <si>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</si>
  <si>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</si>
  <si>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</si>
  <si>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</si>
  <si>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</si>
  <si>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</si>
  <si>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</si>
  <si>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</si>
  <si>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</si>
  <si>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</si>
  <si>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</si>
  <si>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</si>
  <si>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</si>
  <si>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</si>
  <si>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</si>
  <si>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</si>
  <si>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</si>
  <si>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</si>
  <si>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</si>
  <si>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</si>
  <si>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</si>
  <si>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</si>
  <si>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</si>
  <si>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</si>
  <si>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</si>
  <si>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</si>
  <si>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</si>
  <si>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</si>
  <si>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</si>
  <si>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</si>
  <si>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</si>
  <si>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</si>
  <si>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</si>
  <si>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</si>
  <si>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</si>
  <si>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</si>
  <si>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</si>
  <si>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</si>
  <si>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</si>
  <si>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</si>
  <si>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</si>
  <si>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</si>
  <si>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</si>
  <si>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</si>
  <si>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</si>
  <si>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</si>
  <si>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</si>
  <si>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</si>
  <si>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</si>
  <si>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</si>
  <si>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</si>
  <si>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</si>
  <si>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</si>
  <si>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</si>
  <si>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</si>
  <si>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</si>
  <si>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</si>
  <si>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</si>
  <si>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</si>
  <si>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</si>
  <si>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</si>
  <si>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</si>
  <si>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</si>
  <si>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</si>
  <si>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</si>
  <si>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</si>
  <si>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</si>
  <si>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</si>
  <si>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</si>
  <si>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</si>
  <si>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</si>
  <si>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</si>
  <si>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</si>
  <si>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</si>
  <si>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</si>
  <si>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</si>
  <si>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</si>
  <si>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</si>
  <si>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</si>
  <si>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</si>
  <si>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</si>
  <si>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</si>
  <si>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</si>
  <si>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</si>
  <si>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</si>
  <si>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</si>
  <si>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</si>
  <si>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</si>
  <si>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</si>
  <si>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</si>
  <si>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</si>
  <si>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</si>
  <si>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</si>
  <si>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</si>
  <si>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</si>
  <si>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</si>
  <si>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</si>
  <si>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</si>
  <si>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</si>
  <si>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</si>
  <si>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</si>
  <si>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</si>
  <si>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</si>
  <si>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</si>
  <si>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</si>
  <si>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</si>
  <si>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</si>
  <si>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</si>
  <si>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</si>
  <si>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</si>
  <si>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</si>
  <si>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</si>
  <si>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</si>
  <si>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</si>
  <si>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</si>
  <si>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</si>
  <si>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</si>
  <si>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</si>
  <si>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</si>
  <si>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</si>
  <si>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</si>
  <si>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</si>
  <si>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</si>
  <si>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</si>
  <si>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</si>
  <si>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</si>
  <si>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</si>
  <si>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</si>
  <si>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</si>
  <si>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</si>
  <si>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</si>
  <si>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</si>
  <si>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</si>
  <si>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</si>
  <si>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</si>
  <si>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</si>
  <si>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</si>
  <si>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</si>
  <si>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</si>
  <si>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</si>
  <si>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</si>
  <si>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</si>
  <si>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</si>
  <si>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</si>
  <si>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</si>
  <si>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</si>
  <si>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</si>
  <si>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</si>
  <si>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</si>
  <si>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</si>
  <si>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</si>
  <si>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</si>
  <si>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</si>
  <si>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</si>
  <si>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</si>
  <si>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</si>
  <si>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</si>
  <si>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</si>
  <si>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</si>
  <si>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</si>
  <si>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</si>
  <si>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</si>
  <si>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</si>
  <si>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</si>
  <si>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</si>
  <si>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</si>
  <si>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</si>
  <si>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</si>
  <si>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</si>
  <si>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</si>
  <si>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</si>
  <si>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</si>
  <si>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</si>
  <si>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</si>
  <si>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</si>
  <si>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</si>
  <si>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</si>
  <si>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</si>
  <si>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</si>
  <si>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</si>
  <si>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</si>
  <si>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</si>
  <si>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</si>
  <si>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</si>
  <si>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</si>
  <si>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</si>
  <si>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</si>
  <si>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</si>
  <si>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</si>
  <si>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</si>
  <si>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</si>
  <si>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</si>
  <si>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</si>
  <si>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</si>
  <si>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</si>
  <si>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</si>
  <si>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</si>
  <si>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</si>
  <si>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</si>
  <si>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</si>
  <si>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</si>
  <si>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</si>
  <si>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</si>
  <si>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</si>
  <si>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</si>
  <si>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</si>
  <si>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</si>
  <si>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</si>
  <si>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</si>
  <si>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</si>
  <si>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</si>
  <si>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</si>
  <si>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</si>
  <si>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</si>
  <si>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</si>
  <si>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</si>
  <si>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</si>
  <si>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</si>
  <si>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</si>
  <si>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</si>
  <si>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</si>
  <si>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</si>
  <si>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</si>
  <si>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</si>
  <si>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</si>
  <si>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</si>
  <si>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</si>
  <si>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</si>
  <si>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</si>
  <si>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</si>
  <si>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</si>
  <si>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</si>
  <si>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</si>
  <si>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</si>
  <si>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</si>
  <si>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</si>
  <si>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</si>
  <si>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</si>
  <si>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</si>
  <si>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</si>
  <si>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</si>
  <si>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</si>
  <si>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</si>
  <si>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</si>
  <si>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</si>
  <si>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</si>
  <si>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</si>
  <si>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</si>
  <si>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</si>
  <si>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</si>
  <si>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</si>
  <si>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</si>
  <si>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</si>
  <si>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</si>
  <si>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</si>
  <si>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</si>
  <si>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</si>
  <si>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</si>
  <si>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</si>
  <si>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</si>
  <si>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</si>
  <si>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</si>
  <si>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</si>
  <si>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</si>
  <si>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</si>
  <si>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</si>
  <si>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</si>
  <si>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</si>
  <si>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</si>
  <si>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</si>
  <si>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</si>
  <si>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</si>
  <si>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</si>
  <si>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</si>
  <si>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</si>
  <si>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</si>
  <si>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</si>
  <si>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</si>
  <si>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</si>
  <si>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</si>
  <si>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</si>
  <si>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</si>
  <si>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</si>
  <si>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</si>
  <si>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</si>
  <si>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</si>
  <si>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</si>
  <si>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</si>
  <si>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</si>
  <si>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</si>
  <si>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</si>
  <si>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</si>
  <si>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</si>
  <si>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</si>
  <si>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</si>
  <si>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</si>
  <si>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</si>
  <si>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</si>
  <si>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</si>
  <si>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</si>
  <si>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</si>
  <si>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</si>
  <si>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</si>
  <si>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</si>
  <si>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</si>
  <si>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</si>
  <si>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</si>
  <si>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</si>
  <si>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</si>
  <si>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</si>
  <si>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</si>
  <si>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</si>
  <si>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</si>
  <si>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</si>
  <si>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</si>
  <si>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</si>
  <si>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</si>
  <si>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</si>
  <si>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</si>
  <si>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</si>
  <si>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</si>
  <si>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</si>
  <si>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</si>
  <si>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</si>
  <si>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</si>
  <si>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</si>
  <si>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</si>
  <si>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</si>
  <si>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</si>
  <si>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</si>
  <si>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</si>
  <si>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</si>
  <si>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</si>
  <si>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</si>
  <si>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</si>
  <si>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</si>
  <si>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</si>
  <si>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</si>
  <si>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</si>
  <si>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</si>
  <si>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</si>
  <si>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</si>
  <si>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</si>
  <si>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</si>
  <si>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</si>
  <si>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</si>
  <si>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</si>
  <si>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</si>
  <si>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</si>
  <si>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</si>
  <si>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</si>
  <si>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</si>
  <si>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</si>
  <si>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</si>
  <si>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</si>
  <si>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</si>
  <si>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</si>
  <si>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</si>
  <si>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</si>
  <si>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</si>
  <si>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</si>
  <si>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</si>
  <si>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</si>
  <si>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</si>
  <si>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</si>
  <si>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</si>
  <si>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</si>
  <si>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</si>
  <si>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</si>
  <si>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</si>
  <si>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</si>
  <si>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</si>
  <si>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</si>
  <si>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</si>
  <si>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</si>
  <si>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</si>
  <si>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</si>
  <si>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</si>
  <si>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</si>
  <si>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</si>
  <si>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</si>
  <si>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</si>
  <si>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</si>
  <si>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</si>
  <si>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</si>
  <si>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</si>
  <si>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</si>
  <si>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</si>
  <si>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</si>
  <si>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</si>
  <si>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</si>
  <si>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</si>
  <si>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</si>
  <si>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</si>
  <si>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</si>
  <si>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</si>
  <si>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</si>
  <si>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</si>
  <si>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</si>
  <si>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</si>
  <si>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</si>
  <si>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</si>
  <si>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</si>
  <si>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</si>
  <si>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</si>
  <si>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</si>
  <si>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</si>
  <si>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</si>
  <si>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</si>
  <si>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</si>
  <si>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</si>
  <si>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</si>
  <si>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</si>
  <si>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</si>
  <si>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</si>
  <si>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</si>
  <si>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</si>
  <si>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</si>
  <si>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</si>
  <si>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</si>
  <si>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</si>
  <si>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</si>
  <si>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</si>
  <si>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</si>
  <si>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</si>
  <si>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</si>
  <si>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</si>
  <si>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</si>
  <si>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</si>
  <si>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</si>
  <si>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</si>
  <si>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</si>
  <si>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</si>
  <si>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</si>
  <si>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</si>
  <si>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</si>
  <si>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</si>
  <si>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</si>
  <si>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</si>
  <si>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</si>
  <si>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</si>
  <si>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</si>
  <si>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</si>
  <si>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</si>
  <si>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</si>
  <si>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</si>
  <si>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</si>
  <si>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</si>
  <si>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</si>
  <si>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</si>
  <si>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</si>
  <si>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</si>
  <si>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</si>
  <si>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</si>
  <si>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</si>
  <si>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</si>
  <si>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</si>
  <si>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</si>
  <si>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</si>
  <si>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</si>
  <si>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</si>
  <si>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</si>
  <si>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</si>
  <si>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</si>
  <si>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</si>
  <si>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</si>
  <si>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</si>
  <si>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</si>
  <si>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</si>
  <si>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</si>
  <si>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</si>
  <si>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</si>
  <si>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</si>
  <si>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</si>
  <si>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</si>
  <si>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</si>
  <si>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</si>
  <si>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</si>
  <si>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</si>
  <si>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</si>
  <si>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</si>
  <si>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</si>
  <si>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</si>
  <si>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</si>
  <si>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</si>
  <si>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</si>
  <si>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</si>
  <si>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</si>
  <si>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</si>
  <si>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</si>
  <si>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</si>
  <si>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</si>
  <si>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</si>
  <si>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</si>
  <si>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</si>
  <si>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</si>
  <si>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</si>
  <si>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</si>
  <si>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</si>
  <si>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</si>
  <si>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</si>
  <si>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</si>
  <si>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</si>
  <si>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</si>
  <si>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</si>
  <si>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</si>
  <si>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</si>
  <si>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</si>
  <si>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</si>
  <si>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</si>
  <si>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</si>
  <si>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</si>
  <si>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</si>
  <si>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</si>
  <si>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</si>
  <si>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</si>
  <si>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</si>
  <si>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</si>
  <si>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</si>
  <si>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</si>
  <si>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</si>
  <si>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</si>
  <si>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</si>
  <si>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</si>
  <si>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</si>
  <si>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</si>
  <si>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</si>
  <si>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</si>
  <si>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</si>
  <si>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</si>
  <si>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</si>
  <si>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</si>
  <si>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</si>
  <si>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</si>
  <si>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</si>
  <si>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</si>
  <si>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</si>
  <si>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</si>
  <si>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</si>
  <si>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</si>
  <si>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</si>
  <si>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</si>
  <si>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</si>
  <si>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</si>
  <si>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</si>
  <si>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</si>
  <si>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</si>
  <si>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</si>
  <si>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</si>
  <si>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</si>
  <si>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</si>
  <si>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</si>
  <si>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</si>
  <si>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</si>
  <si>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</si>
  <si>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</si>
  <si>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</si>
  <si>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</si>
  <si>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</si>
  <si>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</si>
  <si>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</si>
  <si>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</si>
  <si>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</si>
  <si>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</si>
  <si>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</si>
  <si>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</si>
  <si>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</si>
  <si>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</si>
  <si>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</si>
  <si>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</si>
  <si>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</si>
  <si>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</si>
  <si>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</si>
  <si>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</si>
  <si>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</si>
  <si>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</si>
  <si>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</si>
  <si>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</si>
  <si>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</si>
  <si>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</si>
  <si>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</si>
  <si>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</si>
  <si>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</si>
  <si>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</si>
  <si>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</si>
  <si>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</si>
  <si>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</si>
  <si>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</si>
  <si>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</si>
  <si>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</si>
  <si>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</si>
  <si>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</si>
  <si>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</si>
  <si>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</si>
  <si>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</si>
  <si>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</si>
  <si>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</si>
  <si>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</si>
  <si>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</si>
  <si>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</si>
  <si>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</si>
  <si>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</si>
  <si>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</si>
  <si>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</si>
  <si>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</si>
  <si>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</si>
  <si>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</si>
  <si>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</si>
  <si>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</si>
  <si>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</si>
  <si>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</si>
  <si>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</si>
  <si>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</si>
  <si>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</si>
  <si>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</si>
  <si>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</si>
  <si>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</si>
  <si>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</si>
  <si>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</si>
  <si>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</si>
  <si>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</si>
  <si>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</si>
  <si>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</si>
  <si>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</si>
  <si>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</si>
  <si>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</si>
  <si>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</si>
  <si>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</si>
  <si>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</si>
  <si>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</si>
  <si>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</si>
  <si>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</si>
  <si>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</si>
  <si>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</si>
  <si>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</si>
  <si>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</si>
  <si>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</si>
  <si>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</si>
  <si>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</si>
  <si>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</si>
  <si>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</si>
  <si>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</si>
  <si>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</si>
  <si>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</si>
  <si>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</si>
  <si>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</si>
  <si>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</si>
  <si>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</si>
  <si>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</si>
  <si>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</si>
  <si>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</si>
  <si>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</si>
  <si>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</si>
  <si>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</si>
  <si>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</si>
  <si>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</si>
  <si>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</si>
  <si>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</si>
  <si>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</si>
  <si>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</si>
  <si>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</si>
  <si>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</si>
  <si>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</si>
  <si>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</si>
  <si>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</si>
  <si>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</si>
  <si>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</si>
  <si>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</si>
  <si>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</si>
  <si>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</si>
  <si>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</si>
  <si>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</si>
  <si>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</si>
  <si>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</si>
  <si>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</si>
  <si>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</si>
  <si>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</si>
  <si>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</si>
  <si>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</si>
  <si>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</si>
  <si>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</si>
  <si>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</si>
  <si>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</si>
  <si>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</si>
  <si>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</si>
  <si>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</si>
  <si>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</si>
  <si>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</si>
  <si>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</si>
  <si>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</si>
  <si>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</si>
  <si>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</si>
  <si>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</si>
  <si>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</si>
  <si>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</si>
  <si>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</si>
  <si>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</si>
  <si>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</si>
  <si>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</si>
  <si>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</si>
  <si>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</si>
  <si>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</si>
  <si>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</si>
  <si>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</si>
  <si>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</si>
  <si>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</si>
  <si>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</si>
  <si>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</si>
  <si>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</si>
  <si>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</si>
  <si>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</si>
  <si>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</si>
  <si>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</si>
  <si>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</si>
  <si>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</si>
  <si>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</si>
  <si>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</si>
  <si>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</si>
  <si>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</si>
  <si>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</si>
  <si>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</si>
  <si>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</si>
  <si>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</si>
  <si>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</si>
  <si>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</si>
  <si>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</si>
  <si>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</si>
  <si>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</si>
  <si>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</si>
  <si>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</si>
  <si>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PETA LOKASI PELANGGAN</t>
  </si>
  <si>
    <t>SINGLE LINE DIAGRAM LOKASI PELANGGAN</t>
  </si>
  <si>
    <t>MGN03</t>
  </si>
  <si>
    <t>BTS XL CURUG</t>
  </si>
  <si>
    <t>DS CURUG</t>
  </si>
  <si>
    <t>Trafo 1 Fasa CSP 50 KVA (G105, G106, G136)</t>
  </si>
  <si>
    <t>NFA2X-T 2 x 70 + N 50 mm²</t>
  </si>
  <si>
    <t>Daya 11.000 VA</t>
  </si>
  <si>
    <t>PEKERJAAN PEMBONGKARAN</t>
  </si>
  <si>
    <t>Hasil Ukur Trafo x Ph xx KVA ( X ) di MGN</t>
  </si>
  <si>
    <t>TRAFO 1P 50KVA</t>
  </si>
  <si>
    <t>APP PASKA DAYA 11 KVA</t>
  </si>
  <si>
    <t>Bongkar Pasang</t>
  </si>
  <si>
    <t>Keterangan Tambahan : '-7.019549, 110.552073</t>
  </si>
  <si>
    <t>-7.008712, 110.646076</t>
  </si>
  <si>
    <t>PERLUASAN JTR</t>
  </si>
  <si>
    <t>STAFF TEKNIK</t>
  </si>
  <si>
    <t>TEAM LEADER TEKNIK</t>
  </si>
  <si>
    <t>MANAGER ULP</t>
  </si>
  <si>
    <t>MAN PERENCANAAN</t>
  </si>
  <si>
    <t>KOORDINAT LOKASI : '-7.008712, 110.646076</t>
  </si>
  <si>
    <t>MGN03-314/111</t>
  </si>
  <si>
    <t>MGN03-314/106</t>
  </si>
  <si>
    <t>Tegowanu, …...........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</si>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</sst>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(* #,##0_);_(* \(#,##0\);_(* &quot;-&quot;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&quot;Rp&quot;#,##0.00_);\(&quot;Rp&quot;#,##0.00\)"/>
    <numFmt numFmtId="170" formatCode="_(* #,##0_);_(* \(#,##0\);_(* &quot;-&quot;??_);_(@_)"/>
    <numFmt numFmtId="171" formatCode="_(&quot;Rp&quot;* #,##0_);_(&quot;Rp&quot;* \(#,##0\);_(&quot;Rp&quot;* &quot;-&quot;???_);_(@_)"/>
    <numFmt numFmtId="172" formatCode="_([$Rp-421]* #,##0_);_([$Rp-421]* \(#,##0\);_([$Rp-421]* &quot;-&quot;??_);_(@_)"/>
    <numFmt numFmtId="173" formatCode="General_)"/>
    <numFmt numFmtId="174" formatCode="0.000000%"/>
    <numFmt numFmtId="175" formatCode="_(&quot;$&quot;* #,##0.0_);_(&quot;$&quot;* \(#,##0.0\);_(&quot;$&quot;* &quot;-&quot;?_);_(@_)"/>
    <numFmt numFmtId="176" formatCode="00000"/>
    <numFmt numFmtId="177" formatCode="m/d"/>
    <numFmt numFmtId="178" formatCode="0.0000000000"/>
    <numFmt numFmtId="179" formatCode="d\ayy"/>
    <numFmt numFmtId="180" formatCode="dd/mm/yy;@"/>
    <numFmt numFmtId="181" formatCode="_-* #,##0.000_-;\-* #,##0.000_-;_-* &quot;-&quot;_-;_-@_-"/>
    <numFmt numFmtId="182" formatCode="0.000"/>
    <numFmt numFmtId="183" formatCode="_(* #,##0.000_);_(* \(#,##0.000\);_(* &quot;-&quot;??_);_(@_)"/>
    <numFmt numFmtId="184" formatCode="[$-409]d\-mmm\-yy;@"/>
    <numFmt numFmtId="185" formatCode="0.0"/>
    <numFmt numFmtId="186" formatCode="_(* #,##0.000_);_(* \(#,##0.000\);_(* &quot;-&quot;_);_(@_)"/>
    <numFmt numFmtId="187" formatCode="&quot;IR£&quot;#,##0.00;[Red]\-&quot;IR£&quot;#,##0.00"/>
    <numFmt numFmtId="188" formatCode="&quot;$&quot;#,##0\ ;\(&quot;$&quot;#,##0\)"/>
    <numFmt numFmtId="189" formatCode="m\o\n\th\ \D\,\ \y\y\y\y"/>
    <numFmt numFmtId="190" formatCode="#."/>
    <numFmt numFmtId="191" formatCode="#,#00"/>
    <numFmt numFmtId="192" formatCode="#,"/>
    <numFmt numFmtId="193" formatCode="_-* #,##0\ _€_-;\-* #,##0\ _€_-;_-* &quot;-&quot;\ _€_-;_-@_-"/>
    <numFmt numFmtId="194" formatCode="&quot;Rp.&quot;#,##0.00;&quot;Rp.&quot;\-#,##0.00"/>
    <numFmt numFmtId="195" formatCode="0.00_)"/>
    <numFmt numFmtId="196" formatCode="[$-421]dd\ mmmm\ yyyy;@"/>
    <numFmt numFmtId="197" formatCode="_([$Rp-421]* #,##0.00_);_([$Rp-421]* \(#,##0.00\);_([$Rp-421]* &quot;-&quot;??_);_(@_)"/>
    <numFmt numFmtId="198" formatCode="_-&quot;£&quot;* #,##0_-;\-&quot;£&quot;* #,##0_-;_-&quot;£&quot;* &quot;-&quot;_-;_-@_-"/>
    <numFmt numFmtId="199" formatCode="_(* #,##0.0000_);_(* \(#,##0.0000\);_(* &quot;-&quot;??_);_(@_)"/>
    <numFmt numFmtId="200" formatCode="[$-409]d\-mmm\-yyyy;@"/>
    <numFmt numFmtId="201" formatCode="#,##0&quot;NT$&quot;;[Red]\-#,##0&quot;NT$&quot;"/>
    <numFmt numFmtId="202" formatCode="mm/dd/yy"/>
    <numFmt numFmtId="203" formatCode="dddd"/>
    <numFmt numFmtId="204" formatCode="ddd"/>
    <numFmt numFmtId="205" formatCode="#.##0_);\(#.##\)"/>
    <numFmt numFmtId="206" formatCode="_(* #,##0.0_);_(* \(#,##0.0\);_(* &quot;-&quot;_);_(@_)"/>
    <numFmt numFmtId="207" formatCode="0.E+00"/>
    <numFmt numFmtId="208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725">
    <xf numFmtId="0" fontId="0" fillId="0" borderId="0"/>
    <xf numFmtId="173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00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2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8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5" fontId="32" fillId="0" borderId="0" applyFont="0" applyFill="0" applyBorder="0" applyAlignment="0" applyProtection="0"/>
    <xf numFmtId="185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/>
    <xf numFmtId="186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20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7" fontId="32" fillId="0" borderId="3"/>
    <xf numFmtId="187" fontId="18" fillId="0" borderId="3"/>
    <xf numFmtId="167" fontId="19" fillId="0" borderId="0" applyFont="0" applyFill="0" applyBorder="0" applyAlignment="0" applyProtection="0"/>
    <xf numFmtId="167" fontId="44" fillId="0" borderId="0" applyFont="0" applyFill="0" applyBorder="0" applyAlignment="0" applyProtection="0"/>
    <xf numFmtId="174" fontId="32" fillId="0" borderId="0" applyFont="0" applyFill="0" applyBorder="0" applyAlignment="0" applyProtection="0"/>
    <xf numFmtId="174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66" fillId="0" borderId="0" applyFont="0" applyFill="0" applyBorder="0" applyAlignment="0" applyProtection="0"/>
    <xf numFmtId="189" fontId="68" fillId="0" borderId="0">
      <protection locked="0"/>
    </xf>
    <xf numFmtId="14" fontId="60" fillId="0" borderId="0" applyFill="0" applyBorder="0" applyAlignment="0"/>
    <xf numFmtId="190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1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2" fontId="73" fillId="0" borderId="0">
      <protection locked="0"/>
    </xf>
    <xf numFmtId="192" fontId="73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3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4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4" fontId="32" fillId="0" borderId="0"/>
    <xf numFmtId="194" fontId="18" fillId="0" borderId="0"/>
    <xf numFmtId="194" fontId="32" fillId="0" borderId="0"/>
    <xf numFmtId="194" fontId="18" fillId="0" borderId="0"/>
    <xf numFmtId="194" fontId="32" fillId="0" borderId="0"/>
    <xf numFmtId="194" fontId="18" fillId="0" borderId="0"/>
    <xf numFmtId="194" fontId="18" fillId="0" borderId="0"/>
    <xf numFmtId="194" fontId="32" fillId="0" borderId="0"/>
    <xf numFmtId="173" fontId="79" fillId="0" borderId="0"/>
    <xf numFmtId="173" fontId="80" fillId="0" borderId="0"/>
    <xf numFmtId="173" fontId="80" fillId="0" borderId="0"/>
    <xf numFmtId="0" fontId="62" fillId="0" borderId="0"/>
    <xf numFmtId="0" fontId="107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65" fillId="0" borderId="0"/>
    <xf numFmtId="0" fontId="32" fillId="0" borderId="0"/>
    <xf numFmtId="0" fontId="107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5" fontId="39" fillId="0" borderId="0"/>
    <xf numFmtId="0" fontId="107" fillId="0" borderId="0"/>
    <xf numFmtId="0" fontId="10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7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7" fillId="0" borderId="0"/>
    <xf numFmtId="183" fontId="80" fillId="0" borderId="0"/>
    <xf numFmtId="0" fontId="80" fillId="0" borderId="0"/>
    <xf numFmtId="196" fontId="80" fillId="0" borderId="0"/>
    <xf numFmtId="197" fontId="80" fillId="0" borderId="0"/>
    <xf numFmtId="0" fontId="80" fillId="0" borderId="0"/>
    <xf numFmtId="198" fontId="80" fillId="0" borderId="0"/>
    <xf numFmtId="198" fontId="80" fillId="0" borderId="0"/>
    <xf numFmtId="198" fontId="80" fillId="0" borderId="0"/>
    <xf numFmtId="196" fontId="80" fillId="0" borderId="0"/>
    <xf numFmtId="0" fontId="80" fillId="0" borderId="0"/>
    <xf numFmtId="0" fontId="32" fillId="0" borderId="0"/>
    <xf numFmtId="0" fontId="18" fillId="0" borderId="0"/>
    <xf numFmtId="183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7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8" fontId="80" fillId="0" borderId="0"/>
    <xf numFmtId="198" fontId="80" fillId="0" borderId="0"/>
    <xf numFmtId="198" fontId="80" fillId="0" borderId="0"/>
    <xf numFmtId="198" fontId="80" fillId="0" borderId="0"/>
    <xf numFmtId="200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07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5" fontId="39" fillId="0" borderId="0"/>
    <xf numFmtId="0" fontId="18" fillId="0" borderId="0"/>
    <xf numFmtId="0" fontId="18" fillId="0" borderId="0" applyProtection="0"/>
    <xf numFmtId="0" fontId="107" fillId="0" borderId="0"/>
    <xf numFmtId="0" fontId="107" fillId="0" borderId="0"/>
    <xf numFmtId="0" fontId="107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7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32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9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9" fillId="0" borderId="0"/>
    <xf numFmtId="0" fontId="108" fillId="0" borderId="0"/>
    <xf numFmtId="0" fontId="63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5" fontId="39" fillId="0" borderId="0"/>
    <xf numFmtId="195" fontId="39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8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32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9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2" fillId="27" borderId="12" applyNumberFormat="0" applyFont="0" applyAlignment="0" applyProtection="0"/>
    <xf numFmtId="195" fontId="39" fillId="28" borderId="12" applyAlignment="0" applyProtection="0"/>
    <xf numFmtId="195" fontId="39" fillId="28" borderId="12" applyAlignment="0" applyProtection="0"/>
    <xf numFmtId="0" fontId="18" fillId="27" borderId="12" applyNumberFormat="0" applyFont="0" applyAlignment="0" applyProtection="0"/>
    <xf numFmtId="195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201" fontId="32" fillId="0" borderId="0" applyFont="0" applyFill="0" applyBorder="0" applyAlignment="0" applyProtection="0"/>
    <xf numFmtId="201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8" fontId="32" fillId="0" borderId="0" applyFill="0" applyBorder="0" applyAlignment="0"/>
    <xf numFmtId="178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9" fontId="32" fillId="0" borderId="0" applyFill="0" applyBorder="0" applyAlignment="0"/>
    <xf numFmtId="179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0" fontId="70" fillId="0" borderId="0"/>
    <xf numFmtId="202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32" fillId="0" borderId="0" applyFill="0" applyBorder="0" applyAlignment="0"/>
    <xf numFmtId="204" fontId="18" fillId="0" borderId="0" applyFill="0" applyBorder="0" applyAlignment="0"/>
    <xf numFmtId="205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165" fontId="18" fillId="0" borderId="0" applyFont="0" applyFill="0" applyBorder="0" applyAlignment="0" applyProtection="0"/>
    <xf numFmtId="9" fontId="139" fillId="0" borderId="0" applyFont="0" applyFill="0" applyBorder="0" applyAlignment="0" applyProtection="0"/>
    <xf numFmtId="165" fontId="15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6" fontId="18" fillId="0" borderId="0" applyFont="0" applyFill="0" applyBorder="0" applyAlignment="0" applyProtection="0"/>
    <xf numFmtId="0" fontId="2" fillId="0" borderId="0"/>
    <xf numFmtId="0" fontId="2" fillId="0" borderId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" fillId="0" borderId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" fillId="0" borderId="0"/>
    <xf numFmtId="0" fontId="1" fillId="0" borderId="0"/>
    <xf numFmtId="165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0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41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41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41" fontId="41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43" fontId="49" fillId="0" borderId="0" xfId="1652" applyNumberFormat="1" applyFont="1"/>
    <xf numFmtId="0" fontId="107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70" fontId="41" fillId="0" borderId="0" xfId="714" applyFont="1" applyFill="1" applyAlignment="1">
      <alignment horizontal="center" wrapText="1"/>
    </xf>
    <xf numFmtId="170" fontId="40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70" fontId="41" fillId="0" borderId="21" xfId="715" applyNumberFormat="1" applyFont="1" applyFill="1" applyBorder="1" applyAlignment="1">
      <alignment horizontal="center" vertical="center" wrapText="1"/>
    </xf>
    <xf numFmtId="170" fontId="41" fillId="0" borderId="21" xfId="714" applyFont="1" applyFill="1" applyBorder="1" applyAlignment="1">
      <alignment horizontal="center" vertical="center" wrapText="1"/>
    </xf>
    <xf numFmtId="170" fontId="41" fillId="0" borderId="33" xfId="714" applyFont="1" applyFill="1" applyBorder="1" applyAlignment="1">
      <alignment horizontal="center" vertical="center" wrapText="1"/>
    </xf>
    <xf numFmtId="43" fontId="40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43" fontId="40" fillId="0" borderId="0" xfId="1615" applyNumberFormat="1" applyFont="1" applyAlignment="1">
      <alignment horizontal="left" vertical="center"/>
    </xf>
    <xf numFmtId="43" fontId="49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8" fontId="41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41" fontId="91" fillId="0" borderId="0" xfId="1448" applyNumberFormat="1" applyFont="1" applyAlignment="1">
      <alignment wrapText="1"/>
    </xf>
    <xf numFmtId="41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70" fontId="41" fillId="0" borderId="21" xfId="717" applyNumberFormat="1" applyFont="1" applyFill="1" applyBorder="1" applyAlignment="1" applyProtection="1">
      <alignment horizontal="center" vertical="center" wrapText="1"/>
    </xf>
    <xf numFmtId="41" fontId="41" fillId="0" borderId="21" xfId="1451" applyNumberFormat="1" applyFont="1" applyBorder="1" applyAlignment="1">
      <alignment horizontal="center" vertical="center" wrapText="1"/>
    </xf>
    <xf numFmtId="170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70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70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70" fontId="40" fillId="0" borderId="3" xfId="715" applyNumberFormat="1" applyFont="1" applyFill="1" applyBorder="1" applyAlignment="1">
      <alignment horizontal="center" vertical="center" wrapText="1"/>
    </xf>
    <xf numFmtId="3" fontId="113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16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43" fontId="112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4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26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41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16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22" fillId="36" borderId="0" xfId="2670" applyFont="1" applyFill="1" applyAlignment="1">
      <alignment horizontal="left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left" vertical="center"/>
    </xf>
    <xf numFmtId="0" fontId="124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right" vertical="center"/>
    </xf>
    <xf numFmtId="9" fontId="125" fillId="36" borderId="0" xfId="2671" applyFont="1" applyFill="1" applyBorder="1" applyAlignment="1" applyProtection="1">
      <alignment horizontal="right" vertical="center"/>
    </xf>
    <xf numFmtId="43" fontId="124" fillId="36" borderId="0" xfId="2672" applyFont="1" applyFill="1" applyBorder="1" applyAlignment="1" applyProtection="1">
      <alignment horizontal="right" vertical="center"/>
    </xf>
    <xf numFmtId="43" fontId="125" fillId="36" borderId="0" xfId="2672" applyFont="1" applyFill="1" applyBorder="1" applyAlignment="1" applyProtection="1">
      <alignment horizontal="right" vertical="center"/>
    </xf>
    <xf numFmtId="10" fontId="125" fillId="36" borderId="0" xfId="2671" applyNumberFormat="1" applyFont="1" applyFill="1" applyBorder="1" applyAlignment="1" applyProtection="1">
      <alignment horizontal="right" vertical="center"/>
    </xf>
    <xf numFmtId="170" fontId="124" fillId="36" borderId="0" xfId="2672" applyNumberFormat="1" applyFont="1" applyFill="1" applyBorder="1" applyAlignment="1" applyProtection="1">
      <alignment horizontal="right" vertical="center"/>
    </xf>
    <xf numFmtId="0" fontId="118" fillId="0" borderId="0" xfId="2670" applyFont="1" applyAlignment="1">
      <alignment horizontal="left" vertical="center"/>
    </xf>
    <xf numFmtId="0" fontId="12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8" fillId="0" borderId="0" xfId="1538"/>
    <xf numFmtId="43" fontId="108" fillId="0" borderId="0" xfId="1538" applyNumberFormat="1"/>
    <xf numFmtId="0" fontId="58" fillId="0" borderId="0" xfId="1538" applyFont="1"/>
    <xf numFmtId="0" fontId="111" fillId="0" borderId="0" xfId="1538" applyFont="1"/>
    <xf numFmtId="0" fontId="49" fillId="0" borderId="42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8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43" fontId="0" fillId="0" borderId="3" xfId="1026" applyFont="1" applyFill="1" applyBorder="1" applyProtection="1"/>
    <xf numFmtId="43" fontId="108" fillId="0" borderId="3" xfId="1538" applyNumberFormat="1" applyBorder="1"/>
    <xf numFmtId="43" fontId="119" fillId="0" borderId="3" xfId="1026" applyFont="1" applyBorder="1" applyProtection="1"/>
    <xf numFmtId="43" fontId="0" fillId="0" borderId="3" xfId="1026" applyFont="1" applyBorder="1" applyProtection="1"/>
    <xf numFmtId="43" fontId="111" fillId="0" borderId="3" xfId="1538" applyNumberFormat="1" applyFont="1" applyBorder="1"/>
    <xf numFmtId="0" fontId="58" fillId="0" borderId="3" xfId="1538" applyFont="1" applyBorder="1"/>
    <xf numFmtId="41" fontId="108" fillId="0" borderId="3" xfId="1538" applyNumberFormat="1" applyBorder="1"/>
    <xf numFmtId="43" fontId="100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43" fontId="46" fillId="0" borderId="3" xfId="1538" applyNumberFormat="1" applyFont="1" applyBorder="1"/>
    <xf numFmtId="0" fontId="108" fillId="29" borderId="0" xfId="1538" applyFill="1"/>
    <xf numFmtId="0" fontId="46" fillId="0" borderId="0" xfId="1538" applyFont="1" applyAlignment="1">
      <alignment horizontal="center"/>
    </xf>
    <xf numFmtId="43" fontId="46" fillId="0" borderId="0" xfId="1538" applyNumberFormat="1" applyFont="1"/>
    <xf numFmtId="0" fontId="108" fillId="29" borderId="3" xfId="1538" applyFill="1" applyBorder="1"/>
    <xf numFmtId="170" fontId="108" fillId="29" borderId="3" xfId="1538" applyNumberFormat="1" applyFill="1" applyBorder="1" applyAlignment="1">
      <alignment horizontal="right"/>
    </xf>
    <xf numFmtId="166" fontId="108" fillId="0" borderId="0" xfId="1538" applyNumberFormat="1"/>
    <xf numFmtId="43" fontId="108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27" fillId="0" borderId="0" xfId="1614" applyFont="1" applyAlignment="1">
      <alignment horizontal="center"/>
    </xf>
    <xf numFmtId="0" fontId="128" fillId="0" borderId="0" xfId="1614" applyFont="1" applyAlignment="1">
      <alignment horizontal="center" vertical="center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0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3" fontId="127" fillId="0" borderId="0" xfId="1614" applyNumberFormat="1" applyFont="1" applyAlignment="1">
      <alignment horizontal="center"/>
    </xf>
    <xf numFmtId="0" fontId="132" fillId="0" borderId="0" xfId="1614" applyFont="1"/>
    <xf numFmtId="43" fontId="132" fillId="0" borderId="0" xfId="1652" applyNumberFormat="1" applyFont="1"/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left" vertical="center"/>
    </xf>
    <xf numFmtId="0" fontId="132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0" fontId="132" fillId="0" borderId="0" xfId="1614" applyFont="1" applyAlignment="1">
      <alignment horizontal="center" vertical="center" wrapText="1"/>
    </xf>
    <xf numFmtId="0" fontId="129" fillId="0" borderId="0" xfId="1614" applyFont="1" applyAlignment="1">
      <alignment horizontal="center" vertical="center" wrapText="1"/>
    </xf>
    <xf numFmtId="3" fontId="128" fillId="0" borderId="0" xfId="1614" applyNumberFormat="1" applyFont="1" applyAlignment="1">
      <alignment vertical="center"/>
    </xf>
    <xf numFmtId="0" fontId="129" fillId="0" borderId="20" xfId="1615" applyFont="1" applyBorder="1" applyAlignment="1">
      <alignment horizontal="center" vertical="center"/>
    </xf>
    <xf numFmtId="0" fontId="129" fillId="0" borderId="21" xfId="1615" applyFont="1" applyBorder="1" applyAlignment="1">
      <alignment horizontal="left" vertical="center" wrapText="1"/>
    </xf>
    <xf numFmtId="0" fontId="128" fillId="0" borderId="21" xfId="1614" applyFont="1" applyBorder="1" applyAlignment="1">
      <alignment horizontal="center" vertical="center" wrapText="1"/>
    </xf>
    <xf numFmtId="0" fontId="135" fillId="0" borderId="21" xfId="1614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28" fillId="0" borderId="21" xfId="1614" applyNumberFormat="1" applyFont="1" applyBorder="1" applyAlignment="1">
      <alignment horizontal="center" vertical="center"/>
    </xf>
    <xf numFmtId="3" fontId="128" fillId="0" borderId="22" xfId="1614" applyNumberFormat="1" applyFont="1" applyBorder="1" applyAlignment="1">
      <alignment horizontal="center" vertical="center"/>
    </xf>
    <xf numFmtId="3" fontId="128" fillId="0" borderId="0" xfId="1614" applyNumberFormat="1" applyFont="1" applyAlignment="1">
      <alignment horizontal="center"/>
    </xf>
    <xf numFmtId="3" fontId="127" fillId="0" borderId="0" xfId="1614" applyNumberFormat="1" applyFont="1" applyAlignment="1">
      <alignment horizontal="center" vertical="center"/>
    </xf>
    <xf numFmtId="0" fontId="135" fillId="0" borderId="0" xfId="1614" applyFont="1" applyAlignment="1">
      <alignment horizontal="center"/>
    </xf>
    <xf numFmtId="0" fontId="130" fillId="0" borderId="21" xfId="1653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8" fillId="0" borderId="21" xfId="1451" applyFont="1" applyBorder="1" applyAlignment="1">
      <alignment horizontal="left"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vertical="center" wrapText="1"/>
    </xf>
    <xf numFmtId="0" fontId="135" fillId="0" borderId="21" xfId="1652" applyFont="1" applyBorder="1" applyAlignment="1">
      <alignment horizontal="center" vertical="center"/>
    </xf>
    <xf numFmtId="0" fontId="135" fillId="0" borderId="44" xfId="1652" applyFont="1" applyBorder="1" applyAlignment="1">
      <alignment horizontal="center" vertical="center"/>
    </xf>
    <xf numFmtId="0" fontId="135" fillId="0" borderId="3" xfId="1652" applyFont="1" applyBorder="1" applyAlignment="1">
      <alignment vertical="center" wrapText="1"/>
    </xf>
    <xf numFmtId="0" fontId="128" fillId="0" borderId="3" xfId="1614" applyFont="1" applyBorder="1" applyAlignment="1">
      <alignment horizontal="center" vertical="center" wrapText="1"/>
    </xf>
    <xf numFmtId="0" fontId="135" fillId="0" borderId="3" xfId="1614" applyFont="1" applyBorder="1" applyAlignment="1">
      <alignment horizontal="center" vertical="center"/>
    </xf>
    <xf numFmtId="0" fontId="135" fillId="0" borderId="3" xfId="1652" applyFont="1" applyBorder="1" applyAlignment="1">
      <alignment horizontal="center" vertical="center"/>
    </xf>
    <xf numFmtId="208" fontId="135" fillId="0" borderId="3" xfId="1614" applyNumberFormat="1" applyFont="1" applyBorder="1" applyAlignment="1">
      <alignment horizontal="center" vertical="center"/>
    </xf>
    <xf numFmtId="3" fontId="128" fillId="0" borderId="3" xfId="1614" applyNumberFormat="1" applyFont="1" applyBorder="1" applyAlignment="1">
      <alignment horizontal="center" vertical="center"/>
    </xf>
    <xf numFmtId="3" fontId="128" fillId="0" borderId="39" xfId="1614" applyNumberFormat="1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28" fillId="0" borderId="23" xfId="1614" applyFont="1" applyBorder="1" applyAlignment="1">
      <alignment horizontal="center" vertical="center"/>
    </xf>
    <xf numFmtId="0" fontId="128" fillId="0" borderId="24" xfId="1614" applyFont="1" applyBorder="1" applyAlignment="1">
      <alignment horizontal="left" vertical="center"/>
    </xf>
    <xf numFmtId="0" fontId="128" fillId="0" borderId="24" xfId="1614" applyFont="1" applyBorder="1" applyAlignment="1">
      <alignment vertical="center"/>
    </xf>
    <xf numFmtId="0" fontId="135" fillId="0" borderId="24" xfId="1614" applyFont="1" applyBorder="1" applyAlignment="1">
      <alignment horizontal="center" vertical="center"/>
    </xf>
    <xf numFmtId="3" fontId="128" fillId="0" borderId="24" xfId="1614" applyNumberFormat="1" applyFont="1" applyBorder="1" applyAlignment="1">
      <alignment horizontal="center" vertical="center"/>
    </xf>
    <xf numFmtId="3" fontId="128" fillId="0" borderId="25" xfId="1614" applyNumberFormat="1" applyFont="1" applyBorder="1" applyAlignment="1">
      <alignment horizontal="center" vertical="center"/>
    </xf>
    <xf numFmtId="0" fontId="130" fillId="0" borderId="26" xfId="1614" applyFont="1" applyBorder="1" applyAlignment="1">
      <alignment horizontal="center" vertical="center"/>
    </xf>
    <xf numFmtId="37" fontId="132" fillId="0" borderId="27" xfId="1614" applyNumberFormat="1" applyFont="1" applyBorder="1" applyAlignment="1">
      <alignment horizontal="center"/>
    </xf>
    <xf numFmtId="37" fontId="130" fillId="0" borderId="27" xfId="1614" applyNumberFormat="1" applyFont="1" applyBorder="1" applyAlignment="1">
      <alignment horizontal="center"/>
    </xf>
    <xf numFmtId="37" fontId="128" fillId="0" borderId="0" xfId="1614" applyNumberFormat="1" applyFont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30" fillId="0" borderId="28" xfId="1614" applyFont="1" applyBorder="1" applyAlignment="1">
      <alignment horizontal="center" vertical="center"/>
    </xf>
    <xf numFmtId="37" fontId="132" fillId="0" borderId="29" xfId="1614" applyNumberFormat="1" applyFont="1" applyBorder="1" applyAlignment="1">
      <alignment horizontal="center"/>
    </xf>
    <xf numFmtId="37" fontId="130" fillId="0" borderId="29" xfId="1614" applyNumberFormat="1" applyFont="1" applyBorder="1" applyAlignment="1">
      <alignment horizontal="center"/>
    </xf>
    <xf numFmtId="37" fontId="136" fillId="0" borderId="0" xfId="1614" applyNumberFormat="1" applyFont="1" applyAlignment="1">
      <alignment horizontal="center"/>
    </xf>
    <xf numFmtId="37" fontId="136" fillId="0" borderId="30" xfId="1614" applyNumberFormat="1" applyFont="1" applyBorder="1" applyAlignment="1">
      <alignment horizontal="center"/>
    </xf>
    <xf numFmtId="37" fontId="136" fillId="0" borderId="32" xfId="1614" applyNumberFormat="1" applyFont="1" applyBorder="1" applyAlignment="1">
      <alignment horizontal="center"/>
    </xf>
    <xf numFmtId="0" fontId="127" fillId="0" borderId="0" xfId="1614" applyFont="1" applyAlignment="1">
      <alignment horizontal="center" vertical="center"/>
    </xf>
    <xf numFmtId="0" fontId="136" fillId="0" borderId="34" xfId="1614" applyFont="1" applyBorder="1" applyAlignment="1">
      <alignment vertical="center"/>
    </xf>
    <xf numFmtId="0" fontId="130" fillId="0" borderId="19" xfId="1614" applyFont="1" applyBorder="1"/>
    <xf numFmtId="0" fontId="130" fillId="0" borderId="19" xfId="1614" applyFont="1" applyBorder="1" applyAlignment="1">
      <alignment horizontal="center"/>
    </xf>
    <xf numFmtId="0" fontId="130" fillId="0" borderId="19" xfId="1614" applyFont="1" applyBorder="1" applyAlignment="1">
      <alignment horizontal="right"/>
    </xf>
    <xf numFmtId="0" fontId="130" fillId="0" borderId="31" xfId="1614" applyFont="1" applyBorder="1" applyAlignment="1">
      <alignment horizontal="right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35" fillId="0" borderId="0" xfId="1614" applyFont="1" applyAlignment="1">
      <alignment horizontal="center" vertical="center"/>
    </xf>
    <xf numFmtId="41" fontId="135" fillId="0" borderId="0" xfId="1652" applyNumberFormat="1" applyFont="1" applyAlignment="1">
      <alignment vertical="center"/>
    </xf>
    <xf numFmtId="0" fontId="130" fillId="0" borderId="0" xfId="1652" applyFont="1" applyAlignment="1">
      <alignment horizontal="right"/>
    </xf>
    <xf numFmtId="0" fontId="137" fillId="0" borderId="0" xfId="1644" applyFont="1" applyAlignment="1">
      <alignment horizontal="center" vertical="center"/>
    </xf>
    <xf numFmtId="0" fontId="135" fillId="0" borderId="0" xfId="1652" applyFont="1" applyAlignment="1">
      <alignment vertical="center"/>
    </xf>
    <xf numFmtId="0" fontId="138" fillId="39" borderId="59" xfId="2670" applyFont="1" applyFill="1" applyBorder="1" applyAlignment="1">
      <alignment horizontal="left" vertical="center"/>
    </xf>
    <xf numFmtId="0" fontId="138" fillId="39" borderId="60" xfId="2670" applyFont="1" applyFill="1" applyBorder="1" applyAlignment="1">
      <alignment horizontal="center" vertical="center"/>
    </xf>
    <xf numFmtId="0" fontId="138" fillId="39" borderId="62" xfId="2670" applyFont="1" applyFill="1" applyBorder="1" applyAlignment="1">
      <alignment horizontal="left" vertical="center"/>
    </xf>
    <xf numFmtId="0" fontId="138" fillId="39" borderId="58" xfId="2670" applyFont="1" applyFill="1" applyBorder="1" applyAlignment="1">
      <alignment horizontal="center" vertical="center"/>
    </xf>
    <xf numFmtId="0" fontId="138" fillId="39" borderId="64" xfId="2670" applyFont="1" applyFill="1" applyBorder="1" applyAlignment="1">
      <alignment horizontal="left" vertical="center"/>
    </xf>
    <xf numFmtId="0" fontId="138" fillId="39" borderId="65" xfId="2670" applyFont="1" applyFill="1" applyBorder="1" applyAlignment="1">
      <alignment horizontal="center" vertical="center"/>
    </xf>
    <xf numFmtId="43" fontId="120" fillId="40" borderId="61" xfId="2672" applyFont="1" applyFill="1" applyBorder="1" applyAlignment="1" applyProtection="1">
      <alignment horizontal="right" vertical="center" wrapText="1"/>
      <protection locked="0"/>
    </xf>
    <xf numFmtId="43" fontId="120" fillId="40" borderId="63" xfId="2672" applyFont="1" applyFill="1" applyBorder="1" applyAlignment="1" applyProtection="1">
      <alignment horizontal="right" vertical="center"/>
      <protection locked="0"/>
    </xf>
    <xf numFmtId="170" fontId="120" fillId="40" borderId="63" xfId="2672" applyNumberFormat="1" applyFont="1" applyFill="1" applyBorder="1" applyAlignment="1" applyProtection="1">
      <alignment horizontal="right" vertical="center"/>
      <protection locked="0"/>
    </xf>
    <xf numFmtId="170" fontId="120" fillId="40" borderId="66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51" xfId="2673" applyFont="1" applyBorder="1" applyAlignment="1">
      <alignment horizontal="center" vertical="center" wrapText="1"/>
    </xf>
    <xf numFmtId="0" fontId="141" fillId="0" borderId="0" xfId="2673" applyFont="1" applyAlignment="1">
      <alignment horizontal="center" vertical="center" wrapText="1"/>
    </xf>
    <xf numFmtId="0" fontId="142" fillId="0" borderId="0" xfId="2673" applyFont="1" applyAlignment="1">
      <alignment vertical="center" wrapText="1"/>
    </xf>
    <xf numFmtId="0" fontId="143" fillId="0" borderId="0" xfId="2673" applyFont="1" applyAlignment="1">
      <alignment vertical="center" wrapText="1"/>
    </xf>
    <xf numFmtId="0" fontId="126" fillId="35" borderId="70" xfId="2673" applyFont="1" applyFill="1" applyBorder="1" applyAlignment="1">
      <alignment vertical="center" wrapText="1"/>
    </xf>
    <xf numFmtId="0" fontId="126" fillId="43" borderId="70" xfId="2673" applyFont="1" applyFill="1" applyBorder="1" applyAlignment="1">
      <alignment vertical="center" wrapText="1"/>
    </xf>
    <xf numFmtId="0" fontId="140" fillId="0" borderId="0" xfId="2673" applyFont="1" applyAlignment="1">
      <alignment vertical="center" wrapText="1"/>
    </xf>
    <xf numFmtId="0" fontId="146" fillId="0" borderId="0" xfId="2673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5" fillId="35" borderId="32" xfId="2673" applyFont="1" applyFill="1" applyBorder="1" applyAlignment="1">
      <alignment vertical="center" wrapText="1"/>
    </xf>
    <xf numFmtId="0" fontId="115" fillId="43" borderId="32" xfId="2673" applyFont="1" applyFill="1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2" fontId="115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2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5" fillId="0" borderId="0" xfId="2675" applyFont="1" applyFill="1" applyBorder="1" applyAlignment="1">
      <alignment horizontal="center" vertical="center" wrapText="1"/>
    </xf>
    <xf numFmtId="1" fontId="115" fillId="0" borderId="45" xfId="2673" applyNumberFormat="1" applyFont="1" applyBorder="1" applyAlignment="1">
      <alignment vertical="center" wrapText="1"/>
    </xf>
    <xf numFmtId="0" fontId="148" fillId="0" borderId="0" xfId="2673" applyFont="1" applyAlignment="1">
      <alignment vertical="center" wrapText="1"/>
    </xf>
    <xf numFmtId="0" fontId="148" fillId="0" borderId="0" xfId="2673" applyFont="1" applyAlignment="1">
      <alignment horizontal="center" vertical="center" wrapText="1"/>
    </xf>
    <xf numFmtId="2" fontId="148" fillId="0" borderId="0" xfId="2673" applyNumberFormat="1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26" fillId="35" borderId="46" xfId="2673" applyFont="1" applyFill="1" applyBorder="1" applyAlignment="1">
      <alignment vertical="center" wrapText="1"/>
    </xf>
    <xf numFmtId="0" fontId="126" fillId="0" borderId="48" xfId="2673" applyFont="1" applyBorder="1" applyAlignment="1">
      <alignment horizontal="center" vertical="center" wrapText="1"/>
    </xf>
    <xf numFmtId="0" fontId="126" fillId="35" borderId="44" xfId="2673" applyFont="1" applyFill="1" applyBorder="1" applyAlignment="1">
      <alignment vertical="center" wrapText="1"/>
    </xf>
    <xf numFmtId="1" fontId="115" fillId="0" borderId="50" xfId="2673" applyNumberFormat="1" applyFont="1" applyBorder="1" applyAlignment="1">
      <alignment vertical="center" wrapText="1"/>
    </xf>
    <xf numFmtId="0" fontId="115" fillId="35" borderId="44" xfId="2673" applyFont="1" applyFill="1" applyBorder="1" applyAlignment="1">
      <alignment vertical="center" wrapText="1"/>
    </xf>
    <xf numFmtId="0" fontId="115" fillId="35" borderId="74" xfId="2673" applyFont="1" applyFill="1" applyBorder="1" applyAlignment="1">
      <alignment vertical="center" wrapText="1"/>
    </xf>
    <xf numFmtId="0" fontId="102" fillId="0" borderId="52" xfId="2673" applyFont="1" applyBorder="1" applyAlignment="1">
      <alignment horizontal="center" vertical="center" wrapText="1"/>
    </xf>
    <xf numFmtId="0" fontId="126" fillId="0" borderId="46" xfId="2673" applyFont="1" applyBorder="1" applyAlignment="1">
      <alignment vertical="center" wrapText="1"/>
    </xf>
    <xf numFmtId="0" fontId="126" fillId="0" borderId="44" xfId="2673" applyFont="1" applyBorder="1" applyAlignment="1">
      <alignment vertical="center" wrapText="1"/>
    </xf>
    <xf numFmtId="0" fontId="115" fillId="0" borderId="44" xfId="2673" applyFont="1" applyBorder="1" applyAlignment="1">
      <alignment vertical="center" wrapText="1"/>
    </xf>
    <xf numFmtId="0" fontId="115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165" fontId="131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1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8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70" fontId="124" fillId="47" borderId="0" xfId="2672" applyNumberFormat="1" applyFont="1" applyFill="1" applyBorder="1" applyAlignment="1" applyProtection="1">
      <alignment horizontal="right" vertical="center"/>
    </xf>
    <xf numFmtId="3" fontId="135" fillId="48" borderId="21" xfId="1614" applyNumberFormat="1" applyFont="1" applyFill="1" applyBorder="1" applyAlignment="1">
      <alignment horizontal="center" vertical="center"/>
    </xf>
    <xf numFmtId="0" fontId="135" fillId="0" borderId="21" xfId="1615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52" fillId="0" borderId="78" xfId="0" applyFont="1" applyBorder="1" applyAlignment="1">
      <alignment horizontal="center" vertical="top" wrapText="1"/>
    </xf>
    <xf numFmtId="0" fontId="152" fillId="0" borderId="7" xfId="0" applyFont="1" applyBorder="1" applyAlignment="1">
      <alignment horizontal="center" vertical="top" wrapText="1"/>
    </xf>
    <xf numFmtId="0" fontId="156" fillId="0" borderId="18" xfId="0" applyFont="1" applyBorder="1" applyAlignment="1">
      <alignment horizontal="left"/>
    </xf>
    <xf numFmtId="0" fontId="152" fillId="0" borderId="39" xfId="0" applyFont="1" applyBorder="1" applyAlignment="1">
      <alignment horizontal="center"/>
    </xf>
    <xf numFmtId="0" fontId="152" fillId="0" borderId="3" xfId="0" applyFont="1" applyBorder="1" applyAlignment="1">
      <alignment horizont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36" fillId="0" borderId="0" xfId="1614" applyFont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29" fillId="0" borderId="20" xfId="1653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134" fillId="0" borderId="20" xfId="1653" applyFont="1" applyBorder="1" applyAlignment="1">
      <alignment horizontal="center" vertical="center"/>
    </xf>
    <xf numFmtId="0" fontId="130" fillId="0" borderId="20" xfId="1653" applyFont="1" applyBorder="1" applyAlignment="1">
      <alignment horizontal="center" vertical="center"/>
    </xf>
    <xf numFmtId="0" fontId="128" fillId="0" borderId="21" xfId="1615" applyFont="1" applyBorder="1" applyAlignment="1">
      <alignment horizontal="left" vertical="center" wrapText="1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0" fontId="164" fillId="0" borderId="26" xfId="1451" applyFont="1" applyBorder="1"/>
    <xf numFmtId="0" fontId="164" fillId="0" borderId="36" xfId="1451" applyFont="1" applyBorder="1"/>
    <xf numFmtId="0" fontId="164" fillId="0" borderId="43" xfId="1451" applyFont="1" applyBorder="1"/>
    <xf numFmtId="0" fontId="164" fillId="0" borderId="28" xfId="1451" applyFont="1" applyBorder="1"/>
    <xf numFmtId="0" fontId="164" fillId="0" borderId="37" xfId="1451" applyFont="1" applyBorder="1"/>
    <xf numFmtId="0" fontId="156" fillId="0" borderId="37" xfId="1451" applyFont="1" applyBorder="1" applyAlignment="1">
      <alignment vertical="center"/>
    </xf>
    <xf numFmtId="0" fontId="164" fillId="0" borderId="34" xfId="1451" applyFont="1" applyBorder="1"/>
    <xf numFmtId="0" fontId="164" fillId="0" borderId="19" xfId="1451" applyFont="1" applyBorder="1"/>
    <xf numFmtId="0" fontId="156" fillId="0" borderId="19" xfId="1451" applyFont="1" applyBorder="1" applyAlignment="1">
      <alignment vertical="center"/>
    </xf>
    <xf numFmtId="0" fontId="156" fillId="0" borderId="19" xfId="1451" applyFont="1" applyBorder="1" applyAlignment="1">
      <alignment horizontal="center" vertical="center"/>
    </xf>
    <xf numFmtId="0" fontId="156" fillId="0" borderId="31" xfId="1451" applyFont="1" applyBorder="1" applyAlignment="1">
      <alignment vertical="center"/>
    </xf>
    <xf numFmtId="0" fontId="164" fillId="33" borderId="0" xfId="1451" applyFont="1" applyFill="1"/>
    <xf numFmtId="0" fontId="164" fillId="33" borderId="26" xfId="1451" applyFont="1" applyFill="1" applyBorder="1"/>
    <xf numFmtId="0" fontId="164" fillId="33" borderId="36" xfId="1451" applyFont="1" applyFill="1" applyBorder="1"/>
    <xf numFmtId="0" fontId="164" fillId="33" borderId="43" xfId="1451" applyFont="1" applyFill="1" applyBorder="1"/>
    <xf numFmtId="0" fontId="164" fillId="33" borderId="28" xfId="1451" applyFont="1" applyFill="1" applyBorder="1"/>
    <xf numFmtId="0" fontId="164" fillId="33" borderId="37" xfId="1451" applyFont="1" applyFill="1" applyBorder="1"/>
    <xf numFmtId="0" fontId="166" fillId="33" borderId="0" xfId="1451" applyFont="1" applyFill="1" applyAlignment="1">
      <alignment vertical="center"/>
    </xf>
    <xf numFmtId="0" fontId="165" fillId="33" borderId="0" xfId="1451" applyFont="1" applyFill="1" applyAlignment="1">
      <alignment vertical="center"/>
    </xf>
    <xf numFmtId="0" fontId="169" fillId="33" borderId="0" xfId="1451" applyFont="1" applyFill="1" applyAlignment="1">
      <alignment horizontal="center" vertical="center"/>
    </xf>
    <xf numFmtId="0" fontId="170" fillId="33" borderId="0" xfId="1451" applyFont="1" applyFill="1"/>
    <xf numFmtId="0" fontId="171" fillId="33" borderId="0" xfId="1451" applyFont="1" applyFill="1"/>
    <xf numFmtId="0" fontId="156" fillId="33" borderId="0" xfId="1451" applyFont="1" applyFill="1" applyAlignment="1">
      <alignment vertical="center"/>
    </xf>
    <xf numFmtId="0" fontId="156" fillId="33" borderId="37" xfId="1451" applyFont="1" applyFill="1" applyBorder="1" applyAlignment="1">
      <alignment vertical="center"/>
    </xf>
    <xf numFmtId="0" fontId="171" fillId="33" borderId="0" xfId="1451" applyFont="1" applyFill="1" applyAlignment="1">
      <alignment horizontal="center"/>
    </xf>
    <xf numFmtId="0" fontId="156" fillId="33" borderId="0" xfId="1451" applyFont="1" applyFill="1" applyAlignment="1">
      <alignment horizontal="center" vertical="center"/>
    </xf>
    <xf numFmtId="0" fontId="156" fillId="33" borderId="37" xfId="1451" applyFont="1" applyFill="1" applyBorder="1" applyAlignment="1">
      <alignment horizontal="center" vertical="center"/>
    </xf>
    <xf numFmtId="0" fontId="172" fillId="33" borderId="0" xfId="1451" applyFont="1" applyFill="1" applyAlignment="1">
      <alignment vertical="center"/>
    </xf>
    <xf numFmtId="0" fontId="172" fillId="33" borderId="37" xfId="1451" applyFont="1" applyFill="1" applyBorder="1" applyAlignment="1">
      <alignment vertical="center"/>
    </xf>
    <xf numFmtId="0" fontId="164" fillId="33" borderId="34" xfId="1451" applyFont="1" applyFill="1" applyBorder="1"/>
    <xf numFmtId="0" fontId="164" fillId="33" borderId="19" xfId="1451" applyFont="1" applyFill="1" applyBorder="1"/>
    <xf numFmtId="0" fontId="156" fillId="33" borderId="19" xfId="1451" applyFont="1" applyFill="1" applyBorder="1" applyAlignment="1">
      <alignment vertical="center"/>
    </xf>
    <xf numFmtId="0" fontId="156" fillId="33" borderId="19" xfId="1451" applyFont="1" applyFill="1" applyBorder="1" applyAlignment="1">
      <alignment horizontal="center" vertical="center"/>
    </xf>
    <xf numFmtId="0" fontId="156" fillId="33" borderId="31" xfId="1451" applyFont="1" applyFill="1" applyBorder="1" applyAlignment="1">
      <alignment vertical="center"/>
    </xf>
    <xf numFmtId="0" fontId="164" fillId="33" borderId="31" xfId="1451" applyFont="1" applyFill="1" applyBorder="1"/>
    <xf numFmtId="0" fontId="152" fillId="33" borderId="0" xfId="0" applyFont="1" applyFill="1" applyAlignment="1">
      <alignment horizontal="center"/>
    </xf>
    <xf numFmtId="0" fontId="164" fillId="0" borderId="0" xfId="1451" applyFont="1"/>
    <xf numFmtId="0" fontId="166" fillId="0" borderId="0" xfId="1451" applyFont="1" applyAlignment="1">
      <alignment vertical="center"/>
    </xf>
    <xf numFmtId="0" fontId="167" fillId="0" borderId="0" xfId="1451" applyFont="1"/>
    <xf numFmtId="0" fontId="165" fillId="0" borderId="0" xfId="1451" applyFont="1" applyAlignment="1">
      <alignment vertical="center"/>
    </xf>
    <xf numFmtId="0" fontId="169" fillId="0" borderId="0" xfId="1451" applyFont="1" applyAlignment="1">
      <alignment horizontal="center" vertical="center"/>
    </xf>
    <xf numFmtId="0" fontId="170" fillId="0" borderId="0" xfId="1451" applyFont="1"/>
    <xf numFmtId="0" fontId="171" fillId="0" borderId="0" xfId="1451" applyFont="1"/>
    <xf numFmtId="0" fontId="156" fillId="0" borderId="0" xfId="1451" applyFont="1" applyAlignment="1">
      <alignment vertical="center"/>
    </xf>
    <xf numFmtId="0" fontId="156" fillId="0" borderId="0" xfId="1451" applyFont="1" applyAlignment="1">
      <alignment horizontal="center" vertical="center"/>
    </xf>
    <xf numFmtId="0" fontId="164" fillId="0" borderId="0" xfId="1451" applyFont="1" applyAlignment="1">
      <alignment horizontal="center" vertical="center"/>
    </xf>
    <xf numFmtId="0" fontId="164" fillId="0" borderId="0" xfId="1451" applyFont="1" applyAlignment="1">
      <alignment horizontal="center"/>
    </xf>
    <xf numFmtId="0" fontId="165" fillId="35" borderId="0" xfId="1451" applyFont="1" applyFill="1" applyAlignment="1">
      <alignment vertical="center"/>
    </xf>
    <xf numFmtId="0" fontId="171" fillId="0" borderId="19" xfId="1451" applyFont="1" applyBorder="1" applyAlignment="1">
      <alignment horizontal="center"/>
    </xf>
    <xf numFmtId="0" fontId="171" fillId="0" borderId="19" xfId="1451" applyFont="1" applyBorder="1"/>
    <xf numFmtId="0" fontId="154" fillId="0" borderId="0" xfId="2669" applyFont="1" applyAlignment="1">
      <alignment vertical="center"/>
    </xf>
    <xf numFmtId="0" fontId="155" fillId="0" borderId="0" xfId="1450" applyFont="1" applyAlignment="1">
      <alignment horizontal="center"/>
    </xf>
    <xf numFmtId="0" fontId="155" fillId="0" borderId="3" xfId="1450" applyFont="1" applyBorder="1" applyAlignment="1">
      <alignment horizontal="center"/>
    </xf>
    <xf numFmtId="0" fontId="152" fillId="0" borderId="0" xfId="0" applyFont="1" applyAlignment="1">
      <alignment horizontal="center"/>
    </xf>
    <xf numFmtId="0" fontId="152" fillId="0" borderId="26" xfId="0" applyFont="1" applyBorder="1" applyAlignment="1">
      <alignment horizontal="center"/>
    </xf>
    <xf numFmtId="0" fontId="152" fillId="0" borderId="36" xfId="0" applyFont="1" applyBorder="1" applyAlignment="1">
      <alignment horizontal="center"/>
    </xf>
    <xf numFmtId="0" fontId="152" fillId="0" borderId="28" xfId="0" applyFont="1" applyBorder="1" applyAlignment="1">
      <alignment horizontal="center"/>
    </xf>
    <xf numFmtId="0" fontId="152" fillId="0" borderId="37" xfId="0" applyFont="1" applyBorder="1" applyAlignment="1">
      <alignment horizontal="center"/>
    </xf>
    <xf numFmtId="0" fontId="157" fillId="0" borderId="28" xfId="0" applyFont="1" applyBorder="1" applyAlignment="1">
      <alignment horizontal="center"/>
    </xf>
    <xf numFmtId="0" fontId="157" fillId="0" borderId="0" xfId="0" applyFont="1" applyAlignment="1">
      <alignment horizontal="center"/>
    </xf>
    <xf numFmtId="0" fontId="152" fillId="0" borderId="38" xfId="0" applyFont="1" applyBorder="1" applyAlignment="1">
      <alignment horizontal="center"/>
    </xf>
    <xf numFmtId="0" fontId="159" fillId="0" borderId="82" xfId="0" applyFont="1" applyBorder="1" applyAlignment="1">
      <alignment horizontal="center" vertical="center"/>
    </xf>
    <xf numFmtId="0" fontId="159" fillId="0" borderId="83" xfId="0" applyFont="1" applyBorder="1" applyAlignment="1">
      <alignment horizontal="center" vertical="center"/>
    </xf>
    <xf numFmtId="0" fontId="152" fillId="0" borderId="3" xfId="0" applyFont="1" applyBorder="1" applyAlignment="1">
      <alignment horizontal="center" vertical="center"/>
    </xf>
    <xf numFmtId="0" fontId="152" fillId="0" borderId="39" xfId="0" applyFont="1" applyBorder="1" applyAlignment="1">
      <alignment horizontal="center" vertical="center"/>
    </xf>
    <xf numFmtId="0" fontId="162" fillId="0" borderId="0" xfId="0" applyFont="1" applyAlignment="1">
      <alignment horizontal="center"/>
    </xf>
    <xf numFmtId="0" fontId="161" fillId="0" borderId="86" xfId="0" applyFont="1" applyBorder="1" applyAlignment="1">
      <alignment horizontal="center" vertical="center"/>
    </xf>
    <xf numFmtId="0" fontId="152" fillId="0" borderId="3" xfId="0" applyFont="1" applyBorder="1" applyAlignment="1">
      <alignment vertical="top" wrapText="1"/>
    </xf>
    <xf numFmtId="0" fontId="152" fillId="0" borderId="39" xfId="0" applyFont="1" applyBorder="1" applyAlignment="1">
      <alignment vertical="top" wrapText="1"/>
    </xf>
    <xf numFmtId="0" fontId="161" fillId="0" borderId="87" xfId="0" applyFont="1" applyBorder="1" applyAlignment="1">
      <alignment horizontal="center" vertical="center"/>
    </xf>
    <xf numFmtId="0" fontId="152" fillId="0" borderId="0" xfId="0" quotePrefix="1" applyFont="1" applyAlignment="1">
      <alignment vertical="top"/>
    </xf>
    <xf numFmtId="0" fontId="152" fillId="0" borderId="0" xfId="0" applyFont="1" applyAlignment="1">
      <alignment vertical="top" wrapText="1"/>
    </xf>
    <xf numFmtId="0" fontId="152" fillId="0" borderId="37" xfId="0" applyFont="1" applyBorder="1" applyAlignment="1">
      <alignment vertical="top" wrapText="1"/>
    </xf>
    <xf numFmtId="0" fontId="152" fillId="0" borderId="40" xfId="0" applyFont="1" applyBorder="1" applyAlignment="1">
      <alignment horizontal="center"/>
    </xf>
    <xf numFmtId="0" fontId="152" fillId="0" borderId="41" xfId="0" applyFont="1" applyBorder="1" applyAlignment="1">
      <alignment vertical="top" wrapText="1"/>
    </xf>
    <xf numFmtId="0" fontId="152" fillId="0" borderId="42" xfId="0" applyFont="1" applyBorder="1" applyAlignment="1">
      <alignment vertical="top" wrapText="1"/>
    </xf>
    <xf numFmtId="0" fontId="152" fillId="0" borderId="77" xfId="0" applyFont="1" applyBorder="1" applyAlignment="1">
      <alignment vertical="top" wrapText="1"/>
    </xf>
    <xf numFmtId="0" fontId="163" fillId="0" borderId="28" xfId="0" applyFont="1" applyBorder="1" applyAlignment="1">
      <alignment horizontal="center"/>
    </xf>
    <xf numFmtId="0" fontId="163" fillId="0" borderId="0" xfId="0" applyFont="1" applyAlignment="1">
      <alignment horizontal="center"/>
    </xf>
    <xf numFmtId="20" fontId="152" fillId="0" borderId="39" xfId="0" applyNumberFormat="1" applyFont="1" applyBorder="1" applyAlignment="1">
      <alignment horizontal="center"/>
    </xf>
    <xf numFmtId="0" fontId="152" fillId="0" borderId="40" xfId="0" applyFont="1" applyBorder="1" applyAlignment="1">
      <alignment horizontal="center" vertical="center" wrapText="1"/>
    </xf>
    <xf numFmtId="0" fontId="152" fillId="0" borderId="42" xfId="0" applyFont="1" applyBorder="1" applyAlignment="1">
      <alignment vertical="center" wrapText="1"/>
    </xf>
    <xf numFmtId="0" fontId="152" fillId="0" borderId="77" xfId="0" applyFont="1" applyBorder="1" applyAlignment="1">
      <alignment vertical="center" wrapText="1"/>
    </xf>
    <xf numFmtId="0" fontId="163" fillId="0" borderId="34" xfId="0" applyFont="1" applyBorder="1" applyAlignment="1">
      <alignment horizontal="center"/>
    </xf>
    <xf numFmtId="0" fontId="163" fillId="0" borderId="19" xfId="0" applyFont="1" applyBorder="1" applyAlignment="1">
      <alignment horizontal="center"/>
    </xf>
    <xf numFmtId="0" fontId="152" fillId="0" borderId="19" xfId="0" applyFont="1" applyBorder="1" applyAlignment="1">
      <alignment horizontal="center"/>
    </xf>
    <xf numFmtId="0" fontId="152" fillId="0" borderId="88" xfId="0" applyFont="1" applyBorder="1" applyAlignment="1">
      <alignment horizontal="center"/>
    </xf>
    <xf numFmtId="3" fontId="7" fillId="0" borderId="21" xfId="1599" applyNumberFormat="1" applyFont="1" applyBorder="1" applyAlignment="1">
      <alignment horizontal="center" vertical="center"/>
    </xf>
    <xf numFmtId="0" fontId="156" fillId="0" borderId="0" xfId="0" applyFont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54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0" xfId="1615" applyNumberFormat="1" applyFont="1" applyFill="1" applyBorder="1" applyAlignment="1">
      <alignment horizontal="center" vertical="center"/>
    </xf>
    <xf numFmtId="3" fontId="40" fillId="31" borderId="41" xfId="1615" applyNumberFormat="1" applyFont="1" applyFill="1" applyBorder="1" applyAlignment="1">
      <alignment horizontal="center" vertical="center"/>
    </xf>
    <xf numFmtId="3" fontId="40" fillId="31" borderId="55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7" fillId="0" borderId="46" xfId="1614" applyFont="1" applyBorder="1" applyAlignment="1">
      <alignment horizontal="center" vertical="center"/>
    </xf>
    <xf numFmtId="0" fontId="47" fillId="0" borderId="44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48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47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49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3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70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41" fillId="42" borderId="67" xfId="2673" applyFont="1" applyFill="1" applyBorder="1" applyAlignment="1">
      <alignment horizontal="center" vertical="center" wrapText="1"/>
    </xf>
    <xf numFmtId="0" fontId="141" fillId="42" borderId="68" xfId="2673" applyFont="1" applyFill="1" applyBorder="1" applyAlignment="1">
      <alignment horizontal="center" vertical="center" wrapText="1"/>
    </xf>
    <xf numFmtId="0" fontId="141" fillId="42" borderId="69" xfId="2673" applyFont="1" applyFill="1" applyBorder="1" applyAlignment="1">
      <alignment horizontal="center" vertical="center" wrapText="1"/>
    </xf>
    <xf numFmtId="166" fontId="126" fillId="43" borderId="7" xfId="2673" applyNumberFormat="1" applyFont="1" applyFill="1" applyBorder="1" applyAlignment="1">
      <alignment horizontal="center" vertical="center" wrapText="1"/>
    </xf>
    <xf numFmtId="0" fontId="126" fillId="43" borderId="50" xfId="2673" applyFont="1" applyFill="1" applyBorder="1" applyAlignment="1">
      <alignment horizontal="center" vertical="center" wrapText="1"/>
    </xf>
    <xf numFmtId="1" fontId="115" fillId="43" borderId="7" xfId="2673" applyNumberFormat="1" applyFont="1" applyFill="1" applyBorder="1" applyAlignment="1">
      <alignment horizontal="center" vertical="center" wrapText="1"/>
    </xf>
    <xf numFmtId="1" fontId="115" fillId="43" borderId="50" xfId="2673" applyNumberFormat="1" applyFont="1" applyFill="1" applyBorder="1" applyAlignment="1">
      <alignment horizontal="center" vertical="center" wrapText="1"/>
    </xf>
    <xf numFmtId="0" fontId="115" fillId="43" borderId="7" xfId="2673" applyFont="1" applyFill="1" applyBorder="1" applyAlignment="1">
      <alignment horizontal="center" vertical="center" wrapText="1"/>
    </xf>
    <xf numFmtId="0" fontId="115" fillId="43" borderId="50" xfId="2673" applyFont="1" applyFill="1" applyBorder="1" applyAlignment="1">
      <alignment horizontal="center" vertical="center" wrapText="1"/>
    </xf>
    <xf numFmtId="1" fontId="126" fillId="44" borderId="45" xfId="2673" applyNumberFormat="1" applyFont="1" applyFill="1" applyBorder="1" applyAlignment="1">
      <alignment horizontal="center" vertical="center" wrapText="1"/>
    </xf>
    <xf numFmtId="1" fontId="126" fillId="44" borderId="50" xfId="2673" applyNumberFormat="1" applyFont="1" applyFill="1" applyBorder="1" applyAlignment="1">
      <alignment horizontal="center" vertical="center" wrapText="1"/>
    </xf>
    <xf numFmtId="2" fontId="115" fillId="43" borderId="51" xfId="2673" applyNumberFormat="1" applyFont="1" applyFill="1" applyBorder="1" applyAlignment="1">
      <alignment horizontal="center" vertical="center" wrapText="1"/>
    </xf>
    <xf numFmtId="2" fontId="115" fillId="43" borderId="71" xfId="2673" applyNumberFormat="1" applyFont="1" applyFill="1" applyBorder="1" applyAlignment="1">
      <alignment horizontal="center" vertical="center" wrapText="1"/>
    </xf>
    <xf numFmtId="166" fontId="126" fillId="44" borderId="75" xfId="2673" applyNumberFormat="1" applyFont="1" applyFill="1" applyBorder="1" applyAlignment="1">
      <alignment horizontal="center" vertical="center" wrapText="1"/>
    </xf>
    <xf numFmtId="166" fontId="126" fillId="44" borderId="69" xfId="2673" applyNumberFormat="1" applyFont="1" applyFill="1" applyBorder="1" applyAlignment="1">
      <alignment horizontal="center" vertical="center" wrapText="1"/>
    </xf>
    <xf numFmtId="2" fontId="115" fillId="35" borderId="3" xfId="2673" applyNumberFormat="1" applyFont="1" applyFill="1" applyBorder="1" applyAlignment="1">
      <alignment horizontal="center" vertical="center" wrapText="1"/>
    </xf>
    <xf numFmtId="2" fontId="115" fillId="35" borderId="39" xfId="2673" applyNumberFormat="1" applyFont="1" applyFill="1" applyBorder="1" applyAlignment="1">
      <alignment horizontal="center" vertical="center" wrapText="1"/>
    </xf>
    <xf numFmtId="2" fontId="115" fillId="0" borderId="3" xfId="2673" applyNumberFormat="1" applyFont="1" applyBorder="1" applyAlignment="1">
      <alignment horizontal="center" vertical="center" wrapText="1"/>
    </xf>
    <xf numFmtId="2" fontId="115" fillId="0" borderId="39" xfId="2673" applyNumberFormat="1" applyFont="1" applyBorder="1" applyAlignment="1">
      <alignment horizontal="center" vertical="center" wrapText="1"/>
    </xf>
    <xf numFmtId="0" fontId="144" fillId="0" borderId="45" xfId="2673" applyFont="1" applyBorder="1" applyAlignment="1">
      <alignment horizontal="center" vertical="center" wrapText="1"/>
    </xf>
    <xf numFmtId="0" fontId="144" fillId="0" borderId="50" xfId="2673" applyFont="1" applyBorder="1" applyAlignment="1">
      <alignment horizontal="center" vertical="center" wrapText="1"/>
    </xf>
    <xf numFmtId="0" fontId="144" fillId="44" borderId="3" xfId="2673" applyFont="1" applyFill="1" applyBorder="1" applyAlignment="1">
      <alignment horizontal="center" vertical="center" wrapText="1"/>
    </xf>
    <xf numFmtId="0" fontId="144" fillId="44" borderId="39" xfId="2673" applyFont="1" applyFill="1" applyBorder="1" applyAlignment="1">
      <alignment horizontal="center" vertical="center" wrapText="1"/>
    </xf>
    <xf numFmtId="1" fontId="115" fillId="0" borderId="3" xfId="2673" applyNumberFormat="1" applyFont="1" applyBorder="1" applyAlignment="1">
      <alignment horizontal="center" vertical="center" wrapText="1"/>
    </xf>
    <xf numFmtId="1" fontId="115" fillId="0" borderId="39" xfId="2673" applyNumberFormat="1" applyFont="1" applyBorder="1" applyAlignment="1">
      <alignment horizontal="center" vertical="center" wrapText="1"/>
    </xf>
    <xf numFmtId="2" fontId="115" fillId="45" borderId="3" xfId="2673" applyNumberFormat="1" applyFont="1" applyFill="1" applyBorder="1" applyAlignment="1">
      <alignment horizontal="center" vertical="center" wrapText="1"/>
    </xf>
    <xf numFmtId="2" fontId="115" fillId="45" borderId="39" xfId="2673" applyNumberFormat="1" applyFont="1" applyFill="1" applyBorder="1" applyAlignment="1">
      <alignment horizontal="center" vertical="center" wrapText="1"/>
    </xf>
    <xf numFmtId="0" fontId="5" fillId="0" borderId="72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73" xfId="2673" applyBorder="1" applyAlignment="1">
      <alignment horizontal="center" vertical="center" wrapText="1"/>
    </xf>
    <xf numFmtId="9" fontId="148" fillId="0" borderId="0" xfId="2675" applyFont="1" applyFill="1" applyBorder="1" applyAlignment="1">
      <alignment horizontal="center" vertical="center" wrapText="1"/>
    </xf>
    <xf numFmtId="0" fontId="145" fillId="37" borderId="0" xfId="2673" applyFont="1" applyFill="1" applyAlignment="1">
      <alignment horizontal="left" vertical="center" wrapText="1"/>
    </xf>
    <xf numFmtId="166" fontId="126" fillId="35" borderId="7" xfId="2673" applyNumberFormat="1" applyFont="1" applyFill="1" applyBorder="1" applyAlignment="1">
      <alignment horizontal="center" vertical="center" wrapText="1"/>
    </xf>
    <xf numFmtId="0" fontId="126" fillId="35" borderId="50" xfId="2673" applyFont="1" applyFill="1" applyBorder="1" applyAlignment="1">
      <alignment horizontal="center" vertical="center" wrapText="1"/>
    </xf>
    <xf numFmtId="2" fontId="115" fillId="35" borderId="51" xfId="2673" applyNumberFormat="1" applyFont="1" applyFill="1" applyBorder="1" applyAlignment="1">
      <alignment horizontal="center" vertical="center" wrapText="1"/>
    </xf>
    <xf numFmtId="2" fontId="115" fillId="35" borderId="71" xfId="2673" applyNumberFormat="1" applyFont="1" applyFill="1" applyBorder="1" applyAlignment="1">
      <alignment horizontal="center" vertical="center" wrapText="1"/>
    </xf>
    <xf numFmtId="0" fontId="141" fillId="41" borderId="67" xfId="2673" applyFont="1" applyFill="1" applyBorder="1" applyAlignment="1">
      <alignment horizontal="center" vertical="center" wrapText="1"/>
    </xf>
    <xf numFmtId="0" fontId="141" fillId="41" borderId="68" xfId="2673" applyFont="1" applyFill="1" applyBorder="1" applyAlignment="1">
      <alignment horizontal="center" vertical="center" wrapText="1"/>
    </xf>
    <xf numFmtId="0" fontId="141" fillId="41" borderId="69" xfId="2673" applyFont="1" applyFill="1" applyBorder="1" applyAlignment="1">
      <alignment horizontal="center" vertical="center" wrapText="1"/>
    </xf>
    <xf numFmtId="0" fontId="115" fillId="35" borderId="7" xfId="2673" applyFont="1" applyFill="1" applyBorder="1" applyAlignment="1">
      <alignment horizontal="center" vertical="center" wrapText="1"/>
    </xf>
    <xf numFmtId="0" fontId="115" fillId="35" borderId="50" xfId="2673" applyFont="1" applyFill="1" applyBorder="1" applyAlignment="1">
      <alignment horizontal="center" vertical="center" wrapText="1"/>
    </xf>
    <xf numFmtId="1" fontId="126" fillId="35" borderId="7" xfId="2673" applyNumberFormat="1" applyFont="1" applyFill="1" applyBorder="1" applyAlignment="1">
      <alignment horizontal="center" vertical="center" wrapText="1"/>
    </xf>
    <xf numFmtId="1" fontId="126" fillId="35" borderId="50" xfId="2673" applyNumberFormat="1" applyFont="1" applyFill="1" applyBorder="1" applyAlignment="1">
      <alignment horizontal="center" vertical="center" wrapText="1"/>
    </xf>
    <xf numFmtId="166" fontId="126" fillId="0" borderId="48" xfId="2673" applyNumberFormat="1" applyFont="1" applyBorder="1" applyAlignment="1">
      <alignment horizontal="center" vertical="center" wrapText="1"/>
    </xf>
    <xf numFmtId="0" fontId="126" fillId="0" borderId="49" xfId="2673" applyFont="1" applyBorder="1" applyAlignment="1">
      <alignment horizontal="center" vertical="center" wrapText="1"/>
    </xf>
    <xf numFmtId="9" fontId="115" fillId="0" borderId="52" xfId="2675" applyFont="1" applyFill="1" applyBorder="1" applyAlignment="1">
      <alignment horizontal="center" vertical="center" wrapText="1"/>
    </xf>
    <xf numFmtId="9" fontId="115" fillId="0" borderId="53" xfId="2675" applyFont="1" applyFill="1" applyBorder="1" applyAlignment="1">
      <alignment horizontal="center" vertical="center" wrapText="1"/>
    </xf>
    <xf numFmtId="1" fontId="126" fillId="0" borderId="3" xfId="2673" applyNumberFormat="1" applyFont="1" applyBorder="1" applyAlignment="1">
      <alignment horizontal="center" vertical="center" wrapText="1"/>
    </xf>
    <xf numFmtId="1" fontId="126" fillId="0" borderId="39" xfId="2673" applyNumberFormat="1" applyFont="1" applyBorder="1" applyAlignment="1">
      <alignment horizontal="center" vertical="center" wrapText="1"/>
    </xf>
    <xf numFmtId="9" fontId="115" fillId="35" borderId="52" xfId="2675" applyFont="1" applyFill="1" applyBorder="1" applyAlignment="1">
      <alignment horizontal="center" vertical="center" wrapText="1"/>
    </xf>
    <xf numFmtId="9" fontId="115" fillId="35" borderId="53" xfId="2675" applyFont="1" applyFill="1" applyBorder="1" applyAlignment="1">
      <alignment horizontal="center" vertical="center" wrapText="1"/>
    </xf>
    <xf numFmtId="0" fontId="6" fillId="34" borderId="56" xfId="2670" applyFill="1" applyBorder="1" applyAlignment="1">
      <alignment horizontal="center" vertical="center"/>
    </xf>
    <xf numFmtId="0" fontId="118" fillId="0" borderId="57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9" fillId="0" borderId="42" xfId="1538" applyFont="1" applyBorder="1" applyAlignment="1">
      <alignment horizontal="left"/>
    </xf>
    <xf numFmtId="0" fontId="129" fillId="0" borderId="0" xfId="1644" applyFont="1" applyAlignment="1">
      <alignment horizontal="center" vertical="center"/>
    </xf>
    <xf numFmtId="37" fontId="136" fillId="0" borderId="19" xfId="1614" applyNumberFormat="1" applyFont="1" applyBorder="1" applyAlignment="1">
      <alignment horizontal="center"/>
    </xf>
    <xf numFmtId="37" fontId="130" fillId="0" borderId="0" xfId="1614" applyNumberFormat="1" applyFont="1" applyAlignment="1">
      <alignment horizontal="center"/>
    </xf>
    <xf numFmtId="0" fontId="150" fillId="0" borderId="26" xfId="1614" applyFont="1" applyBorder="1" applyAlignment="1">
      <alignment horizontal="left" vertical="center" wrapText="1"/>
    </xf>
    <xf numFmtId="0" fontId="150" fillId="0" borderId="36" xfId="1614" applyFont="1" applyBorder="1" applyAlignment="1">
      <alignment horizontal="left" vertical="center" wrapText="1"/>
    </xf>
    <xf numFmtId="0" fontId="150" fillId="0" borderId="43" xfId="1614" applyFont="1" applyBorder="1" applyAlignment="1">
      <alignment horizontal="left" vertical="center" wrapText="1"/>
    </xf>
    <xf numFmtId="0" fontId="150" fillId="0" borderId="28" xfId="1614" applyFont="1" applyBorder="1" applyAlignment="1">
      <alignment horizontal="left" vertical="center" wrapText="1"/>
    </xf>
    <xf numFmtId="0" fontId="150" fillId="0" borderId="0" xfId="1614" applyFont="1" applyAlignment="1">
      <alignment horizontal="left" vertical="center" wrapText="1"/>
    </xf>
    <xf numFmtId="0" fontId="150" fillId="0" borderId="37" xfId="1614" applyFont="1" applyBorder="1" applyAlignment="1">
      <alignment horizontal="left" vertical="center" wrapText="1"/>
    </xf>
    <xf numFmtId="0" fontId="135" fillId="0" borderId="0" xfId="1652" applyFont="1" applyAlignment="1">
      <alignment horizontal="center" vertical="center"/>
    </xf>
    <xf numFmtId="0" fontId="130" fillId="0" borderId="0" xfId="1652" applyFont="1" applyAlignment="1">
      <alignment horizontal="center" vertical="center"/>
    </xf>
    <xf numFmtId="0" fontId="132" fillId="30" borderId="3" xfId="1614" applyFont="1" applyFill="1" applyBorder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37" fontId="130" fillId="0" borderId="36" xfId="1614" applyNumberFormat="1" applyFont="1" applyBorder="1" applyAlignment="1">
      <alignment horizontal="center"/>
    </xf>
    <xf numFmtId="0" fontId="134" fillId="35" borderId="46" xfId="1614" applyFont="1" applyFill="1" applyBorder="1" applyAlignment="1">
      <alignment horizontal="center" vertical="center"/>
    </xf>
    <xf numFmtId="0" fontId="134" fillId="35" borderId="44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/>
    </xf>
    <xf numFmtId="0" fontId="134" fillId="35" borderId="21" xfId="1614" applyFont="1" applyFill="1" applyBorder="1" applyAlignment="1">
      <alignment horizontal="center" vertical="center"/>
    </xf>
    <xf numFmtId="0" fontId="134" fillId="35" borderId="33" xfId="1614" applyFont="1" applyFill="1" applyBorder="1" applyAlignment="1">
      <alignment horizontal="center" vertical="center"/>
    </xf>
    <xf numFmtId="0" fontId="134" fillId="35" borderId="48" xfId="1614" applyFont="1" applyFill="1" applyBorder="1" applyAlignment="1">
      <alignment horizontal="center" vertical="center"/>
    </xf>
    <xf numFmtId="0" fontId="134" fillId="35" borderId="3" xfId="1614" applyFont="1" applyFill="1" applyBorder="1" applyAlignment="1">
      <alignment horizontal="center" vertical="center"/>
    </xf>
    <xf numFmtId="0" fontId="134" fillId="35" borderId="47" xfId="1614" applyFont="1" applyFill="1" applyBorder="1" applyAlignment="1">
      <alignment horizontal="center" vertical="center" wrapText="1"/>
    </xf>
    <xf numFmtId="0" fontId="134" fillId="35" borderId="21" xfId="1614" applyFont="1" applyFill="1" applyBorder="1" applyAlignment="1">
      <alignment horizontal="center" vertical="center" wrapText="1"/>
    </xf>
    <xf numFmtId="0" fontId="134" fillId="35" borderId="33" xfId="1614" applyFont="1" applyFill="1" applyBorder="1" applyAlignment="1">
      <alignment horizontal="center" vertical="center" wrapText="1"/>
    </xf>
    <xf numFmtId="0" fontId="134" fillId="35" borderId="35" xfId="1652" applyFont="1" applyFill="1" applyBorder="1" applyAlignment="1">
      <alignment horizontal="center" vertical="center" wrapText="1"/>
    </xf>
    <xf numFmtId="0" fontId="134" fillId="35" borderId="33" xfId="1652" applyFont="1" applyFill="1" applyBorder="1" applyAlignment="1">
      <alignment horizontal="center" vertical="center" wrapText="1"/>
    </xf>
    <xf numFmtId="0" fontId="134" fillId="35" borderId="49" xfId="1614" applyFont="1" applyFill="1" applyBorder="1" applyAlignment="1">
      <alignment horizontal="center" vertical="center"/>
    </xf>
    <xf numFmtId="0" fontId="134" fillId="35" borderId="39" xfId="1614" applyFont="1" applyFill="1" applyBorder="1" applyAlignment="1">
      <alignment horizontal="center" vertical="center"/>
    </xf>
    <xf numFmtId="0" fontId="152" fillId="0" borderId="51" xfId="0" applyFont="1" applyBorder="1" applyAlignment="1">
      <alignment horizontal="center"/>
    </xf>
    <xf numFmtId="0" fontId="152" fillId="0" borderId="89" xfId="0" applyFont="1" applyBorder="1" applyAlignment="1">
      <alignment horizontal="center"/>
    </xf>
    <xf numFmtId="0" fontId="152" fillId="0" borderId="52" xfId="0" applyFont="1" applyBorder="1" applyAlignment="1">
      <alignment horizontal="center"/>
    </xf>
    <xf numFmtId="0" fontId="152" fillId="0" borderId="53" xfId="0" applyFont="1" applyBorder="1" applyAlignment="1">
      <alignment horizontal="center"/>
    </xf>
    <xf numFmtId="0" fontId="152" fillId="0" borderId="7" xfId="0" applyFont="1" applyBorder="1" applyAlignment="1">
      <alignment horizontal="center"/>
    </xf>
    <xf numFmtId="0" fontId="152" fillId="0" borderId="78" xfId="0" applyFont="1" applyBorder="1" applyAlignment="1">
      <alignment horizontal="center"/>
    </xf>
    <xf numFmtId="0" fontId="152" fillId="0" borderId="3" xfId="0" applyFont="1" applyBorder="1" applyAlignment="1">
      <alignment horizontal="center"/>
    </xf>
    <xf numFmtId="0" fontId="152" fillId="0" borderId="39" xfId="0" applyFont="1" applyBorder="1" applyAlignment="1">
      <alignment horizontal="center"/>
    </xf>
    <xf numFmtId="0" fontId="152" fillId="0" borderId="79" xfId="0" applyFont="1" applyBorder="1" applyAlignment="1">
      <alignment horizontal="center" vertical="center"/>
    </xf>
    <xf numFmtId="0" fontId="152" fillId="0" borderId="80" xfId="0" applyFont="1" applyBorder="1" applyAlignment="1">
      <alignment horizontal="center" vertical="center"/>
    </xf>
    <xf numFmtId="0" fontId="152" fillId="0" borderId="18" xfId="0" applyFont="1" applyBorder="1" applyAlignment="1">
      <alignment horizontal="center" vertical="center" wrapText="1"/>
    </xf>
    <xf numFmtId="0" fontId="152" fillId="0" borderId="0" xfId="0" applyFont="1" applyAlignment="1">
      <alignment horizontal="center" vertical="center" wrapText="1"/>
    </xf>
    <xf numFmtId="0" fontId="152" fillId="0" borderId="37" xfId="0" applyFont="1" applyBorder="1" applyAlignment="1">
      <alignment horizontal="center" vertical="center" wrapText="1"/>
    </xf>
    <xf numFmtId="15" fontId="152" fillId="0" borderId="3" xfId="0" applyNumberFormat="1" applyFont="1" applyBorder="1" applyAlignment="1">
      <alignment horizontal="center"/>
    </xf>
    <xf numFmtId="49" fontId="159" fillId="0" borderId="84" xfId="0" applyNumberFormat="1" applyFont="1" applyBorder="1" applyAlignment="1">
      <alignment horizontal="left" vertical="center"/>
    </xf>
    <xf numFmtId="49" fontId="159" fillId="0" borderId="82" xfId="0" applyNumberFormat="1" applyFont="1" applyBorder="1" applyAlignment="1">
      <alignment horizontal="left" vertical="center"/>
    </xf>
    <xf numFmtId="0" fontId="152" fillId="0" borderId="7" xfId="0" applyFont="1" applyBorder="1" applyAlignment="1">
      <alignment horizontal="center" vertical="top" wrapText="1"/>
    </xf>
    <xf numFmtId="0" fontId="152" fillId="0" borderId="78" xfId="0" applyFont="1" applyBorder="1" applyAlignment="1">
      <alignment horizontal="center" vertical="top" wrapText="1"/>
    </xf>
    <xf numFmtId="0" fontId="156" fillId="0" borderId="18" xfId="0" applyFont="1" applyBorder="1" applyAlignment="1">
      <alignment horizontal="left" vertical="top" wrapText="1"/>
    </xf>
    <xf numFmtId="0" fontId="156" fillId="0" borderId="0" xfId="0" applyFont="1" applyAlignment="1">
      <alignment horizontal="left" vertical="top" wrapText="1"/>
    </xf>
    <xf numFmtId="49" fontId="159" fillId="0" borderId="84" xfId="0" applyNumberFormat="1" applyFont="1" applyBorder="1" applyAlignment="1">
      <alignment horizontal="center" vertical="center"/>
    </xf>
    <xf numFmtId="49" fontId="159" fillId="0" borderId="82" xfId="0" applyNumberFormat="1" applyFont="1" applyBorder="1" applyAlignment="1">
      <alignment horizontal="center" vertical="center"/>
    </xf>
    <xf numFmtId="49" fontId="152" fillId="0" borderId="45" xfId="0" applyNumberFormat="1" applyFont="1" applyBorder="1" applyAlignment="1">
      <alignment horizontal="center" vertical="center"/>
    </xf>
    <xf numFmtId="49" fontId="152" fillId="0" borderId="78" xfId="0" applyNumberFormat="1" applyFont="1" applyBorder="1" applyAlignment="1">
      <alignment horizontal="center" vertical="center"/>
    </xf>
    <xf numFmtId="0" fontId="156" fillId="0" borderId="45" xfId="0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/>
    </xf>
    <xf numFmtId="0" fontId="156" fillId="0" borderId="50" xfId="0" applyFont="1" applyBorder="1" applyAlignment="1">
      <alignment horizontal="center" vertical="center"/>
    </xf>
    <xf numFmtId="0" fontId="160" fillId="0" borderId="81" xfId="0" applyFont="1" applyBorder="1" applyAlignment="1">
      <alignment horizontal="center" vertical="center"/>
    </xf>
    <xf numFmtId="0" fontId="160" fillId="0" borderId="85" xfId="0" applyFont="1" applyBorder="1" applyAlignment="1">
      <alignment horizontal="center" vertical="center"/>
    </xf>
    <xf numFmtId="0" fontId="156" fillId="0" borderId="18" xfId="0" applyFont="1" applyBorder="1" applyAlignment="1">
      <alignment horizontal="left"/>
    </xf>
    <xf numFmtId="0" fontId="156" fillId="0" borderId="0" xfId="0" applyFont="1" applyAlignment="1">
      <alignment horizontal="left"/>
    </xf>
    <xf numFmtId="0" fontId="156" fillId="0" borderId="37" xfId="0" applyFont="1" applyBorder="1" applyAlignment="1">
      <alignment horizontal="left"/>
    </xf>
    <xf numFmtId="0" fontId="158" fillId="0" borderId="45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158" fillId="0" borderId="78" xfId="0" applyFont="1" applyBorder="1" applyAlignment="1">
      <alignment horizontal="center" vertical="center"/>
    </xf>
    <xf numFmtId="49" fontId="160" fillId="0" borderId="84" xfId="0" applyNumberFormat="1" applyFont="1" applyBorder="1" applyAlignment="1">
      <alignment horizontal="center" vertical="center"/>
    </xf>
    <xf numFmtId="49" fontId="160" fillId="0" borderId="82" xfId="0" applyNumberFormat="1" applyFont="1" applyBorder="1" applyAlignment="1">
      <alignment horizontal="center" vertical="center"/>
    </xf>
    <xf numFmtId="0" fontId="152" fillId="0" borderId="79" xfId="0" applyFont="1" applyBorder="1" applyAlignment="1">
      <alignment horizontal="center"/>
    </xf>
    <xf numFmtId="0" fontId="152" fillId="0" borderId="80" xfId="0" applyFont="1" applyBorder="1" applyAlignment="1">
      <alignment horizontal="center"/>
    </xf>
    <xf numFmtId="0" fontId="154" fillId="0" borderId="3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/>
    </xf>
    <xf numFmtId="0" fontId="154" fillId="0" borderId="78" xfId="2669" applyFont="1" applyBorder="1" applyAlignment="1">
      <alignment horizontal="center" vertical="center"/>
    </xf>
    <xf numFmtId="0" fontId="154" fillId="0" borderId="45" xfId="2669" applyFont="1" applyBorder="1" applyAlignment="1">
      <alignment horizontal="center" vertical="center" wrapText="1"/>
    </xf>
    <xf numFmtId="0" fontId="154" fillId="0" borderId="78" xfId="2669" applyFont="1" applyBorder="1" applyAlignment="1">
      <alignment horizontal="center" vertical="center" wrapText="1"/>
    </xf>
    <xf numFmtId="0" fontId="153" fillId="0" borderId="76" xfId="0" applyFont="1" applyBorder="1" applyAlignment="1">
      <alignment horizontal="center" vertical="center"/>
    </xf>
    <xf numFmtId="0" fontId="153" fillId="0" borderId="36" xfId="0" applyFont="1" applyBorder="1" applyAlignment="1">
      <alignment horizontal="center" vertical="center"/>
    </xf>
    <xf numFmtId="0" fontId="153" fillId="0" borderId="43" xfId="0" applyFont="1" applyBorder="1" applyAlignment="1">
      <alignment horizontal="center" vertical="center"/>
    </xf>
    <xf numFmtId="0" fontId="153" fillId="0" borderId="41" xfId="0" applyFont="1" applyBorder="1" applyAlignment="1">
      <alignment horizontal="center" vertical="center"/>
    </xf>
    <xf numFmtId="0" fontId="153" fillId="0" borderId="42" xfId="0" applyFont="1" applyBorder="1" applyAlignment="1">
      <alignment horizontal="center" vertical="center"/>
    </xf>
    <xf numFmtId="0" fontId="153" fillId="0" borderId="77" xfId="0" applyFont="1" applyBorder="1" applyAlignment="1">
      <alignment horizontal="center" vertical="center"/>
    </xf>
    <xf numFmtId="0" fontId="165" fillId="35" borderId="0" xfId="1451" applyFont="1" applyFill="1" applyAlignment="1">
      <alignment horizontal="center" vertical="center"/>
    </xf>
    <xf numFmtId="0" fontId="168" fillId="0" borderId="0" xfId="1451" applyFont="1" applyAlignment="1">
      <alignment horizontal="left"/>
    </xf>
    <xf numFmtId="0" fontId="165" fillId="35" borderId="26" xfId="1451" applyFont="1" applyFill="1" applyBorder="1" applyAlignment="1">
      <alignment horizontal="center" vertical="center"/>
    </xf>
    <xf numFmtId="0" fontId="165" fillId="35" borderId="36" xfId="1451" applyFont="1" applyFill="1" applyBorder="1" applyAlignment="1">
      <alignment horizontal="center" vertical="center"/>
    </xf>
    <xf numFmtId="0" fontId="165" fillId="35" borderId="43" xfId="1451" applyFont="1" applyFill="1" applyBorder="1" applyAlignment="1">
      <alignment horizontal="center" vertical="center"/>
    </xf>
    <xf numFmtId="0" fontId="165" fillId="35" borderId="28" xfId="1451" applyFont="1" applyFill="1" applyBorder="1" applyAlignment="1">
      <alignment horizontal="center" vertical="center"/>
    </xf>
    <xf numFmtId="0" fontId="165" fillId="35" borderId="37" xfId="1451" applyFont="1" applyFill="1" applyBorder="1" applyAlignment="1">
      <alignment horizontal="center" vertical="center"/>
    </xf>
    <xf numFmtId="0" fontId="165" fillId="35" borderId="34" xfId="1451" applyFont="1" applyFill="1" applyBorder="1" applyAlignment="1">
      <alignment horizontal="center" vertical="center"/>
    </xf>
    <xf numFmtId="0" fontId="165" fillId="35" borderId="19" xfId="1451" applyFont="1" applyFill="1" applyBorder="1" applyAlignment="1">
      <alignment horizontal="center" vertical="center"/>
    </xf>
    <xf numFmtId="0" fontId="165" fillId="35" borderId="31" xfId="1451" applyFont="1" applyFill="1" applyBorder="1" applyAlignment="1">
      <alignment horizontal="center" vertical="center"/>
    </xf>
  </cellXfs>
  <cellStyles count="3725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18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5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4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3" xr:uid="{99AE82A2-9CDF-427E-968E-EF6D93EAF998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6" xr:uid="{3EB6A169-5016-4A63-9058-D9C7E2BBC12C}"/>
    <cellStyle name="Normal 126 3" xfId="3433" xr:uid="{FF1C1214-6A69-4780-B1FC-3F2033DFC0F7}"/>
    <cellStyle name="Normal 126 4" xfId="3695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698" xr:uid="{E422D458-A3BD-45FE-8F31-99F3A5D04B8C}"/>
    <cellStyle name="Normal 134 3" xfId="3435" xr:uid="{BBB3AF98-FE7E-4A5D-980C-A11977824812}"/>
    <cellStyle name="Normal 134 4" xfId="3697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699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0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17" xr:uid="{7FF41EA3-334A-4C08-AAB3-A76CAE899332}"/>
    <cellStyle name="Normal 137 2 3" xfId="3440" xr:uid="{DBFED99F-F201-4435-8350-F0E0B590DF22}"/>
    <cellStyle name="Normal 137 2 4" xfId="3702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6" xr:uid="{74196348-F776-49FA-B22F-2C4A6C508258}"/>
    <cellStyle name="Normal 137 4" xfId="3439" xr:uid="{86D69212-888B-438F-A513-0E0FB5F5D9C4}"/>
    <cellStyle name="Normal 137 5" xfId="3701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5" xr:uid="{908EE8AE-05BC-421A-8F9E-6824FEAD3398}"/>
    <cellStyle name="Normal 2 5 2 3" xfId="3469" xr:uid="{AF499AF9-D28A-4666-877A-12C9AD201220}"/>
    <cellStyle name="Normal 2 5 2 4" xfId="3704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6" xr:uid="{9D7400C9-BA7F-47C4-8587-4AAD41B14224}"/>
    <cellStyle name="Normal 2 5 4" xfId="3468" xr:uid="{029ADF14-BBFF-4F5F-8B90-16227F6E7DA4}"/>
    <cellStyle name="Normal 2 5 5" xfId="3703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08" xr:uid="{E3F076F7-657C-43C2-81CD-380E7EBA2B1E}"/>
    <cellStyle name="Normal 4 5" xfId="3482" xr:uid="{993BBF43-BA77-40E7-9477-5E2DCDF0B1EF}"/>
    <cellStyle name="Normal 4 6" xfId="3707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0" xr:uid="{97E8DBCC-24CA-44AD-937E-62B83A8CB686}"/>
    <cellStyle name="Normal 8 4" xfId="3486" xr:uid="{58900736-645E-4E51-B2D2-7629F0A0E846}"/>
    <cellStyle name="Normal 8 5" xfId="3709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1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2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19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0" xr:uid="{1C9B1E2C-489A-46DE-B13B-7F3EF306E909}"/>
    <cellStyle name="Percent 21" xfId="3721" xr:uid="{8F7485B6-90EB-4CCF-A63F-907FFE8FBDF4}"/>
    <cellStyle name="Percent 22" xfId="3722" xr:uid="{CD40667E-83CA-4F56-80FC-96B814DB2A85}"/>
    <cellStyle name="Percent 23" xfId="3723" xr:uid="{9129D0AE-EA15-4378-8FBC-8682FB9DC331}"/>
    <cellStyle name="Percent 24" xfId="3724" xr:uid="{4B668EC6-C58B-4617-8B99-98D4D4F71B41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0.9741053741767367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0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671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E026F5B8-AAD2-4C87-8BB8-F67113A5EFA9}"/>
            </a:ext>
          </a:extLst>
        </xdr:cNvPr>
        <xdr:cNvCxnSpPr/>
      </xdr:nvCxnSpPr>
      <xdr:spPr>
        <a:xfrm flipH="1">
          <a:off x="1278007" y="0"/>
          <a:ext cx="9229" cy="16192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3" name="Picture 624" descr="c.jpg">
          <a:extLst>
            <a:ext uri="{FF2B5EF4-FFF2-40B4-BE49-F238E27FC236}">
              <a16:creationId xmlns:a16="http://schemas.microsoft.com/office/drawing/2014/main" id="{0B438318-782B-4374-9C52-4CB7389C4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324" y="237565"/>
          <a:ext cx="605895" cy="633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0272BEE-EA83-47B9-ADD8-42448DAFBE24}"/>
            </a:ext>
          </a:extLst>
        </xdr:cNvPr>
        <xdr:cNvGrpSpPr/>
      </xdr:nvGrpSpPr>
      <xdr:grpSpPr>
        <a:xfrm>
          <a:off x="13289324" y="1536700"/>
          <a:ext cx="153760" cy="166648"/>
          <a:chOff x="3725636" y="1945820"/>
          <a:chExt cx="153760" cy="144237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D813D397-7155-4F89-ABBE-2B7A74B184B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8F26F74-6531-4B2A-AAED-EBF9C31CC1A8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DA6F8A41-CFD1-42AC-BA88-B1D64B23A00F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6167303-0BA2-4B8C-9E45-18DF9D02663C}"/>
            </a:ext>
          </a:extLst>
        </xdr:cNvPr>
        <xdr:cNvGrpSpPr/>
      </xdr:nvGrpSpPr>
      <xdr:grpSpPr>
        <a:xfrm>
          <a:off x="13837806" y="1546226"/>
          <a:ext cx="153760" cy="166648"/>
          <a:chOff x="3725636" y="1945820"/>
          <a:chExt cx="153760" cy="144237"/>
        </a:xfrm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9792E41A-3BFC-41AE-812A-6C007E0B8C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44DD486-C5E8-44E0-AFE1-5D8FAA70E4E6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EC64007-B56E-4079-A59D-2CB5B4F73894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158AE42-DE39-4911-AEF5-DC79CEB2EA08}"/>
            </a:ext>
          </a:extLst>
        </xdr:cNvPr>
        <xdr:cNvSpPr/>
      </xdr:nvSpPr>
      <xdr:spPr>
        <a:xfrm>
          <a:off x="11720080" y="182625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E0C8895-2CDD-49C7-B920-FD14DC7B0D26}"/>
            </a:ext>
          </a:extLst>
        </xdr:cNvPr>
        <xdr:cNvSpPr/>
      </xdr:nvSpPr>
      <xdr:spPr>
        <a:xfrm>
          <a:off x="12241574" y="1835775"/>
          <a:ext cx="1537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DF3507F-2FAD-4390-948C-F3B154AB3611}"/>
            </a:ext>
          </a:extLst>
        </xdr:cNvPr>
        <xdr:cNvCxnSpPr/>
      </xdr:nvCxnSpPr>
      <xdr:spPr>
        <a:xfrm>
          <a:off x="11620500" y="215768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B17BAE7-0A31-4B84-B898-003CD826EF79}"/>
            </a:ext>
          </a:extLst>
        </xdr:cNvPr>
        <xdr:cNvCxnSpPr/>
      </xdr:nvCxnSpPr>
      <xdr:spPr>
        <a:xfrm>
          <a:off x="11634354" y="2340187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1FA3640-3396-45A8-BD0C-EBABF1ECD0B3}"/>
            </a:ext>
          </a:extLst>
        </xdr:cNvPr>
        <xdr:cNvCxnSpPr/>
      </xdr:nvCxnSpPr>
      <xdr:spPr>
        <a:xfrm>
          <a:off x="11630242" y="2534644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55F6170-F520-4783-8A47-6132454CE3D6}"/>
            </a:ext>
          </a:extLst>
        </xdr:cNvPr>
        <xdr:cNvCxnSpPr/>
      </xdr:nvCxnSpPr>
      <xdr:spPr>
        <a:xfrm>
          <a:off x="11644096" y="2691319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1681D3-9E98-473B-9107-3BCA645047EE}"/>
            </a:ext>
          </a:extLst>
        </xdr:cNvPr>
        <xdr:cNvCxnSpPr/>
      </xdr:nvCxnSpPr>
      <xdr:spPr>
        <a:xfrm>
          <a:off x="11630241" y="288090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52FD847-9772-4C47-9335-CB82D5834B97}"/>
            </a:ext>
          </a:extLst>
        </xdr:cNvPr>
        <xdr:cNvGrpSpPr/>
      </xdr:nvGrpSpPr>
      <xdr:grpSpPr>
        <a:xfrm>
          <a:off x="13637131" y="2815326"/>
          <a:ext cx="148768" cy="97327"/>
          <a:chOff x="12269933" y="1884219"/>
          <a:chExt cx="148768" cy="97327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3FDFC996-154F-492C-A17E-1B39455CAB68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AB6B7787-04D3-4FB4-BB1B-07F8885073D8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6F21C937-6AAF-4A3C-86E5-2E1D5F03E58E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95DEA49-3E5D-4793-928E-3660F4C1461B}"/>
            </a:ext>
          </a:extLst>
        </xdr:cNvPr>
        <xdr:cNvGrpSpPr/>
      </xdr:nvGrpSpPr>
      <xdr:grpSpPr>
        <a:xfrm>
          <a:off x="13629339" y="2996249"/>
          <a:ext cx="156559" cy="91113"/>
          <a:chOff x="12262141" y="2055842"/>
          <a:chExt cx="156559" cy="95595"/>
        </a:xfrm>
      </xdr:grpSpPr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9B54640F-2931-40B7-9A98-B7F005F09848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5FF1AF-79EB-43AF-BB84-54788B34F260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3E60A67-22CF-40BE-93D2-04C11B428A3E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DFD5E50E-FFEE-434A-A18A-FB6F61639280}"/>
            </a:ext>
          </a:extLst>
        </xdr:cNvPr>
        <xdr:cNvCxnSpPr/>
      </xdr:nvCxnSpPr>
      <xdr:spPr>
        <a:xfrm>
          <a:off x="11635436" y="3236537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0F10BC0-2C8D-48EC-AB8E-0280CF17E1C6}"/>
            </a:ext>
          </a:extLst>
        </xdr:cNvPr>
        <xdr:cNvCxnSpPr/>
      </xdr:nvCxnSpPr>
      <xdr:spPr>
        <a:xfrm>
          <a:off x="11649290" y="3423521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FCDEB89E-FF12-4B5C-9EBB-0352400455E5}"/>
            </a:ext>
          </a:extLst>
        </xdr:cNvPr>
        <xdr:cNvGrpSpPr/>
      </xdr:nvGrpSpPr>
      <xdr:grpSpPr>
        <a:xfrm>
          <a:off x="13634706" y="3173363"/>
          <a:ext cx="192931" cy="96655"/>
          <a:chOff x="12267508" y="2212225"/>
          <a:chExt cx="192931" cy="10113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F336A964-4BA6-411A-AF84-ED175966B0B0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DB570892-5475-412A-9238-22D6AC23C978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B21D3E8F-8391-40D9-A976-D7DF545E91DD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96C524D8-2A6D-4502-81D6-565FB6656580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FD6E341E-65B6-43CC-A3F7-BB340F93E067}"/>
            </a:ext>
          </a:extLst>
        </xdr:cNvPr>
        <xdr:cNvGrpSpPr/>
      </xdr:nvGrpSpPr>
      <xdr:grpSpPr>
        <a:xfrm>
          <a:off x="13634534" y="3361387"/>
          <a:ext cx="192062" cy="120483"/>
          <a:chOff x="12267336" y="2379518"/>
          <a:chExt cx="192062" cy="99752"/>
        </a:xfrm>
      </xdr:grpSpPr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5FC85971-B8F2-4034-93F3-B56542D7ED47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E23A4828-AE57-456F-8696-0B07F7684E75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26337C4E-F331-4F6C-ACDC-50CD37A3F1F1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3EC0C720-54C7-459B-B731-B3CEE648AC75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C59A024E-FD96-484C-8E8E-514E5483A308}"/>
            </a:ext>
          </a:extLst>
        </xdr:cNvPr>
        <xdr:cNvCxnSpPr/>
      </xdr:nvCxnSpPr>
      <xdr:spPr>
        <a:xfrm>
          <a:off x="11645894" y="3799026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419A3194-CA5F-49EE-BC24-BE1731F1C447}"/>
            </a:ext>
          </a:extLst>
        </xdr:cNvPr>
        <xdr:cNvCxnSpPr/>
      </xdr:nvCxnSpPr>
      <xdr:spPr>
        <a:xfrm>
          <a:off x="11645894" y="3791699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660B36E8-9C09-425E-8D61-AC8CC2CAFC04}"/>
            </a:ext>
          </a:extLst>
        </xdr:cNvPr>
        <xdr:cNvSpPr/>
      </xdr:nvSpPr>
      <xdr:spPr>
        <a:xfrm>
          <a:off x="11814413" y="4079344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91B0114F-97B3-4D87-8B35-EDB472D475D2}"/>
            </a:ext>
          </a:extLst>
        </xdr:cNvPr>
        <xdr:cNvSpPr/>
      </xdr:nvSpPr>
      <xdr:spPr>
        <a:xfrm>
          <a:off x="12298355" y="4077268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3" name="Group 467">
          <a:extLst>
            <a:ext uri="{FF2B5EF4-FFF2-40B4-BE49-F238E27FC236}">
              <a16:creationId xmlns:a16="http://schemas.microsoft.com/office/drawing/2014/main" id="{8EDFCCE6-0B1B-43CA-8DB1-BCE98100BBD3}"/>
            </a:ext>
          </a:extLst>
        </xdr:cNvPr>
        <xdr:cNvGrpSpPr>
          <a:grpSpLocks/>
        </xdr:cNvGrpSpPr>
      </xdr:nvGrpSpPr>
      <xdr:grpSpPr bwMode="auto">
        <a:xfrm>
          <a:off x="13361860" y="4429383"/>
          <a:ext cx="790330" cy="343935"/>
          <a:chOff x="1312712" y="2025839"/>
          <a:chExt cx="1349013" cy="348901"/>
        </a:xfrm>
      </xdr:grpSpPr>
      <xdr:sp macro="" textlink="">
        <xdr:nvSpPr>
          <xdr:cNvPr id="44" name="Freeform 297">
            <a:extLst>
              <a:ext uri="{FF2B5EF4-FFF2-40B4-BE49-F238E27FC236}">
                <a16:creationId xmlns:a16="http://schemas.microsoft.com/office/drawing/2014/main" id="{5C51C6B8-4861-4344-BD16-170A0027D690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410E380C-D91A-4DC4-81B5-AA439513BD50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AB3EFB6-DA45-46B7-91F6-294C25445F31}"/>
            </a:ext>
          </a:extLst>
        </xdr:cNvPr>
        <xdr:cNvSpPr txBox="1"/>
      </xdr:nvSpPr>
      <xdr:spPr>
        <a:xfrm>
          <a:off x="11733818" y="4880134"/>
          <a:ext cx="4572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5F68F636-09ED-459F-A988-BBA0DD56F198}"/>
            </a:ext>
          </a:extLst>
        </xdr:cNvPr>
        <xdr:cNvCxnSpPr/>
      </xdr:nvCxnSpPr>
      <xdr:spPr>
        <a:xfrm flipV="1">
          <a:off x="11858374" y="5246651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2E91362-7A48-4C89-A5C7-DA5CBF869542}"/>
            </a:ext>
          </a:extLst>
        </xdr:cNvPr>
        <xdr:cNvCxnSpPr/>
      </xdr:nvCxnSpPr>
      <xdr:spPr>
        <a:xfrm flipV="1">
          <a:off x="12355140" y="5223205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C732C14A-5937-4172-AD34-3B1374DEC64E}"/>
            </a:ext>
          </a:extLst>
        </xdr:cNvPr>
        <xdr:cNvGrpSpPr/>
      </xdr:nvGrpSpPr>
      <xdr:grpSpPr>
        <a:xfrm>
          <a:off x="13317898" y="5465327"/>
          <a:ext cx="313105" cy="154042"/>
          <a:chOff x="12001500" y="4327373"/>
          <a:chExt cx="262305" cy="151942"/>
        </a:xfrm>
      </xdr:grpSpPr>
      <xdr:sp macro="" textlink="">
        <xdr:nvSpPr>
          <xdr:cNvPr id="50" name="Isosceles Triangle 49">
            <a:extLst>
              <a:ext uri="{FF2B5EF4-FFF2-40B4-BE49-F238E27FC236}">
                <a16:creationId xmlns:a16="http://schemas.microsoft.com/office/drawing/2014/main" id="{81AC8E52-7CD5-4DB7-B4F6-8EE4DEA2C09F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E177290C-A3D2-4870-93F5-8057C8F94007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E03C8A95-38E6-44F6-A5BA-6092CAD3189E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D7BB775-A388-4A01-819B-FCDBEB1D1D40}"/>
            </a:ext>
          </a:extLst>
        </xdr:cNvPr>
        <xdr:cNvGrpSpPr/>
      </xdr:nvGrpSpPr>
      <xdr:grpSpPr>
        <a:xfrm>
          <a:off x="13909424" y="5483737"/>
          <a:ext cx="302664" cy="153126"/>
          <a:chOff x="12446976" y="4345782"/>
          <a:chExt cx="251864" cy="151026"/>
        </a:xfrm>
      </xdr:grpSpPr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940875AA-23A7-4A5A-99B7-B45B21165C10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D0497E8A-C7DB-49F8-9029-16F8608133ED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7C8B2602-9B00-445E-A0BC-FA884863A185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9E8F647-CD86-43B2-B387-E809308C2F6D}"/>
            </a:ext>
          </a:extLst>
        </xdr:cNvPr>
        <xdr:cNvSpPr txBox="1"/>
      </xdr:nvSpPr>
      <xdr:spPr>
        <a:xfrm>
          <a:off x="12251098" y="5807421"/>
          <a:ext cx="371475" cy="2375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F0DF4EA0-9655-4DC1-99E2-1635B84A7F68}"/>
            </a:ext>
          </a:extLst>
        </xdr:cNvPr>
        <xdr:cNvSpPr txBox="1"/>
      </xdr:nvSpPr>
      <xdr:spPr>
        <a:xfrm>
          <a:off x="11620500" y="5838826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</xdr:col>
      <xdr:colOff>137199</xdr:colOff>
      <xdr:row>31</xdr:row>
      <xdr:rowOff>81417</xdr:rowOff>
    </xdr:from>
    <xdr:to>
      <xdr:col>6</xdr:col>
      <xdr:colOff>246635</xdr:colOff>
      <xdr:row>33</xdr:row>
      <xdr:rowOff>141343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4E83EDD2-5A17-43A6-B39B-C1704C86E5E5}"/>
            </a:ext>
          </a:extLst>
        </xdr:cNvPr>
        <xdr:cNvSpPr txBox="1"/>
      </xdr:nvSpPr>
      <xdr:spPr>
        <a:xfrm>
          <a:off x="994449" y="4834392"/>
          <a:ext cx="1252436" cy="3647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1 PH 11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2X16 mm2 = 40M</a:t>
          </a:r>
        </a:p>
      </xdr:txBody>
    </xdr:sp>
    <xdr:clientData/>
  </xdr:twoCellAnchor>
  <xdr:twoCellAnchor>
    <xdr:from>
      <xdr:col>9</xdr:col>
      <xdr:colOff>264283</xdr:colOff>
      <xdr:row>8</xdr:row>
      <xdr:rowOff>9525</xdr:rowOff>
    </xdr:from>
    <xdr:to>
      <xdr:col>10</xdr:col>
      <xdr:colOff>95249</xdr:colOff>
      <xdr:row>45</xdr:row>
      <xdr:rowOff>69305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D57C665A-2ADA-4A5D-933C-3CF60CD3A3BA}"/>
            </a:ext>
          </a:extLst>
        </xdr:cNvPr>
        <xdr:cNvSpPr/>
      </xdr:nvSpPr>
      <xdr:spPr>
        <a:xfrm rot="5400000">
          <a:off x="649938" y="4005370"/>
          <a:ext cx="5727155" cy="211966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424B94E-9217-4872-AF69-E286F0D7FAD6}"/>
            </a:ext>
          </a:extLst>
        </xdr:cNvPr>
        <xdr:cNvSpPr txBox="1"/>
      </xdr:nvSpPr>
      <xdr:spPr>
        <a:xfrm>
          <a:off x="5552514" y="6080867"/>
          <a:ext cx="6275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218030</xdr:colOff>
      <xdr:row>36</xdr:row>
      <xdr:rowOff>114084</xdr:rowOff>
    </xdr:from>
    <xdr:to>
      <xdr:col>8</xdr:col>
      <xdr:colOff>370430</xdr:colOff>
      <xdr:row>37</xdr:row>
      <xdr:rowOff>81896</xdr:rowOff>
    </xdr:to>
    <xdr:grpSp>
      <xdr:nvGrpSpPr>
        <xdr:cNvPr id="62" name="Group 657">
          <a:extLst>
            <a:ext uri="{FF2B5EF4-FFF2-40B4-BE49-F238E27FC236}">
              <a16:creationId xmlns:a16="http://schemas.microsoft.com/office/drawing/2014/main" id="{AA137487-68A5-4365-908F-B7F475D7B402}"/>
            </a:ext>
          </a:extLst>
        </xdr:cNvPr>
        <xdr:cNvGrpSpPr>
          <a:grpSpLocks/>
        </xdr:cNvGrpSpPr>
      </xdr:nvGrpSpPr>
      <xdr:grpSpPr bwMode="auto">
        <a:xfrm>
          <a:off x="3354930" y="5613184"/>
          <a:ext cx="152400" cy="120212"/>
          <a:chOff x="3494882" y="6020720"/>
          <a:chExt cx="153760" cy="144236"/>
        </a:xfrm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9A5ADA47-9765-4A5A-9C28-7681039DEF3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27E29CA2-5005-4C37-9D18-ADC10AFA97B8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9D3681E-C3E0-418D-9DB3-4F695454F100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18258</xdr:colOff>
      <xdr:row>21</xdr:row>
      <xdr:rowOff>18419</xdr:rowOff>
    </xdr:from>
    <xdr:to>
      <xdr:col>11</xdr:col>
      <xdr:colOff>170658</xdr:colOff>
      <xdr:row>22</xdr:row>
      <xdr:rowOff>5166</xdr:rowOff>
    </xdr:to>
    <xdr:grpSp>
      <xdr:nvGrpSpPr>
        <xdr:cNvPr id="66" name="Group 657">
          <a:extLst>
            <a:ext uri="{FF2B5EF4-FFF2-40B4-BE49-F238E27FC236}">
              <a16:creationId xmlns:a16="http://schemas.microsoft.com/office/drawing/2014/main" id="{7B5F83D7-A9FF-42EB-BCC3-49D69361A546}"/>
            </a:ext>
          </a:extLst>
        </xdr:cNvPr>
        <xdr:cNvGrpSpPr>
          <a:grpSpLocks/>
        </xdr:cNvGrpSpPr>
      </xdr:nvGrpSpPr>
      <xdr:grpSpPr bwMode="auto">
        <a:xfrm>
          <a:off x="4450558" y="3231519"/>
          <a:ext cx="152400" cy="139147"/>
          <a:chOff x="3494882" y="6020720"/>
          <a:chExt cx="153760" cy="144236"/>
        </a:xfrm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F1071A24-9EC0-4361-AA0F-1E9EE759EAC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390ACB28-4040-4CC2-BB6F-9DD222B6EE84}"/>
              </a:ext>
            </a:extLst>
          </xdr:cNvPr>
          <xdr:cNvCxnSpPr>
            <a:stCxn id="67" idx="1"/>
            <a:endCxn id="67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D7A5109-C33D-4570-9FE5-D48C86F6890B}"/>
              </a:ext>
            </a:extLst>
          </xdr:cNvPr>
          <xdr:cNvCxnSpPr>
            <a:stCxn id="67" idx="3"/>
            <a:endCxn id="67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153760</xdr:colOff>
      <xdr:row>11</xdr:row>
      <xdr:rowOff>83324</xdr:rowOff>
    </xdr:from>
    <xdr:to>
      <xdr:col>11</xdr:col>
      <xdr:colOff>161133</xdr:colOff>
      <xdr:row>21</xdr:row>
      <xdr:rowOff>138516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84936F13-C0CF-46CA-8252-50ACD335E444}"/>
            </a:ext>
          </a:extLst>
        </xdr:cNvPr>
        <xdr:cNvCxnSpPr>
          <a:stCxn id="91" idx="6"/>
        </xdr:cNvCxnSpPr>
      </xdr:nvCxnSpPr>
      <xdr:spPr>
        <a:xfrm>
          <a:off x="4059010" y="1778774"/>
          <a:ext cx="7373" cy="158871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241969</xdr:colOff>
      <xdr:row>28</xdr:row>
      <xdr:rowOff>146908</xdr:rowOff>
    </xdr:from>
    <xdr:to>
      <xdr:col>9</xdr:col>
      <xdr:colOff>13369</xdr:colOff>
      <xdr:row>29</xdr:row>
      <xdr:rowOff>127860</xdr:rowOff>
    </xdr:to>
    <xdr:grpSp>
      <xdr:nvGrpSpPr>
        <xdr:cNvPr id="71" name="Group 657">
          <a:extLst>
            <a:ext uri="{FF2B5EF4-FFF2-40B4-BE49-F238E27FC236}">
              <a16:creationId xmlns:a16="http://schemas.microsoft.com/office/drawing/2014/main" id="{FE67B2DE-049F-42CD-8FCC-6B05DE918ABD}"/>
            </a:ext>
          </a:extLst>
        </xdr:cNvPr>
        <xdr:cNvGrpSpPr>
          <a:grpSpLocks/>
        </xdr:cNvGrpSpPr>
      </xdr:nvGrpSpPr>
      <xdr:grpSpPr bwMode="auto">
        <a:xfrm>
          <a:off x="3378869" y="4426808"/>
          <a:ext cx="203200" cy="133352"/>
          <a:chOff x="3494882" y="6020720"/>
          <a:chExt cx="153760" cy="144236"/>
        </a:xfrm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CC866808-8F49-4AB7-8C81-38F3F5BA5DB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EB7183D0-DCFF-4307-BF05-99D34AE069A4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A6BEA527-37F2-4832-A244-B404EEE634BC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147204</xdr:colOff>
      <xdr:row>35</xdr:row>
      <xdr:rowOff>25978</xdr:rowOff>
    </xdr:from>
    <xdr:to>
      <xdr:col>5</xdr:col>
      <xdr:colOff>246783</xdr:colOff>
      <xdr:row>38</xdr:row>
      <xdr:rowOff>103043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A632B643-0C30-49CF-ABDE-EAAA71681437}"/>
            </a:ext>
          </a:extLst>
        </xdr:cNvPr>
        <xdr:cNvSpPr/>
      </xdr:nvSpPr>
      <xdr:spPr>
        <a:xfrm>
          <a:off x="1004454" y="5388553"/>
          <a:ext cx="861579" cy="55331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200025</xdr:colOff>
      <xdr:row>11</xdr:row>
      <xdr:rowOff>0</xdr:rowOff>
    </xdr:from>
    <xdr:to>
      <xdr:col>11</xdr:col>
      <xdr:colOff>368545</xdr:colOff>
      <xdr:row>12</xdr:row>
      <xdr:rowOff>19568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C1CC0A3F-E300-45D2-9D65-F7C8925D7701}"/>
            </a:ext>
          </a:extLst>
        </xdr:cNvPr>
        <xdr:cNvSpPr/>
      </xdr:nvSpPr>
      <xdr:spPr>
        <a:xfrm>
          <a:off x="4105275" y="1695450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161925</xdr:colOff>
      <xdr:row>11</xdr:row>
      <xdr:rowOff>104775</xdr:rowOff>
    </xdr:from>
    <xdr:to>
      <xdr:col>13</xdr:col>
      <xdr:colOff>27455</xdr:colOff>
      <xdr:row>13</xdr:row>
      <xdr:rowOff>23853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31FB1913-B2D7-4EEC-A093-34BDDB819EA9}"/>
            </a:ext>
          </a:extLst>
        </xdr:cNvPr>
        <xdr:cNvSpPr txBox="1"/>
      </xdr:nvSpPr>
      <xdr:spPr>
        <a:xfrm>
          <a:off x="4067175" y="1800225"/>
          <a:ext cx="627530" cy="2334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aseline="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8</xdr:col>
      <xdr:colOff>209550</xdr:colOff>
      <xdr:row>33</xdr:row>
      <xdr:rowOff>0</xdr:rowOff>
    </xdr:from>
    <xdr:to>
      <xdr:col>8</xdr:col>
      <xdr:colOff>366109</xdr:colOff>
      <xdr:row>33</xdr:row>
      <xdr:rowOff>91113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60D15F8-9E97-494A-8F5E-98010E7101C1}"/>
            </a:ext>
          </a:extLst>
        </xdr:cNvPr>
        <xdr:cNvGrpSpPr/>
      </xdr:nvGrpSpPr>
      <xdr:grpSpPr>
        <a:xfrm>
          <a:off x="3346450" y="5041900"/>
          <a:ext cx="156559" cy="91113"/>
          <a:chOff x="12262141" y="2055842"/>
          <a:chExt cx="156559" cy="95595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AD63068C-26A7-4CBE-8DFE-F7E4F22507A9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BC1736BB-8C42-4A6F-B63D-386132C8CDEA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0434A296-C41C-43DA-A186-7CD43C32C9C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266700</xdr:colOff>
      <xdr:row>37</xdr:row>
      <xdr:rowOff>23084</xdr:rowOff>
    </xdr:from>
    <xdr:to>
      <xdr:col>8</xdr:col>
      <xdr:colOff>241969</xdr:colOff>
      <xdr:row>37</xdr:row>
      <xdr:rowOff>133350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E4A1E506-87C9-467F-AA49-559E944AA026}"/>
            </a:ext>
          </a:extLst>
        </xdr:cNvPr>
        <xdr:cNvCxnSpPr/>
      </xdr:nvCxnSpPr>
      <xdr:spPr>
        <a:xfrm flipV="1">
          <a:off x="1885950" y="5699984"/>
          <a:ext cx="1118269" cy="1102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37</xdr:row>
      <xdr:rowOff>28575</xdr:rowOff>
    </xdr:from>
    <xdr:to>
      <xdr:col>7</xdr:col>
      <xdr:colOff>61481</xdr:colOff>
      <xdr:row>37</xdr:row>
      <xdr:rowOff>119688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EF7DB563-2B2D-4037-82D5-E326153FBA8E}"/>
            </a:ext>
          </a:extLst>
        </xdr:cNvPr>
        <xdr:cNvGrpSpPr/>
      </xdr:nvGrpSpPr>
      <xdr:grpSpPr>
        <a:xfrm>
          <a:off x="2606675" y="5680075"/>
          <a:ext cx="159906" cy="91113"/>
          <a:chOff x="12262141" y="2055842"/>
          <a:chExt cx="109106" cy="95595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956731B7-0D92-49D6-B766-FDC2BA708F83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1B4BCEC3-6F49-4778-9558-042EA36A1D5F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327998</xdr:colOff>
      <xdr:row>24</xdr:row>
      <xdr:rowOff>129202</xdr:rowOff>
    </xdr:from>
    <xdr:to>
      <xdr:col>10</xdr:col>
      <xdr:colOff>38111</xdr:colOff>
      <xdr:row>25</xdr:row>
      <xdr:rowOff>133361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F530BA0D-D514-4101-8123-64F1AA4FF195}"/>
            </a:ext>
          </a:extLst>
        </xdr:cNvPr>
        <xdr:cNvGrpSpPr/>
      </xdr:nvGrpSpPr>
      <xdr:grpSpPr>
        <a:xfrm rot="17137660">
          <a:off x="3889375" y="3806825"/>
          <a:ext cx="156559" cy="141913"/>
          <a:chOff x="12262141" y="2055842"/>
          <a:chExt cx="156559" cy="95595"/>
        </a:xfrm>
      </xdr:grpSpPr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5E812F8-42EB-4388-B2DD-FABDFBD0E8A8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75252551-40CF-4DB8-8A9A-134BEC379604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2BB6F11A-B732-452F-AD19-A85AECF70DE3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11</xdr:row>
      <xdr:rowOff>0</xdr:rowOff>
    </xdr:from>
    <xdr:to>
      <xdr:col>11</xdr:col>
      <xdr:colOff>153760</xdr:colOff>
      <xdr:row>12</xdr:row>
      <xdr:rowOff>14248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CBDD8844-35BB-41EF-8213-93DA76318FEF}"/>
            </a:ext>
          </a:extLst>
        </xdr:cNvPr>
        <xdr:cNvGrpSpPr/>
      </xdr:nvGrpSpPr>
      <xdr:grpSpPr>
        <a:xfrm>
          <a:off x="4432300" y="1689100"/>
          <a:ext cx="153760" cy="166648"/>
          <a:chOff x="3725636" y="1945820"/>
          <a:chExt cx="153760" cy="144237"/>
        </a:xfrm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814FAB59-CAD5-4E2B-95EE-A149CCA256E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8DBCA0EC-B838-4736-AC52-ADE2076FE9E8}"/>
              </a:ext>
            </a:extLst>
          </xdr:cNvPr>
          <xdr:cNvCxnSpPr>
            <a:stCxn id="91" idx="1"/>
            <a:endCxn id="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A5ED393-2AE5-4045-8A5A-7E0299394F52}"/>
              </a:ext>
            </a:extLst>
          </xdr:cNvPr>
          <xdr:cNvCxnSpPr>
            <a:stCxn id="91" idx="3"/>
            <a:endCxn id="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123825</xdr:colOff>
      <xdr:row>10</xdr:row>
      <xdr:rowOff>142874</xdr:rowOff>
    </xdr:from>
    <xdr:to>
      <xdr:col>15</xdr:col>
      <xdr:colOff>219075</xdr:colOff>
      <xdr:row>13</xdr:row>
      <xdr:rowOff>123824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6898ABD-E9D4-473E-AD87-38949360B7D8}"/>
            </a:ext>
          </a:extLst>
        </xdr:cNvPr>
        <xdr:cNvSpPr txBox="1"/>
      </xdr:nvSpPr>
      <xdr:spPr>
        <a:xfrm>
          <a:off x="4791075" y="1685924"/>
          <a:ext cx="857250" cy="4476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G105 50KVA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9</xdr:col>
      <xdr:colOff>271356</xdr:colOff>
      <xdr:row>23</xdr:row>
      <xdr:rowOff>119170</xdr:rowOff>
    </xdr:from>
    <xdr:to>
      <xdr:col>18</xdr:col>
      <xdr:colOff>85726</xdr:colOff>
      <xdr:row>25</xdr:row>
      <xdr:rowOff>76200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DECE54C8-47BD-4544-8C2A-69EDBDBBE85E}"/>
            </a:ext>
          </a:extLst>
        </xdr:cNvPr>
        <xdr:cNvSpPr/>
      </xdr:nvSpPr>
      <xdr:spPr>
        <a:xfrm>
          <a:off x="3414606" y="3652945"/>
          <a:ext cx="3243370" cy="26183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247650</xdr:colOff>
      <xdr:row>21</xdr:row>
      <xdr:rowOff>28575</xdr:rowOff>
    </xdr:from>
    <xdr:to>
      <xdr:col>14</xdr:col>
      <xdr:colOff>19050</xdr:colOff>
      <xdr:row>22</xdr:row>
      <xdr:rowOff>15322</xdr:rowOff>
    </xdr:to>
    <xdr:grpSp>
      <xdr:nvGrpSpPr>
        <xdr:cNvPr id="96" name="Group 657">
          <a:extLst>
            <a:ext uri="{FF2B5EF4-FFF2-40B4-BE49-F238E27FC236}">
              <a16:creationId xmlns:a16="http://schemas.microsoft.com/office/drawing/2014/main" id="{84C61C98-2E6D-4D5A-A1A9-709BBA0F4B65}"/>
            </a:ext>
          </a:extLst>
        </xdr:cNvPr>
        <xdr:cNvGrpSpPr>
          <a:grpSpLocks/>
        </xdr:cNvGrpSpPr>
      </xdr:nvGrpSpPr>
      <xdr:grpSpPr bwMode="auto">
        <a:xfrm>
          <a:off x="5543550" y="3241675"/>
          <a:ext cx="203200" cy="139147"/>
          <a:chOff x="3494882" y="6020720"/>
          <a:chExt cx="153760" cy="144236"/>
        </a:xfrm>
      </xdr:grpSpPr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0CF56FF9-12E8-4E9E-8180-B9FBEE998A7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362E837A-A838-4288-A237-D9F70BE3DED4}"/>
              </a:ext>
            </a:extLst>
          </xdr:cNvPr>
          <xdr:cNvCxnSpPr>
            <a:stCxn id="97" idx="1"/>
            <a:endCxn id="97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D16274DC-BC04-4FAE-90E6-4F37456DAA1E}"/>
              </a:ext>
            </a:extLst>
          </xdr:cNvPr>
          <xdr:cNvCxnSpPr>
            <a:stCxn id="97" idx="3"/>
            <a:endCxn id="97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85725</xdr:colOff>
      <xdr:row>21</xdr:row>
      <xdr:rowOff>114300</xdr:rowOff>
    </xdr:from>
    <xdr:to>
      <xdr:col>14</xdr:col>
      <xdr:colOff>257175</xdr:colOff>
      <xdr:row>21</xdr:row>
      <xdr:rowOff>114300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85B9E0E8-02BE-4C5C-86DC-7C18771D7A52}"/>
            </a:ext>
          </a:extLst>
        </xdr:cNvPr>
        <xdr:cNvCxnSpPr/>
      </xdr:nvCxnSpPr>
      <xdr:spPr>
        <a:xfrm>
          <a:off x="3990975" y="3343275"/>
          <a:ext cx="1314450" cy="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22</xdr:row>
      <xdr:rowOff>2199</xdr:rowOff>
    </xdr:from>
    <xdr:to>
      <xdr:col>11</xdr:col>
      <xdr:colOff>85725</xdr:colOff>
      <xdr:row>23</xdr:row>
      <xdr:rowOff>28575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6EF8874-539B-4A40-AEA6-8EEE57524ABA}"/>
            </a:ext>
          </a:extLst>
        </xdr:cNvPr>
        <xdr:cNvCxnSpPr/>
      </xdr:nvCxnSpPr>
      <xdr:spPr>
        <a:xfrm flipH="1">
          <a:off x="3943350" y="3383574"/>
          <a:ext cx="47625" cy="17877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37</xdr:row>
      <xdr:rowOff>76200</xdr:rowOff>
    </xdr:from>
    <xdr:to>
      <xdr:col>8</xdr:col>
      <xdr:colOff>276225</xdr:colOff>
      <xdr:row>38</xdr:row>
      <xdr:rowOff>133350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08A8132D-CA38-4360-A652-6121B9D1FAF8}"/>
            </a:ext>
          </a:extLst>
        </xdr:cNvPr>
        <xdr:cNvCxnSpPr/>
      </xdr:nvCxnSpPr>
      <xdr:spPr>
        <a:xfrm>
          <a:off x="3038475" y="5753100"/>
          <a:ext cx="0" cy="21907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21</xdr:row>
      <xdr:rowOff>137188</xdr:rowOff>
    </xdr:from>
    <xdr:to>
      <xdr:col>11</xdr:col>
      <xdr:colOff>40576</xdr:colOff>
      <xdr:row>29</xdr:row>
      <xdr:rowOff>47625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5AD4046-331E-4B3C-AF2D-1D0739B172EB}"/>
            </a:ext>
          </a:extLst>
        </xdr:cNvPr>
        <xdr:cNvCxnSpPr>
          <a:endCxn id="67" idx="3"/>
        </xdr:cNvCxnSpPr>
      </xdr:nvCxnSpPr>
      <xdr:spPr>
        <a:xfrm flipV="1">
          <a:off x="3133725" y="3366163"/>
          <a:ext cx="812101" cy="112963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294230</xdr:colOff>
      <xdr:row>29</xdr:row>
      <xdr:rowOff>114300</xdr:rowOff>
    </xdr:from>
    <xdr:to>
      <xdr:col>8</xdr:col>
      <xdr:colOff>295275</xdr:colOff>
      <xdr:row>36</xdr:row>
      <xdr:rowOff>114084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6A00C25B-D90B-4238-93B7-606C511F2491}"/>
            </a:ext>
          </a:extLst>
        </xdr:cNvPr>
        <xdr:cNvCxnSpPr>
          <a:endCxn id="63" idx="0"/>
        </xdr:cNvCxnSpPr>
      </xdr:nvCxnSpPr>
      <xdr:spPr>
        <a:xfrm flipH="1">
          <a:off x="3056480" y="4562475"/>
          <a:ext cx="1045" cy="1066584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24</xdr:row>
      <xdr:rowOff>133350</xdr:rowOff>
    </xdr:from>
    <xdr:to>
      <xdr:col>10</xdr:col>
      <xdr:colOff>62538</xdr:colOff>
      <xdr:row>25</xdr:row>
      <xdr:rowOff>137509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1C535A8B-9B94-4BD9-8DE8-A4EE15D5F4C0}"/>
            </a:ext>
          </a:extLst>
        </xdr:cNvPr>
        <xdr:cNvGrpSpPr/>
      </xdr:nvGrpSpPr>
      <xdr:grpSpPr>
        <a:xfrm rot="17137660">
          <a:off x="3913802" y="3810973"/>
          <a:ext cx="156559" cy="141913"/>
          <a:chOff x="12262141" y="2055842"/>
          <a:chExt cx="156559" cy="95595"/>
        </a:xfrm>
      </xdr:grpSpPr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221E13A6-1159-47FF-AC39-388FE7E8C3AE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E8277149-CA8D-4B11-844F-220ED9AB66CB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3385386A-87B5-4F89-B959-353724869FC3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11</xdr:row>
      <xdr:rowOff>83324</xdr:rowOff>
    </xdr:from>
    <xdr:to>
      <xdr:col>11</xdr:col>
      <xdr:colOff>27783</xdr:colOff>
      <xdr:row>21</xdr:row>
      <xdr:rowOff>138516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905FD96B-0663-47AD-A0A6-C96B0771FE2B}"/>
            </a:ext>
          </a:extLst>
        </xdr:cNvPr>
        <xdr:cNvCxnSpPr>
          <a:stCxn id="91" idx="2"/>
        </xdr:cNvCxnSpPr>
      </xdr:nvCxnSpPr>
      <xdr:spPr>
        <a:xfrm>
          <a:off x="3905250" y="1778774"/>
          <a:ext cx="27783" cy="158871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11</xdr:row>
      <xdr:rowOff>0</xdr:rowOff>
    </xdr:from>
    <xdr:to>
      <xdr:col>9</xdr:col>
      <xdr:colOff>95250</xdr:colOff>
      <xdr:row>11</xdr:row>
      <xdr:rowOff>139147</xdr:rowOff>
    </xdr:to>
    <xdr:grpSp>
      <xdr:nvGrpSpPr>
        <xdr:cNvPr id="110" name="Group 657">
          <a:extLst>
            <a:ext uri="{FF2B5EF4-FFF2-40B4-BE49-F238E27FC236}">
              <a16:creationId xmlns:a16="http://schemas.microsoft.com/office/drawing/2014/main" id="{779631FD-CD4E-4F05-8DDE-78E1399701A2}"/>
            </a:ext>
          </a:extLst>
        </xdr:cNvPr>
        <xdr:cNvGrpSpPr>
          <a:grpSpLocks/>
        </xdr:cNvGrpSpPr>
      </xdr:nvGrpSpPr>
      <xdr:grpSpPr bwMode="auto">
        <a:xfrm>
          <a:off x="3460750" y="1689100"/>
          <a:ext cx="203200" cy="139147"/>
          <a:chOff x="3494882" y="6020720"/>
          <a:chExt cx="153760" cy="144236"/>
        </a:xfrm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C582D028-29F9-4CC3-8BA6-12090C7065B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118963DB-DFAB-47E6-AC23-845E3C5D2894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4700391A-FBE4-4281-91C2-EEFE8692EDA0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171450</xdr:colOff>
      <xdr:row>11</xdr:row>
      <xdr:rowOff>133350</xdr:rowOff>
    </xdr:from>
    <xdr:to>
      <xdr:col>11</xdr:col>
      <xdr:colOff>28575</xdr:colOff>
      <xdr:row>12</xdr:row>
      <xdr:rowOff>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9BCFC302-0475-4866-940E-AC281A4D0F65}"/>
            </a:ext>
          </a:extLst>
        </xdr:cNvPr>
        <xdr:cNvCxnSpPr/>
      </xdr:nvCxnSpPr>
      <xdr:spPr>
        <a:xfrm>
          <a:off x="647700" y="1828800"/>
          <a:ext cx="3286125" cy="1905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10</xdr:row>
      <xdr:rowOff>142875</xdr:rowOff>
    </xdr:from>
    <xdr:to>
      <xdr:col>11</xdr:col>
      <xdr:colOff>76200</xdr:colOff>
      <xdr:row>11</xdr:row>
      <xdr:rowOff>9525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4CD8B95C-A8A1-4B39-B9EC-C9D5F2700572}"/>
            </a:ext>
          </a:extLst>
        </xdr:cNvPr>
        <xdr:cNvCxnSpPr/>
      </xdr:nvCxnSpPr>
      <xdr:spPr>
        <a:xfrm>
          <a:off x="600075" y="1685925"/>
          <a:ext cx="3381375" cy="1905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342899</xdr:colOff>
      <xdr:row>16</xdr:row>
      <xdr:rowOff>9525</xdr:rowOff>
    </xdr:from>
    <xdr:to>
      <xdr:col>11</xdr:col>
      <xdr:colOff>53012</xdr:colOff>
      <xdr:row>17</xdr:row>
      <xdr:rowOff>13684</xdr:rowOff>
    </xdr:to>
    <xdr:grpSp>
      <xdr:nvGrpSpPr>
        <xdr:cNvPr id="116" name="Group 115">
          <a:extLst>
            <a:ext uri="{FF2B5EF4-FFF2-40B4-BE49-F238E27FC236}">
              <a16:creationId xmlns:a16="http://schemas.microsoft.com/office/drawing/2014/main" id="{5FB34C59-6881-4BEE-B53F-6E40D2BD470F}"/>
            </a:ext>
          </a:extLst>
        </xdr:cNvPr>
        <xdr:cNvGrpSpPr/>
      </xdr:nvGrpSpPr>
      <xdr:grpSpPr>
        <a:xfrm rot="15952989">
          <a:off x="4336076" y="2467948"/>
          <a:ext cx="156559" cy="141913"/>
          <a:chOff x="12262141" y="2055842"/>
          <a:chExt cx="156559" cy="95595"/>
        </a:xfrm>
      </xdr:grpSpPr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8DC1ADBF-CD5F-4BE1-9E44-CB5CD5A6E9FF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76368EBF-1209-4334-BB09-8B614EA7E9E3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A5C70CD4-B3F0-4DF7-B9A8-1E072971C295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319702</xdr:colOff>
      <xdr:row>11</xdr:row>
      <xdr:rowOff>99398</xdr:rowOff>
    </xdr:from>
    <xdr:to>
      <xdr:col>10</xdr:col>
      <xdr:colOff>95261</xdr:colOff>
      <xdr:row>12</xdr:row>
      <xdr:rowOff>38111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01A6FF9B-3A2B-4FD4-A47D-5E49E0CABD60}"/>
            </a:ext>
          </a:extLst>
        </xdr:cNvPr>
        <xdr:cNvGrpSpPr/>
      </xdr:nvGrpSpPr>
      <xdr:grpSpPr>
        <a:xfrm rot="20979783">
          <a:off x="3888402" y="1788498"/>
          <a:ext cx="207359" cy="91113"/>
          <a:chOff x="12262141" y="2055842"/>
          <a:chExt cx="156559" cy="95595"/>
        </a:xfrm>
      </xdr:grpSpPr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7D10994-26E9-498D-99A0-16EF28D1479B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1553505D-4EB3-457F-8031-53A9FAB41946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B25B3479-677B-4835-86E0-483E2C7FAC01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123825</xdr:colOff>
      <xdr:row>10</xdr:row>
      <xdr:rowOff>19050</xdr:rowOff>
    </xdr:from>
    <xdr:to>
      <xdr:col>11</xdr:col>
      <xdr:colOff>200025</xdr:colOff>
      <xdr:row>11</xdr:row>
      <xdr:rowOff>38100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8ACDBA18-AB03-487F-940F-8AB085648976}"/>
            </a:ext>
          </a:extLst>
        </xdr:cNvPr>
        <xdr:cNvCxnSpPr/>
      </xdr:nvCxnSpPr>
      <xdr:spPr>
        <a:xfrm flipV="1">
          <a:off x="4029075" y="1562100"/>
          <a:ext cx="76200" cy="1714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10</xdr:row>
      <xdr:rowOff>142875</xdr:rowOff>
    </xdr:from>
    <xdr:to>
      <xdr:col>7</xdr:col>
      <xdr:colOff>304800</xdr:colOff>
      <xdr:row>11</xdr:row>
      <xdr:rowOff>129622</xdr:rowOff>
    </xdr:to>
    <xdr:grpSp>
      <xdr:nvGrpSpPr>
        <xdr:cNvPr id="125" name="Group 657">
          <a:extLst>
            <a:ext uri="{FF2B5EF4-FFF2-40B4-BE49-F238E27FC236}">
              <a16:creationId xmlns:a16="http://schemas.microsoft.com/office/drawing/2014/main" id="{F6624F2D-6F8D-49D5-8AE9-30BF2C39D4A5}"/>
            </a:ext>
          </a:extLst>
        </xdr:cNvPr>
        <xdr:cNvGrpSpPr>
          <a:grpSpLocks/>
        </xdr:cNvGrpSpPr>
      </xdr:nvGrpSpPr>
      <xdr:grpSpPr bwMode="auto">
        <a:xfrm>
          <a:off x="2857500" y="1679575"/>
          <a:ext cx="152400" cy="139147"/>
          <a:chOff x="3494882" y="6020720"/>
          <a:chExt cx="153760" cy="144236"/>
        </a:xfrm>
      </xdr:grpSpPr>
      <xdr:sp macro="" textlink="">
        <xdr:nvSpPr>
          <xdr:cNvPr id="126" name="Oval 125">
            <a:extLst>
              <a:ext uri="{FF2B5EF4-FFF2-40B4-BE49-F238E27FC236}">
                <a16:creationId xmlns:a16="http://schemas.microsoft.com/office/drawing/2014/main" id="{5CDED4A2-6940-4CCF-B40A-9F46EA10BA6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588B6312-468D-405C-89D4-3B7F1606FD55}"/>
              </a:ext>
            </a:extLst>
          </xdr:cNvPr>
          <xdr:cNvCxnSpPr>
            <a:stCxn id="126" idx="1"/>
            <a:endCxn id="126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96BE0E35-A781-44EF-AB4C-EC5D11A68190}"/>
              </a:ext>
            </a:extLst>
          </xdr:cNvPr>
          <xdr:cNvCxnSpPr>
            <a:stCxn id="126" idx="3"/>
            <a:endCxn id="126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285750</xdr:colOff>
      <xdr:row>10</xdr:row>
      <xdr:rowOff>133350</xdr:rowOff>
    </xdr:from>
    <xdr:to>
      <xdr:col>6</xdr:col>
      <xdr:colOff>57150</xdr:colOff>
      <xdr:row>11</xdr:row>
      <xdr:rowOff>120097</xdr:rowOff>
    </xdr:to>
    <xdr:grpSp>
      <xdr:nvGrpSpPr>
        <xdr:cNvPr id="129" name="Group 657">
          <a:extLst>
            <a:ext uri="{FF2B5EF4-FFF2-40B4-BE49-F238E27FC236}">
              <a16:creationId xmlns:a16="http://schemas.microsoft.com/office/drawing/2014/main" id="{E9708807-A3A1-41AF-B7A7-403FFF401DCE}"/>
            </a:ext>
          </a:extLst>
        </xdr:cNvPr>
        <xdr:cNvGrpSpPr>
          <a:grpSpLocks/>
        </xdr:cNvGrpSpPr>
      </xdr:nvGrpSpPr>
      <xdr:grpSpPr bwMode="auto">
        <a:xfrm>
          <a:off x="2127250" y="1670050"/>
          <a:ext cx="203200" cy="139147"/>
          <a:chOff x="3494882" y="6020720"/>
          <a:chExt cx="153760" cy="144236"/>
        </a:xfrm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225FA329-E56C-4F2A-860E-027997BFEDD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D6CAA29F-E67A-4910-B7B3-C772B3455F26}"/>
              </a:ext>
            </a:extLst>
          </xdr:cNvPr>
          <xdr:cNvCxnSpPr>
            <a:stCxn id="130" idx="1"/>
            <a:endCxn id="130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3367D770-DB80-4581-A2C3-838FCCD130F7}"/>
              </a:ext>
            </a:extLst>
          </xdr:cNvPr>
          <xdr:cNvCxnSpPr>
            <a:stCxn id="130" idx="3"/>
            <a:endCxn id="130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85725</xdr:colOff>
      <xdr:row>10</xdr:row>
      <xdr:rowOff>142875</xdr:rowOff>
    </xdr:from>
    <xdr:to>
      <xdr:col>4</xdr:col>
      <xdr:colOff>238125</xdr:colOff>
      <xdr:row>11</xdr:row>
      <xdr:rowOff>129622</xdr:rowOff>
    </xdr:to>
    <xdr:grpSp>
      <xdr:nvGrpSpPr>
        <xdr:cNvPr id="133" name="Group 657">
          <a:extLst>
            <a:ext uri="{FF2B5EF4-FFF2-40B4-BE49-F238E27FC236}">
              <a16:creationId xmlns:a16="http://schemas.microsoft.com/office/drawing/2014/main" id="{4B91D05A-5ED9-461E-B727-6F4B618602B8}"/>
            </a:ext>
          </a:extLst>
        </xdr:cNvPr>
        <xdr:cNvGrpSpPr>
          <a:grpSpLocks/>
        </xdr:cNvGrpSpPr>
      </xdr:nvGrpSpPr>
      <xdr:grpSpPr bwMode="auto">
        <a:xfrm>
          <a:off x="1495425" y="1679575"/>
          <a:ext cx="152400" cy="139147"/>
          <a:chOff x="3494882" y="6020720"/>
          <a:chExt cx="153760" cy="144236"/>
        </a:xfrm>
      </xdr:grpSpPr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598C6BB9-0F62-480C-A91B-1F14DBEC842F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0B498378-607E-4F5E-A70F-A0593C8ABC97}"/>
              </a:ext>
            </a:extLst>
          </xdr:cNvPr>
          <xdr:cNvCxnSpPr>
            <a:stCxn id="134" idx="1"/>
            <a:endCxn id="134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E1257CAD-F11E-40A5-B665-DDECA778FEDD}"/>
              </a:ext>
            </a:extLst>
          </xdr:cNvPr>
          <xdr:cNvCxnSpPr>
            <a:stCxn id="134" idx="3"/>
            <a:endCxn id="134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314325</xdr:colOff>
      <xdr:row>10</xdr:row>
      <xdr:rowOff>142875</xdr:rowOff>
    </xdr:from>
    <xdr:to>
      <xdr:col>3</xdr:col>
      <xdr:colOff>85725</xdr:colOff>
      <xdr:row>11</xdr:row>
      <xdr:rowOff>129622</xdr:rowOff>
    </xdr:to>
    <xdr:grpSp>
      <xdr:nvGrpSpPr>
        <xdr:cNvPr id="137" name="Group 657">
          <a:extLst>
            <a:ext uri="{FF2B5EF4-FFF2-40B4-BE49-F238E27FC236}">
              <a16:creationId xmlns:a16="http://schemas.microsoft.com/office/drawing/2014/main" id="{9C48ECA6-84AF-4869-8CD1-BE87E0DA701F}"/>
            </a:ext>
          </a:extLst>
        </xdr:cNvPr>
        <xdr:cNvGrpSpPr>
          <a:grpSpLocks/>
        </xdr:cNvGrpSpPr>
      </xdr:nvGrpSpPr>
      <xdr:grpSpPr bwMode="auto">
        <a:xfrm>
          <a:off x="860425" y="1679575"/>
          <a:ext cx="203200" cy="139147"/>
          <a:chOff x="3494882" y="6020720"/>
          <a:chExt cx="153760" cy="144236"/>
        </a:xfrm>
      </xdr:grpSpPr>
      <xdr:sp macro="" textlink="">
        <xdr:nvSpPr>
          <xdr:cNvPr id="138" name="Oval 137">
            <a:extLst>
              <a:ext uri="{FF2B5EF4-FFF2-40B4-BE49-F238E27FC236}">
                <a16:creationId xmlns:a16="http://schemas.microsoft.com/office/drawing/2014/main" id="{7886CC8D-B94E-451B-9430-129B23646C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CEB3BA2-83BE-4580-9358-B1A0AF82C94D}"/>
              </a:ext>
            </a:extLst>
          </xdr:cNvPr>
          <xdr:cNvCxnSpPr>
            <a:stCxn id="138" idx="1"/>
            <a:endCxn id="138" idx="5"/>
          </xdr:cNvCxnSpPr>
        </xdr:nvCxnSpPr>
        <xdr:spPr>
          <a:xfrm rot="16200000" flipH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8B364CF-73EA-45FE-8E27-5C6BA327CB04}"/>
              </a:ext>
            </a:extLst>
          </xdr:cNvPr>
          <xdr:cNvCxnSpPr>
            <a:stCxn id="138" idx="3"/>
            <a:endCxn id="138" idx="7"/>
          </xdr:cNvCxnSpPr>
        </xdr:nvCxnSpPr>
        <xdr:spPr>
          <a:xfrm rot="5400000" flipH="1" flipV="1">
            <a:off x="3520249" y="6035178"/>
            <a:ext cx="103026" cy="115320"/>
          </a:xfrm>
          <a:prstGeom prst="line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295275</xdr:colOff>
      <xdr:row>9</xdr:row>
      <xdr:rowOff>95250</xdr:rowOff>
    </xdr:from>
    <xdr:to>
      <xdr:col>3</xdr:col>
      <xdr:colOff>82795</xdr:colOff>
      <xdr:row>10</xdr:row>
      <xdr:rowOff>114818</xdr:rowOff>
    </xdr:to>
    <xdr:sp macro="" textlink="">
      <xdr:nvSpPr>
        <xdr:cNvPr id="141" name="Isosceles Triangle 140">
          <a:extLst>
            <a:ext uri="{FF2B5EF4-FFF2-40B4-BE49-F238E27FC236}">
              <a16:creationId xmlns:a16="http://schemas.microsoft.com/office/drawing/2014/main" id="{0BA199E1-4D3F-4DFD-B93E-3C7EEEE3E4CB}"/>
            </a:ext>
          </a:extLst>
        </xdr:cNvPr>
        <xdr:cNvSpPr/>
      </xdr:nvSpPr>
      <xdr:spPr>
        <a:xfrm>
          <a:off x="771525" y="1485900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361950</xdr:colOff>
      <xdr:row>11</xdr:row>
      <xdr:rowOff>85726</xdr:rowOff>
    </xdr:from>
    <xdr:to>
      <xdr:col>8</xdr:col>
      <xdr:colOff>137509</xdr:colOff>
      <xdr:row>12</xdr:row>
      <xdr:rowOff>24439</xdr:rowOff>
    </xdr:to>
    <xdr:grpSp>
      <xdr:nvGrpSpPr>
        <xdr:cNvPr id="142" name="Group 141">
          <a:extLst>
            <a:ext uri="{FF2B5EF4-FFF2-40B4-BE49-F238E27FC236}">
              <a16:creationId xmlns:a16="http://schemas.microsoft.com/office/drawing/2014/main" id="{BBE813C9-9EAF-47E2-A9F0-9BE75930033A}"/>
            </a:ext>
          </a:extLst>
        </xdr:cNvPr>
        <xdr:cNvGrpSpPr/>
      </xdr:nvGrpSpPr>
      <xdr:grpSpPr>
        <a:xfrm rot="20979783">
          <a:off x="3067050" y="1774826"/>
          <a:ext cx="207359" cy="91113"/>
          <a:chOff x="12262141" y="2055842"/>
          <a:chExt cx="156559" cy="95595"/>
        </a:xfrm>
      </xdr:grpSpPr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248D5840-3934-4D52-84AE-2EB2D1094730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2808F4A-DF0F-4527-8F4E-E74F031B51F9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555A056-4F47-46FE-B608-3E03911C1F0D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190500</xdr:colOff>
      <xdr:row>11</xdr:row>
      <xdr:rowOff>95250</xdr:rowOff>
    </xdr:from>
    <xdr:to>
      <xdr:col>6</xdr:col>
      <xdr:colOff>347059</xdr:colOff>
      <xdr:row>12</xdr:row>
      <xdr:rowOff>33963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3DF04EF7-2016-4953-8A78-C7456D4E1933}"/>
            </a:ext>
          </a:extLst>
        </xdr:cNvPr>
        <xdr:cNvGrpSpPr/>
      </xdr:nvGrpSpPr>
      <xdr:grpSpPr>
        <a:xfrm rot="20979783">
          <a:off x="2463800" y="1784350"/>
          <a:ext cx="156559" cy="91113"/>
          <a:chOff x="12262141" y="2055842"/>
          <a:chExt cx="156559" cy="95595"/>
        </a:xfrm>
      </xdr:grpSpPr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294991C-28B5-4565-8D23-A186000CD542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3D372A31-5454-4132-B0C2-A96E984EEAC2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32FBFBC2-4EDF-436D-9F17-4CB4DAF4A33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11</xdr:row>
      <xdr:rowOff>95249</xdr:rowOff>
    </xdr:from>
    <xdr:to>
      <xdr:col>5</xdr:col>
      <xdr:colOff>108934</xdr:colOff>
      <xdr:row>12</xdr:row>
      <xdr:rowOff>33962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1F5BBB6A-9466-4A6A-BAB7-611DBDE4F8F3}"/>
            </a:ext>
          </a:extLst>
        </xdr:cNvPr>
        <xdr:cNvGrpSpPr/>
      </xdr:nvGrpSpPr>
      <xdr:grpSpPr>
        <a:xfrm rot="20979783">
          <a:off x="1743075" y="1784349"/>
          <a:ext cx="207359" cy="91113"/>
          <a:chOff x="12262141" y="2055842"/>
          <a:chExt cx="156559" cy="95595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6E2B4B26-38FC-4FFC-9D1A-992F4C634609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E9A0664E-5B32-4B1C-8845-7B3A5E5DB4D3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1AB141F1-A050-43B7-9425-259AC9873968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180975</xdr:colOff>
      <xdr:row>11</xdr:row>
      <xdr:rowOff>66675</xdr:rowOff>
    </xdr:from>
    <xdr:to>
      <xdr:col>3</xdr:col>
      <xdr:colOff>337534</xdr:colOff>
      <xdr:row>12</xdr:row>
      <xdr:rowOff>5388</xdr:rowOff>
    </xdr:to>
    <xdr:grpSp>
      <xdr:nvGrpSpPr>
        <xdr:cNvPr id="154" name="Group 153">
          <a:extLst>
            <a:ext uri="{FF2B5EF4-FFF2-40B4-BE49-F238E27FC236}">
              <a16:creationId xmlns:a16="http://schemas.microsoft.com/office/drawing/2014/main" id="{7F72C109-C669-453F-83CC-8B3AF2C66766}"/>
            </a:ext>
          </a:extLst>
        </xdr:cNvPr>
        <xdr:cNvGrpSpPr/>
      </xdr:nvGrpSpPr>
      <xdr:grpSpPr>
        <a:xfrm rot="20979783">
          <a:off x="1158875" y="1755775"/>
          <a:ext cx="156559" cy="91113"/>
          <a:chOff x="12262141" y="2055842"/>
          <a:chExt cx="156559" cy="95595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E262D7D4-C2E4-471B-98EE-A76B8380D1C7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C47DBC74-9C87-4C92-A7FA-D1C473EB5D1E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22186514-9520-4273-A6DD-D322D1F16A8C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7</xdr:row>
      <xdr:rowOff>0</xdr:rowOff>
    </xdr:from>
    <xdr:to>
      <xdr:col>21</xdr:col>
      <xdr:colOff>121226</xdr:colOff>
      <xdr:row>54</xdr:row>
      <xdr:rowOff>51955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472F82-3494-4056-A8A4-A85E02B0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4" y="1276350"/>
          <a:ext cx="11627427" cy="76624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7032C4-DCD0-4269-99F4-C45A3A3176CD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C71FCE8E-9FAB-4B94-B7C4-1757CEF8D774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9</xdr:row>
      <xdr:rowOff>0</xdr:rowOff>
    </xdr:from>
    <xdr:to>
      <xdr:col>27</xdr:col>
      <xdr:colOff>69272</xdr:colOff>
      <xdr:row>57</xdr:row>
      <xdr:rowOff>34636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460960-A8EF-4F17-B914-447B8239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400175"/>
          <a:ext cx="14223422" cy="78070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4E236F8E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LP%20TEGOWANU/Downloads/KKO%20KKF%20PB%2011KVA%20B2%20BTS%20XL%20CURUG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RAB%20FIX/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1</v>
          </cell>
          <cell r="K16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5" style="139" customWidth="1"/>
    <col min="4" max="4" width="12.5" style="139" customWidth="1"/>
    <col min="5" max="5" width="8.6640625" style="116" customWidth="1"/>
    <col min="6" max="6" width="12.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" style="117" hidden="1" customWidth="1"/>
    <col min="13" max="16384" width="9.16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1105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32</v>
      </c>
      <c r="E7" s="523" t="s">
        <v>33</v>
      </c>
      <c r="F7" s="523" t="s">
        <v>1106</v>
      </c>
      <c r="G7" s="524" t="s">
        <v>31</v>
      </c>
      <c r="H7" s="520" t="s">
        <v>1013</v>
      </c>
      <c r="I7" s="520" t="s">
        <v>1108</v>
      </c>
      <c r="J7" s="520" t="s">
        <v>997</v>
      </c>
      <c r="K7" s="514" t="s">
        <v>995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40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 ht="16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 ht="16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SUMIFS(RAB!$F$14:$F$143,RAB!$C$14:$C$143,C716)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SUMIFS(RAB!$F$14:$F$143,RAB!$C$14:$C$143,C718)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SUMIFS(RAB!$F$14:$F$143,RAB!$C$14:$C$143,C720)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SUMIFS(RAB!$F$14:$F$143,RAB!$C$14:$C$143,C729)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SUMIFS(RAB!$F$14:$F$143,RAB!$C$14:$C$143,C780)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SUMIFS(RAB!$F$14:$F$143,RAB!$C$14:$C$143,C786)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SUMIFS(RAB!$F$14:$F$143,RAB!$C$14:$C$143,C802)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SUMIFS(RAB!$F$14:$F$143,RAB!$C$14:$C$143,C803)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SUMIFS(RAB!$F$14:$F$143,RAB!$C$14:$C$143,C804)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SUMIFS(RAB!$F$14:$F$143,RAB!$C$14:$C$143,C817)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SUMIFS(RAB!$F$14:$F$143,RAB!$C$14:$C$143,C822)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SUMIFS(RAB!$F$14:$F$143,RAB!$C$14:$C$143,C828)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SUMIFS(RAB!$F$14:$F$143,RAB!$C$14:$C$143,C836)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SUMIFS(RAB!$F$14:$F$143,RAB!$C$14:$C$143,C838)</f>
        <v>40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SUMIFS(RAB!$F$14:$F$143,RAB!$C$14:$C$143,C852)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1098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9" t="str">
        <f>RAB!G6</f>
        <v>BTS XL CURUG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CURUG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32</v>
      </c>
      <c r="E11" s="531" t="s">
        <v>33</v>
      </c>
      <c r="F11" s="531" t="s">
        <v>2</v>
      </c>
      <c r="G11" s="533" t="s">
        <v>31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36</v>
      </c>
      <c r="I12" s="540" t="s">
        <v>5</v>
      </c>
      <c r="J12" s="532" t="s">
        <v>37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981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452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42" t="s">
        <v>453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PROPER([83]!terbilang(K40))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SUMIFS(RAB!$F$14:$F$143,RAB!$C$14:$C$143,'REKAP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SUMIFS(RAB!$F$14:$F$143,RAB!$C$14:$C$143,'REKAP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1005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9" t="str">
        <f>RAB!G6</f>
        <v>BTS XL CURUG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CURUG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32</v>
      </c>
      <c r="E11" s="531" t="s">
        <v>33</v>
      </c>
      <c r="F11" s="531" t="s">
        <v>2</v>
      </c>
      <c r="G11" s="533" t="s">
        <v>31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36</v>
      </c>
      <c r="I12" s="540" t="s">
        <v>5</v>
      </c>
      <c r="J12" s="532" t="s">
        <v>37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40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264000</v>
      </c>
      <c r="I20" s="42">
        <f t="shared" ca="1" si="2"/>
        <v>0</v>
      </c>
      <c r="J20" s="42">
        <f t="shared" ca="1" si="3"/>
        <v>0</v>
      </c>
      <c r="K20" s="43">
        <f t="shared" ca="1" si="0"/>
        <v>264000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981</v>
      </c>
      <c r="D168" s="550"/>
      <c r="E168" s="550"/>
      <c r="F168" s="550"/>
      <c r="G168" s="77" t="s">
        <v>9</v>
      </c>
      <c r="H168" s="55">
        <f ca="1">SUM(H14:H167)</f>
        <v>29917550</v>
      </c>
      <c r="I168" s="55">
        <f ca="1">SUM(I14:I167)</f>
        <v>0</v>
      </c>
      <c r="J168" s="55">
        <f ca="1">SUM(J14:J167)</f>
        <v>0</v>
      </c>
      <c r="K168" s="55">
        <f ca="1">SUM(K14:K167)</f>
        <v>29917550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452</v>
      </c>
      <c r="D169" s="551"/>
      <c r="E169" s="551"/>
      <c r="F169" s="551"/>
      <c r="G169" s="59" t="s">
        <v>9</v>
      </c>
      <c r="H169" s="60">
        <f ca="1">H168*0.1</f>
        <v>2991755</v>
      </c>
      <c r="I169" s="60">
        <f ca="1">I168*0.1</f>
        <v>0</v>
      </c>
      <c r="J169" s="60">
        <f ca="1">J168*0.1</f>
        <v>0</v>
      </c>
      <c r="K169" s="60">
        <f ca="1">K168*0.1</f>
        <v>2991755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42" t="s">
        <v>453</v>
      </c>
      <c r="D170" s="542"/>
      <c r="E170" s="542"/>
      <c r="F170" s="542"/>
      <c r="G170" s="61" t="s">
        <v>9</v>
      </c>
      <c r="H170" s="78">
        <f ca="1">SUM(H168:H169)</f>
        <v>32909305</v>
      </c>
      <c r="I170" s="78">
        <f ca="1">SUM(I168:I169)</f>
        <v>0</v>
      </c>
      <c r="J170" s="61">
        <f ca="1">SUM(J168:J169)</f>
        <v>0</v>
      </c>
      <c r="K170" s="61">
        <f ca="1">SUM(K168:K169)</f>
        <v>32909305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PROPER([83]!terbilang(K170))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SUMIFS(RAB!$F$14:$F$143,RAB!$C$14:$C$143,C226)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SUMIFS(RAB!$F$14:$F$143,RAB!$C$14:$C$143,C228)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SUMIFS(RAB!$F$14:$F$143,RAB!$C$14:$C$143,C230)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SUMIFS(RAB!$F$14:$F$143,RAB!$C$14:$C$143,C239)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SUMIFS(RAB!$F$14:$F$143,RAB!$C$14:$C$143,C290)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SUMIFS(RAB!$F$14:$F$143,RAB!$C$14:$C$143,C296)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SUMIFS(RAB!$F$14:$F$143,RAB!$C$14:$C$143,C312)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SUMIFS(RAB!$F$14:$F$143,RAB!$C$14:$C$143,C313)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SUMIFS(RAB!$F$14:$F$143,RAB!$C$14:$C$143,C314)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SUMIFS(RAB!$F$14:$F$143,RAB!$C$14:$C$143,C327)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SUMIFS(RAB!$F$14:$F$143,RAB!$C$14:$C$143,C332)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SUMIFS(RAB!$F$14:$F$143,RAB!$C$14:$C$143,C338)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SUMIFS(RAB!$F$14:$F$143,RAB!$C$14:$C$143,C346)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SUMIFS(RAB!$F$14:$F$143,RAB!$C$14:$C$143,C348)</f>
        <v>40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5" customWidth="1"/>
  </cols>
  <sheetData>
    <row r="1" spans="4:4" ht="89.25" customHeight="1"/>
    <row r="3" spans="4:4" ht="50.25" customHeight="1">
      <c r="D3" s="370"/>
    </row>
    <row r="4" spans="4:4" ht="57" customHeight="1">
      <c r="D4" s="370">
        <v>3</v>
      </c>
    </row>
    <row r="5" spans="4:4" ht="57" customHeight="1">
      <c r="D5" s="37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1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3" t="s">
        <v>31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13</v>
      </c>
      <c r="C4" s="555" t="s">
        <v>983</v>
      </c>
      <c r="D4" s="555" t="s">
        <v>32</v>
      </c>
      <c r="E4" s="554" t="s">
        <v>33</v>
      </c>
      <c r="F4" s="108" t="s">
        <v>1575</v>
      </c>
      <c r="G4" s="108" t="s">
        <v>1574</v>
      </c>
      <c r="H4" s="552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(IF(D8="JASA",G8*'[84]DETAIL USULAN'!$K$58,0))+(IF(D8="HDW",G8*'[84]DETAIL USULAN'!$J$58,0))+(IF(D8="MDU",G8*'[84]DETAIL USULAN'!$I$58,0))+(IF(D8="MDU-KD",G8*'[84]DETAIL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1429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1430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1431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1432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1433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1434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1435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1436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1437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6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6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1438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1439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1440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1441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1442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1443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1444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1445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1446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1447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1448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1449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1450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1451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1452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1453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1454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1455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1456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1457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1458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1459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1460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1461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1462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1463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1464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1465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1466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1467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1468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1469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1470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1471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1472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1473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1474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1475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1476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1477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1478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1479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1480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1481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1482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1483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1484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1485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1486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1488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1487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1489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1490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1491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1492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1493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1494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1495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1496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97">
        <v>2740</v>
      </c>
      <c r="G1433" s="39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8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8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8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8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8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9" sqref="K19:L19"/>
    </sheetView>
  </sheetViews>
  <sheetFormatPr baseColWidth="10" defaultColWidth="9.1640625" defaultRowHeight="15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5" style="191" customWidth="1"/>
    <col min="6" max="6" width="5.5" style="191" customWidth="1"/>
    <col min="7" max="7" width="5.5" style="191" hidden="1" customWidth="1"/>
    <col min="8" max="8" width="5.1640625" style="191" customWidth="1"/>
    <col min="9" max="9" width="34.1640625" style="191" customWidth="1"/>
    <col min="10" max="10" width="3.5" style="191" customWidth="1"/>
    <col min="11" max="11" width="12.6640625" style="191" customWidth="1"/>
    <col min="12" max="12" width="12.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33203125" style="191" customWidth="1"/>
    <col min="17" max="17" width="14.5" style="191" customWidth="1"/>
    <col min="18" max="16384" width="9.1640625" style="191"/>
  </cols>
  <sheetData>
    <row r="2" spans="1:12" s="194" customFormat="1" ht="18.75" customHeight="1">
      <c r="B2" s="587" t="s">
        <v>1426</v>
      </c>
      <c r="C2" s="587"/>
      <c r="D2" s="587"/>
      <c r="E2" s="587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92" t="s">
        <v>1500</v>
      </c>
      <c r="C4" s="593"/>
      <c r="D4" s="593"/>
      <c r="E4" s="594"/>
      <c r="F4" s="352"/>
      <c r="G4" s="352"/>
      <c r="H4" s="353"/>
      <c r="I4" s="556" t="s">
        <v>1501</v>
      </c>
      <c r="J4" s="557"/>
      <c r="K4" s="557"/>
      <c r="L4" s="558"/>
    </row>
    <row r="5" spans="1:12" ht="34.5" customHeight="1">
      <c r="A5" s="193"/>
      <c r="B5" s="355" t="s">
        <v>1350</v>
      </c>
      <c r="C5" s="200" t="s">
        <v>9</v>
      </c>
      <c r="D5" s="588" t="str">
        <f>DATA!D14</f>
        <v>BTS XL CURUG</v>
      </c>
      <c r="E5" s="589"/>
      <c r="F5" s="197"/>
      <c r="G5" s="197"/>
      <c r="I5" s="356" t="s">
        <v>1350</v>
      </c>
      <c r="J5" s="200" t="s">
        <v>9</v>
      </c>
      <c r="K5" s="559" t="str">
        <f>D5</f>
        <v>BTS XL CURUG</v>
      </c>
      <c r="L5" s="560"/>
    </row>
    <row r="6" spans="1:12" ht="31.5" customHeight="1">
      <c r="A6" s="193"/>
      <c r="B6" s="355" t="s">
        <v>1497</v>
      </c>
      <c r="C6" s="200" t="s">
        <v>9</v>
      </c>
      <c r="D6" s="597">
        <f>DATA!D17*1000</f>
        <v>0</v>
      </c>
      <c r="E6" s="598"/>
      <c r="F6" s="197"/>
      <c r="G6" s="197"/>
      <c r="I6" s="356" t="s">
        <v>1498</v>
      </c>
      <c r="J6" s="200" t="s">
        <v>9</v>
      </c>
      <c r="K6" s="561">
        <f>DATA!D20*1000</f>
        <v>11000</v>
      </c>
      <c r="L6" s="562"/>
    </row>
    <row r="7" spans="1:12" ht="30.75" customHeight="1">
      <c r="A7" s="193"/>
      <c r="B7" s="355" t="s">
        <v>1412</v>
      </c>
      <c r="C7" s="200" t="s">
        <v>9</v>
      </c>
      <c r="D7" s="595">
        <f>DATA!D18</f>
        <v>1</v>
      </c>
      <c r="E7" s="596"/>
      <c r="F7" s="354" t="s">
        <v>1425</v>
      </c>
      <c r="I7" s="356" t="s">
        <v>1412</v>
      </c>
      <c r="J7" s="200" t="s">
        <v>9</v>
      </c>
      <c r="K7" s="563">
        <f>DATA!D21</f>
        <v>1</v>
      </c>
      <c r="L7" s="564"/>
    </row>
    <row r="8" spans="1:12" ht="51" customHeight="1">
      <c r="A8" s="193"/>
      <c r="B8" s="355" t="s">
        <v>1413</v>
      </c>
      <c r="C8" s="200" t="s">
        <v>9</v>
      </c>
      <c r="D8" s="595">
        <f>DATA!D19</f>
        <v>220</v>
      </c>
      <c r="E8" s="596"/>
      <c r="F8" s="354" t="s">
        <v>1425</v>
      </c>
      <c r="G8" s="349">
        <v>220</v>
      </c>
      <c r="I8" s="356" t="s">
        <v>1413</v>
      </c>
      <c r="J8" s="200" t="s">
        <v>9</v>
      </c>
      <c r="K8" s="563">
        <f>DATA!D22</f>
        <v>220</v>
      </c>
      <c r="L8" s="564"/>
    </row>
    <row r="9" spans="1:12" ht="30" customHeight="1" thickBot="1">
      <c r="A9" s="193"/>
      <c r="B9" s="361" t="s">
        <v>1509</v>
      </c>
      <c r="C9" s="351" t="s">
        <v>9</v>
      </c>
      <c r="D9" s="590">
        <f>IF(D7=1,D6/(380/3^0.5),(D6/(380*3^0.5)))</f>
        <v>0</v>
      </c>
      <c r="E9" s="591"/>
      <c r="F9" s="196"/>
      <c r="G9" s="350">
        <v>380</v>
      </c>
      <c r="I9" s="362" t="s">
        <v>1509</v>
      </c>
      <c r="J9" s="351" t="s">
        <v>9</v>
      </c>
      <c r="K9" s="567">
        <f>IF(K7=1,K6/(380/3^0.5),(K6/(380*3^0.5)))</f>
        <v>50.138312850678027</v>
      </c>
      <c r="L9" s="568"/>
    </row>
    <row r="10" spans="1:12" ht="24.75" customHeight="1">
      <c r="B10" s="363"/>
      <c r="C10" s="360"/>
      <c r="D10" s="364"/>
      <c r="E10" s="364"/>
      <c r="F10" s="196"/>
      <c r="G10" s="350"/>
      <c r="I10" s="363"/>
      <c r="J10" s="360"/>
      <c r="K10" s="364"/>
      <c r="L10" s="364"/>
    </row>
    <row r="11" spans="1:12" ht="18" thickBot="1">
      <c r="B11" s="357" t="s">
        <v>1510</v>
      </c>
      <c r="I11" s="357" t="s">
        <v>1504</v>
      </c>
    </row>
    <row r="12" spans="1:12" ht="34.5" customHeight="1">
      <c r="A12" s="193"/>
      <c r="B12" s="385" t="s">
        <v>1502</v>
      </c>
      <c r="C12" s="379" t="s">
        <v>9</v>
      </c>
      <c r="D12" s="599" t="s">
        <v>1641</v>
      </c>
      <c r="E12" s="600"/>
      <c r="F12" s="197"/>
      <c r="G12" s="197"/>
      <c r="I12" s="378" t="s">
        <v>1502</v>
      </c>
      <c r="J12" s="379" t="s">
        <v>9</v>
      </c>
      <c r="K12" s="569" t="s">
        <v>1640</v>
      </c>
      <c r="L12" s="570"/>
    </row>
    <row r="13" spans="1:12" ht="31.5" customHeight="1">
      <c r="A13" s="193"/>
      <c r="B13" s="386" t="s">
        <v>1351</v>
      </c>
      <c r="C13" s="366" t="s">
        <v>9</v>
      </c>
      <c r="D13" s="603" t="s">
        <v>1621</v>
      </c>
      <c r="E13" s="604"/>
      <c r="F13" s="197"/>
      <c r="G13" s="197"/>
      <c r="I13" s="380" t="s">
        <v>1351</v>
      </c>
      <c r="J13" s="366" t="s">
        <v>9</v>
      </c>
      <c r="K13" s="565" t="s">
        <v>1621</v>
      </c>
      <c r="L13" s="566"/>
    </row>
    <row r="14" spans="1:12" ht="30.75" customHeight="1">
      <c r="A14" s="193"/>
      <c r="B14" s="386" t="s">
        <v>1503</v>
      </c>
      <c r="C14" s="366" t="s">
        <v>9</v>
      </c>
      <c r="D14" s="575">
        <v>50</v>
      </c>
      <c r="E14" s="576"/>
      <c r="F14" s="354" t="s">
        <v>1425</v>
      </c>
      <c r="G14" s="358">
        <v>50</v>
      </c>
      <c r="I14" s="380" t="s">
        <v>1503</v>
      </c>
      <c r="J14" s="366" t="s">
        <v>9</v>
      </c>
      <c r="K14" s="577">
        <v>50</v>
      </c>
      <c r="L14" s="578"/>
    </row>
    <row r="15" spans="1:12" ht="57" customHeight="1">
      <c r="A15" s="193"/>
      <c r="B15" s="386" t="s">
        <v>1412</v>
      </c>
      <c r="C15" s="366" t="s">
        <v>9</v>
      </c>
      <c r="D15" s="372">
        <v>1</v>
      </c>
      <c r="E15" s="381"/>
      <c r="F15" s="354" t="s">
        <v>1425</v>
      </c>
      <c r="G15" s="358">
        <v>100</v>
      </c>
      <c r="I15" s="380" t="s">
        <v>1412</v>
      </c>
      <c r="J15" s="366" t="s">
        <v>9</v>
      </c>
      <c r="K15" s="372">
        <v>1</v>
      </c>
      <c r="L15" s="381"/>
    </row>
    <row r="16" spans="1:12" ht="44.25" customHeight="1">
      <c r="A16" s="193"/>
      <c r="B16" s="386" t="s">
        <v>1513</v>
      </c>
      <c r="C16" s="366"/>
      <c r="D16" s="579">
        <v>222</v>
      </c>
      <c r="E16" s="580"/>
      <c r="F16" s="354"/>
      <c r="G16" s="358">
        <v>160</v>
      </c>
      <c r="I16" s="380" t="s">
        <v>1505</v>
      </c>
      <c r="J16" s="366" t="s">
        <v>9</v>
      </c>
      <c r="K16" s="581">
        <f>K9</f>
        <v>50.138312850678027</v>
      </c>
      <c r="L16" s="582"/>
    </row>
    <row r="17" spans="1:12" ht="34.5" customHeight="1">
      <c r="A17" s="193"/>
      <c r="B17" s="386" t="s">
        <v>1506</v>
      </c>
      <c r="C17" s="366" t="s">
        <v>9</v>
      </c>
      <c r="D17" s="573">
        <f>IF(D15=1,D14/(20/3^0.5),(D14/(20*3^0.5)))</f>
        <v>4.3301270189221928</v>
      </c>
      <c r="E17" s="574"/>
      <c r="F17" s="354" t="s">
        <v>1425</v>
      </c>
      <c r="G17" s="359">
        <v>200</v>
      </c>
      <c r="I17" s="380" t="s">
        <v>1506</v>
      </c>
      <c r="J17" s="366" t="s">
        <v>9</v>
      </c>
      <c r="K17" s="571">
        <f>IF(K15=1,K14/(20/3^0.5),(K14/(20*3^0.5)))</f>
        <v>4.3301270189221928</v>
      </c>
      <c r="L17" s="572"/>
    </row>
    <row r="18" spans="1:12" ht="34.5" customHeight="1">
      <c r="A18" s="193"/>
      <c r="B18" s="386" t="s">
        <v>1507</v>
      </c>
      <c r="C18" s="366" t="s">
        <v>9</v>
      </c>
      <c r="D18" s="573">
        <f>IF(D15=1,D14/(380/3^0.5),(D14/(380*3^0.5)))*1000</f>
        <v>227.90142204853646</v>
      </c>
      <c r="E18" s="574"/>
      <c r="F18" s="354" t="s">
        <v>1425</v>
      </c>
      <c r="G18" s="359">
        <v>250</v>
      </c>
      <c r="I18" s="380" t="s">
        <v>1507</v>
      </c>
      <c r="J18" s="366" t="s">
        <v>9</v>
      </c>
      <c r="K18" s="571">
        <f>IF(K15=1,K14/(380/3^0.5),(K14/(380*3^0.5)))*1000</f>
        <v>227.90142204853646</v>
      </c>
      <c r="L18" s="572"/>
    </row>
    <row r="19" spans="1:12" ht="30" customHeight="1">
      <c r="A19" s="193"/>
      <c r="B19" s="387" t="s">
        <v>1499</v>
      </c>
      <c r="C19" s="365" t="s">
        <v>9</v>
      </c>
      <c r="D19" s="573" t="e">
        <f>IF(D15=1,D13/(380/3^0.5),(D13/(380*3^0.5)))</f>
        <v>#VALUE!</v>
      </c>
      <c r="E19" s="574"/>
      <c r="F19" s="196"/>
      <c r="G19" s="350"/>
      <c r="I19" s="382" t="s">
        <v>1499</v>
      </c>
      <c r="J19" s="365" t="s">
        <v>9</v>
      </c>
      <c r="K19" s="571" t="e">
        <f>IF(K15=1,K13/(380/3^0.5),(K13/(380*3^0.5)))</f>
        <v>#VALUE!</v>
      </c>
      <c r="L19" s="572"/>
    </row>
    <row r="20" spans="1:12" ht="30" customHeight="1" thickBot="1">
      <c r="A20" s="193"/>
      <c r="B20" s="388" t="s">
        <v>1508</v>
      </c>
      <c r="C20" s="384" t="s">
        <v>9</v>
      </c>
      <c r="D20" s="601">
        <f>D16/D18</f>
        <v>0.9741053741767367</v>
      </c>
      <c r="E20" s="602"/>
      <c r="F20" s="196"/>
      <c r="G20" s="350"/>
      <c r="I20" s="383" t="s">
        <v>1499</v>
      </c>
      <c r="J20" s="384" t="s">
        <v>9</v>
      </c>
      <c r="K20" s="605">
        <f>K16/K18</f>
        <v>0.22000000000000003</v>
      </c>
      <c r="L20" s="606"/>
    </row>
    <row r="21" spans="1:12" ht="9.75" customHeight="1">
      <c r="A21" s="193"/>
      <c r="B21" s="373" t="s">
        <v>1508</v>
      </c>
      <c r="C21" s="374" t="s">
        <v>9</v>
      </c>
      <c r="D21" s="586">
        <v>1</v>
      </c>
      <c r="E21" s="586"/>
      <c r="F21" s="375"/>
      <c r="G21" s="376"/>
      <c r="H21" s="377"/>
      <c r="I21" s="373" t="s">
        <v>1499</v>
      </c>
      <c r="J21" s="374" t="s">
        <v>9</v>
      </c>
      <c r="K21" s="586">
        <v>1</v>
      </c>
      <c r="L21" s="586"/>
    </row>
    <row r="22" spans="1:12" ht="6.75" customHeight="1">
      <c r="B22" s="363"/>
      <c r="C22" s="360"/>
      <c r="D22" s="371"/>
      <c r="E22" s="371"/>
      <c r="F22" s="196"/>
      <c r="G22" s="350"/>
      <c r="J22" s="360"/>
      <c r="K22" s="371"/>
      <c r="L22" s="371"/>
    </row>
    <row r="23" spans="1:12" ht="16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368"/>
    </row>
    <row r="27" spans="1:12">
      <c r="D27" s="36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D16" sqref="D16"/>
    </sheetView>
  </sheetViews>
  <sheetFormatPr baseColWidth="10" defaultColWidth="9.1640625" defaultRowHeight="15"/>
  <cols>
    <col min="1" max="1" width="1.33203125" style="210" customWidth="1"/>
    <col min="2" max="2" width="25.1640625" style="210" customWidth="1"/>
    <col min="3" max="3" width="3.33203125" style="210" customWidth="1"/>
    <col min="4" max="4" width="26.33203125" style="224" customWidth="1"/>
    <col min="5" max="5" width="6.5" style="210" customWidth="1"/>
    <col min="6" max="6" width="12" style="210" bestFit="1" customWidth="1"/>
    <col min="7" max="8" width="9.1640625" style="210" hidden="1" customWidth="1"/>
    <col min="9" max="9" width="9.1640625" style="210"/>
    <col min="10" max="10" width="3.83203125" style="210" customWidth="1"/>
    <col min="11" max="11" width="2.6640625" style="210" customWidth="1"/>
    <col min="12" max="16384" width="9.1640625" style="210"/>
  </cols>
  <sheetData>
    <row r="1" spans="2:11" ht="12.75" customHeight="1">
      <c r="B1" s="607"/>
      <c r="C1" s="607"/>
      <c r="D1" s="607"/>
    </row>
    <row r="2" spans="2:11" ht="15.75" customHeight="1">
      <c r="B2" s="211" t="s">
        <v>1415</v>
      </c>
      <c r="C2" s="212"/>
      <c r="D2" s="213"/>
    </row>
    <row r="3" spans="2:11" ht="20" customHeight="1">
      <c r="B3" s="214" t="s">
        <v>1320</v>
      </c>
      <c r="C3" s="215" t="s">
        <v>9</v>
      </c>
      <c r="D3" s="216">
        <v>2022</v>
      </c>
    </row>
    <row r="4" spans="2:11" ht="20" customHeight="1">
      <c r="B4" s="214" t="s">
        <v>1001</v>
      </c>
      <c r="C4" s="215" t="s">
        <v>9</v>
      </c>
      <c r="D4" s="217">
        <v>0.12</v>
      </c>
    </row>
    <row r="5" spans="2:11" ht="20" customHeight="1">
      <c r="B5" s="214" t="s">
        <v>1321</v>
      </c>
      <c r="C5" s="215" t="s">
        <v>9</v>
      </c>
      <c r="D5" s="399">
        <v>1084.1250458865841</v>
      </c>
      <c r="F5" s="395" t="s">
        <v>1576</v>
      </c>
      <c r="K5" s="394"/>
    </row>
    <row r="6" spans="2:11" ht="20" customHeight="1">
      <c r="B6" s="214" t="s">
        <v>1322</v>
      </c>
      <c r="C6" s="215" t="s">
        <v>9</v>
      </c>
      <c r="D6" s="219">
        <v>25</v>
      </c>
      <c r="F6" s="395"/>
    </row>
    <row r="7" spans="2:11" ht="20" customHeight="1">
      <c r="B7" s="214" t="s">
        <v>1323</v>
      </c>
      <c r="C7" s="215" t="s">
        <v>9</v>
      </c>
      <c r="D7" s="220">
        <v>2.2499999999999999E-2</v>
      </c>
    </row>
    <row r="8" spans="2:11" ht="20" customHeight="1">
      <c r="B8" s="214" t="s">
        <v>1416</v>
      </c>
      <c r="C8" s="215" t="s">
        <v>9</v>
      </c>
      <c r="D8" s="221">
        <f>D20-D17</f>
        <v>11</v>
      </c>
    </row>
    <row r="9" spans="2:11" ht="20" customHeight="1">
      <c r="B9" s="214" t="s">
        <v>1417</v>
      </c>
      <c r="C9" s="215" t="s">
        <v>9</v>
      </c>
      <c r="D9" s="221">
        <f>(D8*D25)*1000</f>
        <v>10307000</v>
      </c>
    </row>
    <row r="10" spans="2:11" ht="20" customHeight="1">
      <c r="B10" s="214" t="s">
        <v>1418</v>
      </c>
      <c r="C10" s="215" t="s">
        <v>9</v>
      </c>
      <c r="D10" s="221">
        <f ca="1">RAB!K149</f>
        <v>37109086.101000004</v>
      </c>
    </row>
    <row r="11" spans="2:11" ht="20" customHeight="1">
      <c r="B11" s="214" t="s">
        <v>1327</v>
      </c>
      <c r="C11" s="215" t="s">
        <v>9</v>
      </c>
      <c r="D11" s="218">
        <f ca="1">2%*D10</f>
        <v>742181.7220200001</v>
      </c>
    </row>
    <row r="12" spans="2:11" ht="9" customHeight="1">
      <c r="B12" s="608"/>
      <c r="C12" s="608"/>
      <c r="D12" s="608"/>
    </row>
    <row r="13" spans="2:11" ht="15.75" customHeight="1">
      <c r="B13" s="222"/>
      <c r="C13" s="222"/>
      <c r="D13" s="222"/>
    </row>
    <row r="14" spans="2:11" ht="33.75" customHeight="1">
      <c r="B14" s="339" t="s">
        <v>1350</v>
      </c>
      <c r="C14" s="340" t="s">
        <v>9</v>
      </c>
      <c r="D14" s="345" t="s">
        <v>1622</v>
      </c>
      <c r="E14" s="223" t="s">
        <v>1425</v>
      </c>
    </row>
    <row r="15" spans="2:11" ht="20" customHeight="1">
      <c r="B15" s="341" t="s">
        <v>1419</v>
      </c>
      <c r="C15" s="342" t="s">
        <v>9</v>
      </c>
      <c r="D15" s="346" t="s">
        <v>1581</v>
      </c>
      <c r="E15" s="223" t="s">
        <v>1425</v>
      </c>
    </row>
    <row r="16" spans="2:11" ht="20" customHeight="1">
      <c r="B16" s="341" t="s">
        <v>1420</v>
      </c>
      <c r="C16" s="342" t="s">
        <v>9</v>
      </c>
      <c r="D16" s="346" t="s">
        <v>1423</v>
      </c>
      <c r="E16" s="223" t="s">
        <v>1425</v>
      </c>
    </row>
    <row r="17" spans="2:5" ht="20" customHeight="1">
      <c r="B17" s="341" t="s">
        <v>1421</v>
      </c>
      <c r="C17" s="342" t="s">
        <v>9</v>
      </c>
      <c r="D17" s="347"/>
      <c r="E17" s="223" t="s">
        <v>1425</v>
      </c>
    </row>
    <row r="18" spans="2:5" ht="20" hidden="1" customHeight="1">
      <c r="B18" s="341" t="s">
        <v>1511</v>
      </c>
      <c r="C18" s="342"/>
      <c r="D18" s="347">
        <f>IF((D17&lt;=11),1,3)</f>
        <v>1</v>
      </c>
      <c r="E18" s="223"/>
    </row>
    <row r="19" spans="2:5" ht="20" hidden="1" customHeight="1">
      <c r="B19" s="341" t="s">
        <v>1512</v>
      </c>
      <c r="C19" s="342"/>
      <c r="D19" s="347">
        <f>IF((D17&lt;=11),220,380)</f>
        <v>220</v>
      </c>
      <c r="E19" s="223"/>
    </row>
    <row r="20" spans="2:5" ht="20" customHeight="1">
      <c r="B20" s="341" t="s">
        <v>1422</v>
      </c>
      <c r="C20" s="342" t="s">
        <v>9</v>
      </c>
      <c r="D20" s="347">
        <v>11</v>
      </c>
      <c r="E20" s="223" t="s">
        <v>1425</v>
      </c>
    </row>
    <row r="21" spans="2:5" ht="20" hidden="1" customHeight="1">
      <c r="B21" s="341" t="s">
        <v>1511</v>
      </c>
      <c r="C21" s="342"/>
      <c r="D21" s="347">
        <f>IF((D20&lt;=11),1,3)</f>
        <v>1</v>
      </c>
      <c r="E21" s="223"/>
    </row>
    <row r="22" spans="2:5" ht="20" hidden="1" customHeight="1">
      <c r="B22" s="341" t="s">
        <v>1512</v>
      </c>
      <c r="C22" s="342"/>
      <c r="D22" s="347">
        <f>IF((D20&lt;=11),220,380)</f>
        <v>220</v>
      </c>
      <c r="E22" s="223"/>
    </row>
    <row r="23" spans="2:5" ht="20" customHeight="1">
      <c r="B23" s="341" t="s">
        <v>1324</v>
      </c>
      <c r="C23" s="342" t="s">
        <v>9</v>
      </c>
      <c r="D23" s="346">
        <v>1444.7</v>
      </c>
      <c r="E23" s="223" t="s">
        <v>1425</v>
      </c>
    </row>
    <row r="24" spans="2:5" ht="20" customHeight="1">
      <c r="B24" s="341" t="s">
        <v>1325</v>
      </c>
      <c r="C24" s="342" t="s">
        <v>9</v>
      </c>
      <c r="D24" s="346">
        <v>1444.7</v>
      </c>
      <c r="E24" s="223" t="s">
        <v>1425</v>
      </c>
    </row>
    <row r="25" spans="2:5" ht="20" customHeight="1">
      <c r="B25" s="341" t="s">
        <v>1424</v>
      </c>
      <c r="C25" s="342" t="s">
        <v>9</v>
      </c>
      <c r="D25" s="347">
        <v>937</v>
      </c>
      <c r="E25" s="223" t="s">
        <v>1425</v>
      </c>
    </row>
    <row r="26" spans="2:5" ht="20" customHeight="1">
      <c r="B26" s="343" t="s">
        <v>1326</v>
      </c>
      <c r="C26" s="344" t="s">
        <v>9</v>
      </c>
      <c r="D26" s="348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D1" zoomScale="85" zoomScaleNormal="85" workbookViewId="0">
      <pane ySplit="6" topLeftCell="A29" activePane="bottomLeft" state="frozen"/>
      <selection activeCell="H1093" sqref="H1093"/>
      <selection pane="bottomLeft" activeCell="C8" sqref="C8"/>
    </sheetView>
  </sheetViews>
  <sheetFormatPr baseColWidth="10" defaultColWidth="9.1640625" defaultRowHeight="15"/>
  <cols>
    <col min="1" max="1" width="5" style="225" customWidth="1"/>
    <col min="2" max="2" width="6.33203125" style="225" customWidth="1"/>
    <col min="3" max="3" width="15.1640625" style="225" customWidth="1"/>
    <col min="4" max="4" width="15" style="225" customWidth="1"/>
    <col min="5" max="5" width="15.1640625" style="225" bestFit="1" customWidth="1"/>
    <col min="6" max="6" width="12.1640625" style="225" bestFit="1" customWidth="1"/>
    <col min="7" max="7" width="10" style="225" bestFit="1" customWidth="1"/>
    <col min="8" max="8" width="15.5" style="225" bestFit="1" customWidth="1"/>
    <col min="9" max="9" width="14.1640625" style="225" bestFit="1" customWidth="1"/>
    <col min="10" max="10" width="13.83203125" style="225" bestFit="1" customWidth="1"/>
    <col min="11" max="11" width="15.5" style="225" customWidth="1"/>
    <col min="12" max="12" width="11.1640625" style="225" bestFit="1" customWidth="1"/>
    <col min="13" max="13" width="13.83203125" style="225" bestFit="1" customWidth="1"/>
    <col min="14" max="14" width="12.83203125" style="225" bestFit="1" customWidth="1"/>
    <col min="15" max="15" width="7" style="225" customWidth="1"/>
    <col min="16" max="17" width="12.83203125" style="225" bestFit="1" customWidth="1"/>
    <col min="18" max="18" width="1.33203125" style="225" hidden="1" customWidth="1"/>
    <col min="19" max="19" width="3" style="227" hidden="1" customWidth="1"/>
    <col min="20" max="16384" width="9.1640625" style="225"/>
  </cols>
  <sheetData>
    <row r="1" spans="1:21">
      <c r="G1" s="226"/>
    </row>
    <row r="2" spans="1:21">
      <c r="G2" s="226"/>
      <c r="K2" s="226"/>
    </row>
    <row r="3" spans="1:21">
      <c r="B3" s="615" t="s">
        <v>1328</v>
      </c>
      <c r="C3" s="615"/>
      <c r="D3" s="615"/>
      <c r="E3" s="615"/>
      <c r="F3" s="228" t="str">
        <f>DATA!D14</f>
        <v>BTS XL CURUG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" customHeight="1">
      <c r="B5" s="609" t="s">
        <v>1320</v>
      </c>
      <c r="C5" s="609" t="s">
        <v>1329</v>
      </c>
      <c r="D5" s="614" t="s">
        <v>1330</v>
      </c>
      <c r="E5" s="614" t="s">
        <v>1331</v>
      </c>
      <c r="F5" s="609" t="s">
        <v>1332</v>
      </c>
      <c r="G5" s="609"/>
      <c r="H5" s="609"/>
      <c r="I5" s="609"/>
      <c r="J5" s="609"/>
      <c r="K5" s="609" t="s">
        <v>1333</v>
      </c>
      <c r="L5" s="609"/>
      <c r="M5" s="230"/>
      <c r="N5" s="612" t="s">
        <v>1334</v>
      </c>
      <c r="O5" s="614" t="s">
        <v>1335</v>
      </c>
      <c r="P5" s="614" t="s">
        <v>1336</v>
      </c>
      <c r="Q5" s="614" t="s">
        <v>1337</v>
      </c>
      <c r="R5" s="231"/>
      <c r="S5" s="232"/>
      <c r="T5" s="610" t="s">
        <v>1338</v>
      </c>
      <c r="U5" s="233"/>
    </row>
    <row r="6" spans="1:21" ht="20" customHeight="1">
      <c r="B6" s="609"/>
      <c r="C6" s="609"/>
      <c r="D6" s="609"/>
      <c r="E6" s="609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13"/>
      <c r="O6" s="609"/>
      <c r="P6" s="609"/>
      <c r="Q6" s="609"/>
      <c r="R6" s="231"/>
      <c r="S6" s="232"/>
      <c r="T6" s="609"/>
      <c r="U6" s="235"/>
    </row>
    <row r="7" spans="1:21" ht="20" customHeight="1">
      <c r="A7" s="236">
        <v>0</v>
      </c>
      <c r="B7" s="237">
        <v>2023</v>
      </c>
      <c r="C7" s="389">
        <f>DATA!D8*DATA!D26*8</f>
        <v>3520</v>
      </c>
      <c r="D7" s="239">
        <f>C7*4/24</f>
        <v>586.66666666666663</v>
      </c>
      <c r="E7" s="239">
        <f>C7-D7</f>
        <v>2933.3333333333335</v>
      </c>
      <c r="F7" s="240">
        <f ca="1">DATA!D10/1000000</f>
        <v>37.109086101000003</v>
      </c>
      <c r="G7" s="241">
        <f ca="1">DATA!$D$11/1000000</f>
        <v>0.7421817220200001</v>
      </c>
      <c r="H7" s="241">
        <f>C7*DATA!$D$5/1000000</f>
        <v>3.816120161520776</v>
      </c>
      <c r="I7" s="241">
        <f>(C7*DATA!$D$5*DATA!$D$7)/1000000</f>
        <v>8.5862703634217455E-2</v>
      </c>
      <c r="J7" s="239">
        <f ca="1">SUM(F7:I7)</f>
        <v>41.753250688175001</v>
      </c>
      <c r="K7" s="242">
        <f>DATA!D9/1000000</f>
        <v>10.307</v>
      </c>
      <c r="L7" s="239">
        <f>((D7*DATA!$D$23)/1000000)+((E7*DATA!$D$24)/1000000)</f>
        <v>5.0853440000000001</v>
      </c>
      <c r="M7" s="239">
        <f>K7+L7</f>
        <v>15.392344000000001</v>
      </c>
      <c r="N7" s="239">
        <f ca="1">M7-J7</f>
        <v>-26.360906688175</v>
      </c>
      <c r="O7" s="237">
        <v>1</v>
      </c>
      <c r="P7" s="239">
        <f ca="1">O7*N7</f>
        <v>-26.360906688175</v>
      </c>
      <c r="Q7" s="239">
        <f ca="1">P7</f>
        <v>-26.360906688175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" customHeight="1">
      <c r="A8" s="236">
        <f>A7+1</f>
        <v>1</v>
      </c>
      <c r="B8" s="237">
        <f>B7+1</f>
        <v>2024</v>
      </c>
      <c r="C8" s="238">
        <f>DATA!D8*DATA!D26*12</f>
        <v>5280</v>
      </c>
      <c r="D8" s="239">
        <f>C8*4/24</f>
        <v>880</v>
      </c>
      <c r="E8" s="239">
        <f t="shared" ref="E8:E32" si="0">C8-D8</f>
        <v>4400</v>
      </c>
      <c r="F8" s="237"/>
      <c r="G8" s="241">
        <f ca="1">DATA!$D$11/1000000</f>
        <v>0.7421817220200001</v>
      </c>
      <c r="H8" s="241">
        <f>C8*DATA!$D$5/1000000</f>
        <v>5.7241802422811636</v>
      </c>
      <c r="I8" s="241">
        <f>(C8*DATA!$D$5*DATA!$D$7)/1000000</f>
        <v>0.12879405545132619</v>
      </c>
      <c r="J8" s="239">
        <f t="shared" ref="J8:J32" ca="1" si="1">SUM(F8:I8)</f>
        <v>6.5951560197524897</v>
      </c>
      <c r="K8" s="244"/>
      <c r="L8" s="239">
        <f>((D8*DATA!$D$23)/1000000)+((E8*DATA!$D$24)/1000000)</f>
        <v>7.6280159999999997</v>
      </c>
      <c r="M8" s="239">
        <f t="shared" ref="M8:M32" si="2">K8+L8</f>
        <v>7.6280159999999997</v>
      </c>
      <c r="N8" s="239">
        <f ca="1">M8-J8</f>
        <v>1.03285998024751</v>
      </c>
      <c r="O8" s="238">
        <f>1/(1+'[85]Asumsi I'!$C$3)^(KKF!A8)</f>
        <v>0.89285714285714279</v>
      </c>
      <c r="P8" s="239">
        <f ca="1">O8*N8</f>
        <v>0.92219641093527671</v>
      </c>
      <c r="Q8" s="239">
        <f ca="1">Q7+P8</f>
        <v>-25.438710277239721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" customHeight="1">
      <c r="A9" s="236">
        <f t="shared" ref="A9:B24" si="4">A8+1</f>
        <v>2</v>
      </c>
      <c r="B9" s="237">
        <f t="shared" si="4"/>
        <v>2025</v>
      </c>
      <c r="C9" s="245">
        <f>+C8</f>
        <v>5280</v>
      </c>
      <c r="D9" s="239">
        <f t="shared" ref="D9:D32" si="5">C9*4/24</f>
        <v>880</v>
      </c>
      <c r="E9" s="239">
        <f t="shared" si="0"/>
        <v>4400</v>
      </c>
      <c r="F9" s="237"/>
      <c r="G9" s="241">
        <f ca="1">DATA!$D$11/1000000</f>
        <v>0.7421817220200001</v>
      </c>
      <c r="H9" s="241">
        <f>C9*DATA!$D$5/1000000</f>
        <v>5.7241802422811636</v>
      </c>
      <c r="I9" s="241">
        <f>(C9*DATA!$D$5*DATA!$D$7)/1000000</f>
        <v>0.12879405545132619</v>
      </c>
      <c r="J9" s="239">
        <f t="shared" ca="1" si="1"/>
        <v>6.5951560197524897</v>
      </c>
      <c r="K9" s="239"/>
      <c r="L9" s="239">
        <f>((D9*DATA!$D$23)/1000000)+((E9*DATA!$D$24)/1000000)</f>
        <v>7.6280159999999997</v>
      </c>
      <c r="M9" s="239">
        <f t="shared" si="2"/>
        <v>7.6280159999999997</v>
      </c>
      <c r="N9" s="239">
        <f t="shared" ref="N9:N32" ca="1" si="6">M9-J9</f>
        <v>1.03285998024751</v>
      </c>
      <c r="O9" s="245">
        <f>1/(1+'[85]Asumsi I'!$C$3)^(KKF!A9)</f>
        <v>0.79719387755102034</v>
      </c>
      <c r="P9" s="239">
        <f t="shared" ref="P9:P32" ca="1" si="7">O9*N9</f>
        <v>0.82338965262078279</v>
      </c>
      <c r="Q9" s="239">
        <f ca="1">Q8+P9</f>
        <v>-24.615320624618938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5280</v>
      </c>
      <c r="D10" s="239">
        <f t="shared" si="5"/>
        <v>880</v>
      </c>
      <c r="E10" s="239">
        <f t="shared" si="0"/>
        <v>4400</v>
      </c>
      <c r="F10" s="237"/>
      <c r="G10" s="241">
        <f ca="1">DATA!$D$11/1000000</f>
        <v>0.7421817220200001</v>
      </c>
      <c r="H10" s="241">
        <f>C10*DATA!$D$5/1000000</f>
        <v>5.7241802422811636</v>
      </c>
      <c r="I10" s="241">
        <f>(C10*DATA!$D$5*DATA!$D$7)/1000000</f>
        <v>0.12879405545132619</v>
      </c>
      <c r="J10" s="239">
        <f t="shared" ca="1" si="1"/>
        <v>6.5951560197524897</v>
      </c>
      <c r="K10" s="237"/>
      <c r="L10" s="239">
        <f>((D10*DATA!$D$23)/1000000)+((E10*DATA!$D$24)/1000000)</f>
        <v>7.6280159999999997</v>
      </c>
      <c r="M10" s="239">
        <f t="shared" si="2"/>
        <v>7.6280159999999997</v>
      </c>
      <c r="N10" s="239">
        <f t="shared" ca="1" si="6"/>
        <v>1.03285998024751</v>
      </c>
      <c r="O10" s="238">
        <f>1/(1+'[85]Asumsi I'!$C$3)^(KKF!A10)</f>
        <v>0.71178024781341087</v>
      </c>
      <c r="P10" s="239">
        <f t="shared" ca="1" si="7"/>
        <v>0.73516933269712736</v>
      </c>
      <c r="Q10" s="239">
        <f t="shared" ref="Q10:Q30" ca="1" si="9">Q9+P10</f>
        <v>-23.880151291921813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" customHeight="1">
      <c r="A11" s="236">
        <f t="shared" si="4"/>
        <v>4</v>
      </c>
      <c r="B11" s="237">
        <f t="shared" si="4"/>
        <v>2027</v>
      </c>
      <c r="C11" s="238">
        <f>+C10</f>
        <v>5280</v>
      </c>
      <c r="D11" s="239">
        <f t="shared" si="5"/>
        <v>880</v>
      </c>
      <c r="E11" s="239">
        <f t="shared" si="0"/>
        <v>4400</v>
      </c>
      <c r="F11" s="237"/>
      <c r="G11" s="241">
        <f ca="1">DATA!$D$11/1000000</f>
        <v>0.7421817220200001</v>
      </c>
      <c r="H11" s="241">
        <f>C11*DATA!$D$5/1000000</f>
        <v>5.7241802422811636</v>
      </c>
      <c r="I11" s="241">
        <f>(C11*DATA!$D$5*DATA!$D$7)/1000000</f>
        <v>0.12879405545132619</v>
      </c>
      <c r="J11" s="239">
        <f t="shared" ca="1" si="1"/>
        <v>6.5951560197524897</v>
      </c>
      <c r="K11" s="237"/>
      <c r="L11" s="239">
        <f>((D11*DATA!$D$23)/1000000)+((E11*DATA!$D$24)/1000000)</f>
        <v>7.6280159999999997</v>
      </c>
      <c r="M11" s="239">
        <f t="shared" si="2"/>
        <v>7.6280159999999997</v>
      </c>
      <c r="N11" s="239">
        <f t="shared" ca="1" si="6"/>
        <v>1.03285998024751</v>
      </c>
      <c r="O11" s="238">
        <f>1/(1+'[85]Asumsi I'!$C$3)^(KKF!A11)</f>
        <v>0.63551807840483121</v>
      </c>
      <c r="P11" s="239">
        <f t="shared" ca="1" si="7"/>
        <v>0.65640118990814944</v>
      </c>
      <c r="Q11" s="239">
        <f t="shared" ca="1" si="9"/>
        <v>-23.223750102013664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" customHeight="1">
      <c r="A12" s="236">
        <f t="shared" si="4"/>
        <v>5</v>
      </c>
      <c r="B12" s="237">
        <f t="shared" si="4"/>
        <v>2028</v>
      </c>
      <c r="C12" s="238">
        <f t="shared" si="8"/>
        <v>5280</v>
      </c>
      <c r="D12" s="239">
        <f t="shared" si="5"/>
        <v>880</v>
      </c>
      <c r="E12" s="239">
        <f t="shared" si="0"/>
        <v>4400</v>
      </c>
      <c r="F12" s="237"/>
      <c r="G12" s="241">
        <f ca="1">DATA!$D$11/1000000</f>
        <v>0.7421817220200001</v>
      </c>
      <c r="H12" s="241">
        <f>C12*DATA!$D$5/1000000</f>
        <v>5.7241802422811636</v>
      </c>
      <c r="I12" s="241">
        <f>(C12*DATA!$D$5*DATA!$D$7)/1000000</f>
        <v>0.12879405545132619</v>
      </c>
      <c r="J12" s="239">
        <f t="shared" ca="1" si="1"/>
        <v>6.5951560197524897</v>
      </c>
      <c r="K12" s="237"/>
      <c r="L12" s="239">
        <f>((D12*DATA!$D$23)/1000000)+((E12*DATA!$D$24)/1000000)</f>
        <v>7.6280159999999997</v>
      </c>
      <c r="M12" s="239">
        <f t="shared" si="2"/>
        <v>7.6280159999999997</v>
      </c>
      <c r="N12" s="239">
        <f t="shared" ca="1" si="6"/>
        <v>1.03285998024751</v>
      </c>
      <c r="O12" s="238">
        <f>1/(1+'[85]Asumsi I'!$C$3)^(KKF!A12)</f>
        <v>0.56742685571859919</v>
      </c>
      <c r="P12" s="239">
        <f t="shared" ca="1" si="7"/>
        <v>0.58607249098941905</v>
      </c>
      <c r="Q12" s="239">
        <f t="shared" ca="1" si="9"/>
        <v>-22.637677611024245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" customHeight="1">
      <c r="A13" s="236">
        <f t="shared" si="4"/>
        <v>6</v>
      </c>
      <c r="B13" s="237">
        <f t="shared" si="4"/>
        <v>2029</v>
      </c>
      <c r="C13" s="238">
        <f t="shared" si="8"/>
        <v>5280</v>
      </c>
      <c r="D13" s="239">
        <f t="shared" si="5"/>
        <v>880</v>
      </c>
      <c r="E13" s="239">
        <f t="shared" si="0"/>
        <v>4400</v>
      </c>
      <c r="F13" s="237"/>
      <c r="G13" s="241">
        <f ca="1">DATA!$D$11/1000000</f>
        <v>0.7421817220200001</v>
      </c>
      <c r="H13" s="241">
        <f>C13*DATA!$D$5/1000000</f>
        <v>5.7241802422811636</v>
      </c>
      <c r="I13" s="241">
        <f>(C13*DATA!$D$5*DATA!$D$7)/1000000</f>
        <v>0.12879405545132619</v>
      </c>
      <c r="J13" s="239">
        <f t="shared" ca="1" si="1"/>
        <v>6.5951560197524897</v>
      </c>
      <c r="K13" s="237"/>
      <c r="L13" s="239">
        <f>((D13*DATA!$D$23)/1000000)+((E13*DATA!$D$24)/1000000)</f>
        <v>7.6280159999999997</v>
      </c>
      <c r="M13" s="239">
        <f t="shared" si="2"/>
        <v>7.6280159999999997</v>
      </c>
      <c r="N13" s="239">
        <f t="shared" ca="1" si="6"/>
        <v>1.03285998024751</v>
      </c>
      <c r="O13" s="238">
        <f>1/(1+'[85]Asumsi I'!$C$3)^(KKF!A13)</f>
        <v>0.50663112117732068</v>
      </c>
      <c r="P13" s="239">
        <f t="shared" ca="1" si="7"/>
        <v>0.52327900981198128</v>
      </c>
      <c r="Q13" s="239">
        <f t="shared" ca="1" si="9"/>
        <v>-22.114398601212262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" customHeight="1">
      <c r="A14" s="236">
        <f t="shared" si="4"/>
        <v>7</v>
      </c>
      <c r="B14" s="237">
        <f t="shared" si="4"/>
        <v>2030</v>
      </c>
      <c r="C14" s="238">
        <f t="shared" si="8"/>
        <v>5280</v>
      </c>
      <c r="D14" s="239">
        <f t="shared" si="5"/>
        <v>880</v>
      </c>
      <c r="E14" s="239">
        <f t="shared" si="0"/>
        <v>4400</v>
      </c>
      <c r="F14" s="237"/>
      <c r="G14" s="241">
        <f ca="1">DATA!$D$11/1000000</f>
        <v>0.7421817220200001</v>
      </c>
      <c r="H14" s="241">
        <f>C14*DATA!$D$5/1000000</f>
        <v>5.7241802422811636</v>
      </c>
      <c r="I14" s="241">
        <f>(C14*DATA!$D$5*DATA!$D$7)/1000000</f>
        <v>0.12879405545132619</v>
      </c>
      <c r="J14" s="239">
        <f t="shared" ca="1" si="1"/>
        <v>6.5951560197524897</v>
      </c>
      <c r="K14" s="237"/>
      <c r="L14" s="239">
        <f>((D14*DATA!$D$23)/1000000)+((E14*DATA!$D$24)/1000000)</f>
        <v>7.6280159999999997</v>
      </c>
      <c r="M14" s="239">
        <f t="shared" si="2"/>
        <v>7.6280159999999997</v>
      </c>
      <c r="N14" s="239">
        <f t="shared" ca="1" si="6"/>
        <v>1.03285998024751</v>
      </c>
      <c r="O14" s="238">
        <f>1/(1+'[85]Asumsi I'!$C$3)^(KKF!A14)</f>
        <v>0.45234921533689343</v>
      </c>
      <c r="P14" s="239">
        <f t="shared" ca="1" si="7"/>
        <v>0.46721340161784042</v>
      </c>
      <c r="Q14" s="239">
        <f t="shared" ca="1" si="9"/>
        <v>-21.647185199594421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" customHeight="1">
      <c r="A15" s="236">
        <f t="shared" si="4"/>
        <v>8</v>
      </c>
      <c r="B15" s="237">
        <f t="shared" si="4"/>
        <v>2031</v>
      </c>
      <c r="C15" s="238">
        <f t="shared" si="8"/>
        <v>5280</v>
      </c>
      <c r="D15" s="239">
        <f t="shared" si="5"/>
        <v>880</v>
      </c>
      <c r="E15" s="239">
        <f t="shared" si="0"/>
        <v>4400</v>
      </c>
      <c r="F15" s="237"/>
      <c r="G15" s="241">
        <f ca="1">DATA!$D$11/1000000</f>
        <v>0.7421817220200001</v>
      </c>
      <c r="H15" s="241">
        <f>C15*DATA!$D$5/1000000</f>
        <v>5.7241802422811636</v>
      </c>
      <c r="I15" s="241">
        <f>(C15*DATA!$D$5*DATA!$D$7)/1000000</f>
        <v>0.12879405545132619</v>
      </c>
      <c r="J15" s="239">
        <f t="shared" ca="1" si="1"/>
        <v>6.5951560197524897</v>
      </c>
      <c r="K15" s="237"/>
      <c r="L15" s="239">
        <f>((D15*DATA!$D$23)/1000000)+((E15*DATA!$D$24)/1000000)</f>
        <v>7.6280159999999997</v>
      </c>
      <c r="M15" s="239">
        <f t="shared" si="2"/>
        <v>7.6280159999999997</v>
      </c>
      <c r="N15" s="239">
        <f t="shared" ca="1" si="6"/>
        <v>1.03285998024751</v>
      </c>
      <c r="O15" s="238">
        <f>1/(1+'[85]Asumsi I'!$C$3)^(KKF!A15)</f>
        <v>0.4038832279793691</v>
      </c>
      <c r="P15" s="239">
        <f t="shared" ca="1" si="7"/>
        <v>0.41715482287307176</v>
      </c>
      <c r="Q15" s="239">
        <f t="shared" ca="1" si="9"/>
        <v>-21.230030376721349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" customHeight="1">
      <c r="A16" s="236">
        <f t="shared" si="4"/>
        <v>9</v>
      </c>
      <c r="B16" s="237">
        <f t="shared" si="4"/>
        <v>2032</v>
      </c>
      <c r="C16" s="238">
        <f t="shared" si="8"/>
        <v>5280</v>
      </c>
      <c r="D16" s="239">
        <f t="shared" si="5"/>
        <v>880</v>
      </c>
      <c r="E16" s="239">
        <f t="shared" si="0"/>
        <v>4400</v>
      </c>
      <c r="F16" s="237"/>
      <c r="G16" s="241">
        <f ca="1">DATA!$D$11/1000000</f>
        <v>0.7421817220200001</v>
      </c>
      <c r="H16" s="241">
        <f>C16*DATA!$D$5/1000000</f>
        <v>5.7241802422811636</v>
      </c>
      <c r="I16" s="241">
        <f>(C16*DATA!$D$5*DATA!$D$7)/1000000</f>
        <v>0.12879405545132619</v>
      </c>
      <c r="J16" s="239">
        <f t="shared" ca="1" si="1"/>
        <v>6.5951560197524897</v>
      </c>
      <c r="K16" s="237"/>
      <c r="L16" s="239">
        <f>((D16*DATA!$D$23)/1000000)+((E16*DATA!$D$24)/1000000)</f>
        <v>7.6280159999999997</v>
      </c>
      <c r="M16" s="239">
        <f t="shared" si="2"/>
        <v>7.6280159999999997</v>
      </c>
      <c r="N16" s="239">
        <f t="shared" ca="1" si="6"/>
        <v>1.03285998024751</v>
      </c>
      <c r="O16" s="238">
        <f>1/(1+'[85]Asumsi I'!$C$3)^(KKF!A16)</f>
        <v>0.36061002498157957</v>
      </c>
      <c r="P16" s="239">
        <f t="shared" ca="1" si="7"/>
        <v>0.3724596632795284</v>
      </c>
      <c r="Q16" s="239">
        <f t="shared" ca="1" si="9"/>
        <v>-20.85757071344182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" customHeight="1">
      <c r="A17" s="236">
        <f t="shared" si="4"/>
        <v>10</v>
      </c>
      <c r="B17" s="237">
        <f t="shared" si="4"/>
        <v>2033</v>
      </c>
      <c r="C17" s="238">
        <f t="shared" si="8"/>
        <v>5280</v>
      </c>
      <c r="D17" s="239">
        <f t="shared" si="5"/>
        <v>880</v>
      </c>
      <c r="E17" s="239">
        <f t="shared" si="0"/>
        <v>4400</v>
      </c>
      <c r="F17" s="237"/>
      <c r="G17" s="241">
        <f ca="1">DATA!$D$11/1000000</f>
        <v>0.7421817220200001</v>
      </c>
      <c r="H17" s="241">
        <f>C17*DATA!$D$5/1000000</f>
        <v>5.7241802422811636</v>
      </c>
      <c r="I17" s="241">
        <f>(C17*DATA!$D$5*DATA!$D$7)/1000000</f>
        <v>0.12879405545132619</v>
      </c>
      <c r="J17" s="239">
        <f t="shared" ca="1" si="1"/>
        <v>6.5951560197524897</v>
      </c>
      <c r="K17" s="237"/>
      <c r="L17" s="239">
        <f>((D17*DATA!$D$23)/1000000)+((E17*DATA!$D$24)/1000000)</f>
        <v>7.6280159999999997</v>
      </c>
      <c r="M17" s="239">
        <f t="shared" si="2"/>
        <v>7.6280159999999997</v>
      </c>
      <c r="N17" s="239">
        <f t="shared" ca="1" si="6"/>
        <v>1.03285998024751</v>
      </c>
      <c r="O17" s="238">
        <f>1/(1+'[85]Asumsi I'!$C$3)^(KKF!A17)</f>
        <v>0.32197323659069599</v>
      </c>
      <c r="P17" s="239">
        <f t="shared" ca="1" si="7"/>
        <v>0.33255327078529312</v>
      </c>
      <c r="Q17" s="239">
        <f t="shared" ca="1" si="9"/>
        <v>-20.525017442656527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" customHeight="1">
      <c r="A18" s="236">
        <f t="shared" si="4"/>
        <v>11</v>
      </c>
      <c r="B18" s="237">
        <f t="shared" si="4"/>
        <v>2034</v>
      </c>
      <c r="C18" s="238">
        <f t="shared" si="8"/>
        <v>5280</v>
      </c>
      <c r="D18" s="239">
        <f t="shared" si="5"/>
        <v>880</v>
      </c>
      <c r="E18" s="239">
        <f t="shared" si="0"/>
        <v>4400</v>
      </c>
      <c r="F18" s="237"/>
      <c r="G18" s="241">
        <f ca="1">DATA!$D$11/1000000</f>
        <v>0.7421817220200001</v>
      </c>
      <c r="H18" s="241">
        <f>C18*DATA!$D$5/1000000</f>
        <v>5.7241802422811636</v>
      </c>
      <c r="I18" s="241">
        <f>(C18*DATA!$D$5*DATA!$D$7)/1000000</f>
        <v>0.12879405545132619</v>
      </c>
      <c r="J18" s="239">
        <f t="shared" ca="1" si="1"/>
        <v>6.5951560197524897</v>
      </c>
      <c r="K18" s="237"/>
      <c r="L18" s="239">
        <f>((D18*DATA!$D$23)/1000000)+((E18*DATA!$D$24)/1000000)</f>
        <v>7.6280159999999997</v>
      </c>
      <c r="M18" s="239">
        <f t="shared" si="2"/>
        <v>7.6280159999999997</v>
      </c>
      <c r="N18" s="239">
        <f t="shared" ca="1" si="6"/>
        <v>1.03285998024751</v>
      </c>
      <c r="O18" s="238">
        <f>1/(1+'[85]Asumsi I'!$C$3)^(KKF!A18)</f>
        <v>0.28747610409883567</v>
      </c>
      <c r="P18" s="239">
        <f t="shared" ca="1" si="7"/>
        <v>0.29692256320115457</v>
      </c>
      <c r="Q18" s="239">
        <f t="shared" ca="1" si="9"/>
        <v>-20.228094879455373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" customHeight="1">
      <c r="A19" s="236">
        <f t="shared" si="4"/>
        <v>12</v>
      </c>
      <c r="B19" s="237">
        <f t="shared" si="4"/>
        <v>2035</v>
      </c>
      <c r="C19" s="238">
        <f t="shared" si="8"/>
        <v>5280</v>
      </c>
      <c r="D19" s="239">
        <f t="shared" si="5"/>
        <v>880</v>
      </c>
      <c r="E19" s="239">
        <f t="shared" si="0"/>
        <v>4400</v>
      </c>
      <c r="F19" s="237"/>
      <c r="G19" s="241">
        <f ca="1">DATA!$D$11/1000000</f>
        <v>0.7421817220200001</v>
      </c>
      <c r="H19" s="241">
        <f>C19*DATA!$D$5/1000000</f>
        <v>5.7241802422811636</v>
      </c>
      <c r="I19" s="241">
        <f>(C19*DATA!$D$5*DATA!$D$7)/1000000</f>
        <v>0.12879405545132619</v>
      </c>
      <c r="J19" s="239">
        <f t="shared" ca="1" si="1"/>
        <v>6.5951560197524897</v>
      </c>
      <c r="K19" s="237"/>
      <c r="L19" s="239">
        <f>((D19*DATA!$D$23)/1000000)+((E19*DATA!$D$24)/1000000)</f>
        <v>7.6280159999999997</v>
      </c>
      <c r="M19" s="239">
        <f t="shared" si="2"/>
        <v>7.6280159999999997</v>
      </c>
      <c r="N19" s="239">
        <f t="shared" ca="1" si="6"/>
        <v>1.03285998024751</v>
      </c>
      <c r="O19" s="238">
        <f>1/(1+'[85]Asumsi I'!$C$3)^(KKF!A19)</f>
        <v>0.25667509294538904</v>
      </c>
      <c r="P19" s="239">
        <f t="shared" ca="1" si="7"/>
        <v>0.2651094314296023</v>
      </c>
      <c r="Q19" s="239">
        <f t="shared" ca="1" si="9"/>
        <v>-19.962985448025769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" customHeight="1">
      <c r="A20" s="236">
        <f t="shared" si="4"/>
        <v>13</v>
      </c>
      <c r="B20" s="237">
        <f t="shared" si="4"/>
        <v>2036</v>
      </c>
      <c r="C20" s="238">
        <f t="shared" si="8"/>
        <v>5280</v>
      </c>
      <c r="D20" s="239">
        <f t="shared" si="5"/>
        <v>880</v>
      </c>
      <c r="E20" s="239">
        <f t="shared" si="0"/>
        <v>4400</v>
      </c>
      <c r="F20" s="237"/>
      <c r="G20" s="241">
        <f ca="1">DATA!$D$11/1000000</f>
        <v>0.7421817220200001</v>
      </c>
      <c r="H20" s="241">
        <f>C20*DATA!$D$5/1000000</f>
        <v>5.7241802422811636</v>
      </c>
      <c r="I20" s="241">
        <f>(C20*DATA!$D$5*DATA!$D$7)/1000000</f>
        <v>0.12879405545132619</v>
      </c>
      <c r="J20" s="239">
        <f t="shared" ca="1" si="1"/>
        <v>6.5951560197524897</v>
      </c>
      <c r="K20" s="237"/>
      <c r="L20" s="239">
        <f>((D20*DATA!$D$23)/1000000)+((E20*DATA!$D$24)/1000000)</f>
        <v>7.6280159999999997</v>
      </c>
      <c r="M20" s="239">
        <f t="shared" si="2"/>
        <v>7.6280159999999997</v>
      </c>
      <c r="N20" s="239">
        <f t="shared" ca="1" si="6"/>
        <v>1.03285998024751</v>
      </c>
      <c r="O20" s="238">
        <f>1/(1+'[85]Asumsi I'!$C$3)^(KKF!A20)</f>
        <v>0.22917419012981158</v>
      </c>
      <c r="P20" s="239">
        <f t="shared" ca="1" si="7"/>
        <v>0.2367048494907163</v>
      </c>
      <c r="Q20" s="239">
        <f t="shared" ca="1" si="9"/>
        <v>-19.726280598535052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" customHeight="1">
      <c r="A21" s="236">
        <f t="shared" si="4"/>
        <v>14</v>
      </c>
      <c r="B21" s="237">
        <f t="shared" si="4"/>
        <v>2037</v>
      </c>
      <c r="C21" s="238">
        <f t="shared" si="8"/>
        <v>5280</v>
      </c>
      <c r="D21" s="239">
        <f t="shared" si="5"/>
        <v>880</v>
      </c>
      <c r="E21" s="239">
        <f t="shared" si="0"/>
        <v>4400</v>
      </c>
      <c r="F21" s="237"/>
      <c r="G21" s="241">
        <f ca="1">DATA!$D$11/1000000</f>
        <v>0.7421817220200001</v>
      </c>
      <c r="H21" s="241">
        <f>C21*DATA!$D$5/1000000</f>
        <v>5.7241802422811636</v>
      </c>
      <c r="I21" s="241">
        <f>(C21*DATA!$D$5*DATA!$D$7)/1000000</f>
        <v>0.12879405545132619</v>
      </c>
      <c r="J21" s="239">
        <f t="shared" ca="1" si="1"/>
        <v>6.5951560197524897</v>
      </c>
      <c r="K21" s="237"/>
      <c r="L21" s="239">
        <f>((D21*DATA!$D$23)/1000000)+((E21*DATA!$D$24)/1000000)</f>
        <v>7.6280159999999997</v>
      </c>
      <c r="M21" s="239">
        <f t="shared" si="2"/>
        <v>7.6280159999999997</v>
      </c>
      <c r="N21" s="239">
        <f t="shared" ca="1" si="6"/>
        <v>1.03285998024751</v>
      </c>
      <c r="O21" s="238">
        <f>1/(1+'[85]Asumsi I'!$C$3)^(KKF!A21)</f>
        <v>0.20461981261590317</v>
      </c>
      <c r="P21" s="239">
        <f t="shared" ca="1" si="7"/>
        <v>0.21134361561671094</v>
      </c>
      <c r="Q21" s="239">
        <f t="shared" ca="1" si="9"/>
        <v>-19.514936982918339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" customHeight="1">
      <c r="A22" s="236">
        <f t="shared" si="4"/>
        <v>15</v>
      </c>
      <c r="B22" s="237">
        <f t="shared" si="4"/>
        <v>2038</v>
      </c>
      <c r="C22" s="238">
        <f t="shared" si="8"/>
        <v>5280</v>
      </c>
      <c r="D22" s="239">
        <f t="shared" si="5"/>
        <v>880</v>
      </c>
      <c r="E22" s="239">
        <f t="shared" si="0"/>
        <v>4400</v>
      </c>
      <c r="F22" s="237"/>
      <c r="G22" s="241">
        <f ca="1">DATA!$D$11/1000000</f>
        <v>0.7421817220200001</v>
      </c>
      <c r="H22" s="241">
        <f>C22*DATA!$D$5/1000000</f>
        <v>5.7241802422811636</v>
      </c>
      <c r="I22" s="241">
        <f>(C22*DATA!$D$5*DATA!$D$7)/1000000</f>
        <v>0.12879405545132619</v>
      </c>
      <c r="J22" s="239">
        <f t="shared" ca="1" si="1"/>
        <v>6.5951560197524897</v>
      </c>
      <c r="K22" s="237"/>
      <c r="L22" s="239">
        <f>((D22*DATA!$D$23)/1000000)+((E22*DATA!$D$24)/1000000)</f>
        <v>7.6280159999999997</v>
      </c>
      <c r="M22" s="239">
        <f t="shared" si="2"/>
        <v>7.6280159999999997</v>
      </c>
      <c r="N22" s="239">
        <f t="shared" ca="1" si="6"/>
        <v>1.03285998024751</v>
      </c>
      <c r="O22" s="238">
        <f>1/(1+'[85]Asumsi I'!$C$3)^(KKF!A22)</f>
        <v>0.18269626126419927</v>
      </c>
      <c r="P22" s="239">
        <f t="shared" ca="1" si="7"/>
        <v>0.1886996568006348</v>
      </c>
      <c r="Q22" s="239">
        <f t="shared" ca="1" si="9"/>
        <v>-19.326237326117706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" customHeight="1">
      <c r="A23" s="236">
        <f t="shared" si="4"/>
        <v>16</v>
      </c>
      <c r="B23" s="237">
        <f t="shared" si="4"/>
        <v>2039</v>
      </c>
      <c r="C23" s="238">
        <f t="shared" si="8"/>
        <v>5280</v>
      </c>
      <c r="D23" s="239">
        <f t="shared" si="5"/>
        <v>880</v>
      </c>
      <c r="E23" s="239">
        <f t="shared" si="0"/>
        <v>4400</v>
      </c>
      <c r="F23" s="237"/>
      <c r="G23" s="241">
        <f ca="1">DATA!$D$11/1000000</f>
        <v>0.7421817220200001</v>
      </c>
      <c r="H23" s="241">
        <f>C23*DATA!$D$5/1000000</f>
        <v>5.7241802422811636</v>
      </c>
      <c r="I23" s="241">
        <f>(C23*DATA!$D$5*DATA!$D$7)/1000000</f>
        <v>0.12879405545132619</v>
      </c>
      <c r="J23" s="239">
        <f t="shared" ca="1" si="1"/>
        <v>6.5951560197524897</v>
      </c>
      <c r="K23" s="237"/>
      <c r="L23" s="239">
        <f>((D23*DATA!$D$23)/1000000)+((E23*DATA!$D$24)/1000000)</f>
        <v>7.6280159999999997</v>
      </c>
      <c r="M23" s="239">
        <f t="shared" si="2"/>
        <v>7.6280159999999997</v>
      </c>
      <c r="N23" s="239">
        <f t="shared" ca="1" si="6"/>
        <v>1.03285998024751</v>
      </c>
      <c r="O23" s="238">
        <f>1/(1+'[85]Asumsi I'!$C$3)^(KKF!A23)</f>
        <v>0.16312166184303503</v>
      </c>
      <c r="P23" s="239">
        <f t="shared" ca="1" si="7"/>
        <v>0.16848183642913817</v>
      </c>
      <c r="Q23" s="239">
        <f t="shared" ca="1" si="9"/>
        <v>-19.157755489688569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" customHeight="1">
      <c r="A24" s="236">
        <f t="shared" si="4"/>
        <v>17</v>
      </c>
      <c r="B24" s="237">
        <f t="shared" si="4"/>
        <v>2040</v>
      </c>
      <c r="C24" s="238">
        <f t="shared" si="8"/>
        <v>5280</v>
      </c>
      <c r="D24" s="239">
        <f t="shared" si="5"/>
        <v>880</v>
      </c>
      <c r="E24" s="239">
        <f t="shared" si="0"/>
        <v>4400</v>
      </c>
      <c r="F24" s="237"/>
      <c r="G24" s="241">
        <f ca="1">DATA!$D$11/1000000</f>
        <v>0.7421817220200001</v>
      </c>
      <c r="H24" s="241">
        <f>C24*DATA!$D$5/1000000</f>
        <v>5.7241802422811636</v>
      </c>
      <c r="I24" s="241">
        <f>(C24*DATA!$D$5*DATA!$D$7)/1000000</f>
        <v>0.12879405545132619</v>
      </c>
      <c r="J24" s="239">
        <f t="shared" ca="1" si="1"/>
        <v>6.5951560197524897</v>
      </c>
      <c r="K24" s="237"/>
      <c r="L24" s="239">
        <f>((D24*DATA!$D$23)/1000000)+((E24*DATA!$D$24)/1000000)</f>
        <v>7.6280159999999997</v>
      </c>
      <c r="M24" s="239">
        <f t="shared" si="2"/>
        <v>7.6280159999999997</v>
      </c>
      <c r="N24" s="239">
        <f t="shared" ca="1" si="6"/>
        <v>1.03285998024751</v>
      </c>
      <c r="O24" s="238">
        <f>1/(1+'[85]Asumsi I'!$C$3)^(KKF!A24)</f>
        <v>0.14564434093128129</v>
      </c>
      <c r="P24" s="239">
        <f t="shared" ca="1" si="7"/>
        <v>0.15043021109744481</v>
      </c>
      <c r="Q24" s="239">
        <f t="shared" ca="1" si="9"/>
        <v>-19.007325278591125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5280</v>
      </c>
      <c r="D25" s="239">
        <f t="shared" si="5"/>
        <v>880</v>
      </c>
      <c r="E25" s="239">
        <f t="shared" si="0"/>
        <v>4400</v>
      </c>
      <c r="F25" s="237"/>
      <c r="G25" s="241">
        <f ca="1">DATA!$D$11/1000000</f>
        <v>0.7421817220200001</v>
      </c>
      <c r="H25" s="241">
        <f>C25*DATA!$D$5/1000000</f>
        <v>5.7241802422811636</v>
      </c>
      <c r="I25" s="241">
        <f>(C25*DATA!$D$5*DATA!$D$7)/1000000</f>
        <v>0.12879405545132619</v>
      </c>
      <c r="J25" s="239">
        <f t="shared" ca="1" si="1"/>
        <v>6.5951560197524897</v>
      </c>
      <c r="K25" s="237"/>
      <c r="L25" s="239">
        <f>((D25*DATA!$D$23)/1000000)+((E25*DATA!$D$24)/1000000)</f>
        <v>7.6280159999999997</v>
      </c>
      <c r="M25" s="239">
        <f t="shared" si="2"/>
        <v>7.6280159999999997</v>
      </c>
      <c r="N25" s="239">
        <f t="shared" ca="1" si="6"/>
        <v>1.03285998024751</v>
      </c>
      <c r="O25" s="238">
        <f>1/(1+'[85]Asumsi I'!$C$3)^(KKF!A25)</f>
        <v>0.13003959011721541</v>
      </c>
      <c r="P25" s="239">
        <f t="shared" ca="1" si="7"/>
        <v>0.13431268847986141</v>
      </c>
      <c r="Q25" s="239">
        <f t="shared" ca="1" si="9"/>
        <v>-18.873012590111262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" customHeight="1">
      <c r="A26" s="236">
        <f t="shared" si="11"/>
        <v>19</v>
      </c>
      <c r="B26" s="237">
        <f t="shared" si="11"/>
        <v>2042</v>
      </c>
      <c r="C26" s="238">
        <f t="shared" si="8"/>
        <v>5280</v>
      </c>
      <c r="D26" s="239">
        <f t="shared" si="5"/>
        <v>880</v>
      </c>
      <c r="E26" s="239">
        <f t="shared" si="0"/>
        <v>4400</v>
      </c>
      <c r="F26" s="237"/>
      <c r="G26" s="241">
        <f ca="1">DATA!$D$11/1000000</f>
        <v>0.7421817220200001</v>
      </c>
      <c r="H26" s="241">
        <f>C26*DATA!$D$5/1000000</f>
        <v>5.7241802422811636</v>
      </c>
      <c r="I26" s="241">
        <f>(C26*DATA!$D$5*DATA!$D$7)/1000000</f>
        <v>0.12879405545132619</v>
      </c>
      <c r="J26" s="239">
        <f t="shared" ca="1" si="1"/>
        <v>6.5951560197524897</v>
      </c>
      <c r="K26" s="237"/>
      <c r="L26" s="239">
        <f>((D26*DATA!$D$23)/1000000)+((E26*DATA!$D$24)/1000000)</f>
        <v>7.6280159999999997</v>
      </c>
      <c r="M26" s="239">
        <f t="shared" si="2"/>
        <v>7.6280159999999997</v>
      </c>
      <c r="N26" s="239">
        <f t="shared" ca="1" si="6"/>
        <v>1.03285998024751</v>
      </c>
      <c r="O26" s="238">
        <f>1/(1+'[85]Asumsi I'!$C$3)^(KKF!A26)</f>
        <v>0.1161067768903709</v>
      </c>
      <c r="P26" s="239">
        <f t="shared" ca="1" si="7"/>
        <v>0.11992204328559054</v>
      </c>
      <c r="Q26" s="239">
        <f t="shared" ca="1" si="9"/>
        <v>-18.753090546825671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" customHeight="1">
      <c r="A27" s="236">
        <f t="shared" si="11"/>
        <v>20</v>
      </c>
      <c r="B27" s="237">
        <f t="shared" si="11"/>
        <v>2043</v>
      </c>
      <c r="C27" s="238">
        <f t="shared" si="8"/>
        <v>5280</v>
      </c>
      <c r="D27" s="239">
        <f t="shared" si="5"/>
        <v>880</v>
      </c>
      <c r="E27" s="239">
        <f t="shared" si="0"/>
        <v>4400</v>
      </c>
      <c r="F27" s="237"/>
      <c r="G27" s="241">
        <f ca="1">DATA!$D$11/1000000</f>
        <v>0.7421817220200001</v>
      </c>
      <c r="H27" s="241">
        <f>C27*DATA!$D$5/1000000</f>
        <v>5.7241802422811636</v>
      </c>
      <c r="I27" s="241">
        <f>(C27*DATA!$D$5*DATA!$D$7)/1000000</f>
        <v>0.12879405545132619</v>
      </c>
      <c r="J27" s="239">
        <f t="shared" ca="1" si="1"/>
        <v>6.5951560197524897</v>
      </c>
      <c r="K27" s="237"/>
      <c r="L27" s="239">
        <f>((D27*DATA!$D$23)/1000000)+((E27*DATA!$D$24)/1000000)</f>
        <v>7.6280159999999997</v>
      </c>
      <c r="M27" s="239">
        <f t="shared" si="2"/>
        <v>7.6280159999999997</v>
      </c>
      <c r="N27" s="239">
        <f t="shared" ca="1" si="6"/>
        <v>1.03285998024751</v>
      </c>
      <c r="O27" s="238">
        <f>1/(1+'[85]Asumsi I'!$C$3)^(KKF!A27)</f>
        <v>0.1036667650806883</v>
      </c>
      <c r="P27" s="239">
        <f t="shared" ca="1" si="7"/>
        <v>0.10707325293356297</v>
      </c>
      <c r="Q27" s="239">
        <f t="shared" ca="1" si="9"/>
        <v>-18.646017293892108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" customHeight="1">
      <c r="A28" s="236">
        <f t="shared" si="11"/>
        <v>21</v>
      </c>
      <c r="B28" s="237">
        <f t="shared" si="11"/>
        <v>2044</v>
      </c>
      <c r="C28" s="238">
        <f t="shared" si="8"/>
        <v>5280</v>
      </c>
      <c r="D28" s="239">
        <f t="shared" si="5"/>
        <v>880</v>
      </c>
      <c r="E28" s="239">
        <f t="shared" si="0"/>
        <v>4400</v>
      </c>
      <c r="F28" s="237"/>
      <c r="G28" s="241">
        <f ca="1">DATA!$D$11/1000000</f>
        <v>0.7421817220200001</v>
      </c>
      <c r="H28" s="241">
        <f>C28*DATA!$D$5/1000000</f>
        <v>5.7241802422811636</v>
      </c>
      <c r="I28" s="241">
        <f>(C28*DATA!$D$5*DATA!$D$7)/1000000</f>
        <v>0.12879405545132619</v>
      </c>
      <c r="J28" s="239">
        <f t="shared" ca="1" si="1"/>
        <v>6.5951560197524897</v>
      </c>
      <c r="K28" s="237"/>
      <c r="L28" s="239">
        <f>((D28*DATA!$D$23)/1000000)+((E28*DATA!$D$24)/1000000)</f>
        <v>7.6280159999999997</v>
      </c>
      <c r="M28" s="239">
        <f t="shared" si="2"/>
        <v>7.6280159999999997</v>
      </c>
      <c r="N28" s="239">
        <f t="shared" ca="1" si="6"/>
        <v>1.03285998024751</v>
      </c>
      <c r="O28" s="238">
        <f>1/(1+'[85]Asumsi I'!$C$3)^(KKF!A28)</f>
        <v>9.2559611679185971E-2</v>
      </c>
      <c r="P28" s="239">
        <f t="shared" ca="1" si="7"/>
        <v>9.5601118690681219E-2</v>
      </c>
      <c r="Q28" s="239">
        <f t="shared" ca="1" si="9"/>
        <v>-18.550416175201427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" customHeight="1">
      <c r="A29" s="236">
        <f t="shared" si="11"/>
        <v>22</v>
      </c>
      <c r="B29" s="237">
        <f t="shared" si="11"/>
        <v>2045</v>
      </c>
      <c r="C29" s="238">
        <f t="shared" si="8"/>
        <v>5280</v>
      </c>
      <c r="D29" s="239">
        <f t="shared" si="5"/>
        <v>880</v>
      </c>
      <c r="E29" s="239">
        <f t="shared" si="0"/>
        <v>4400</v>
      </c>
      <c r="F29" s="237"/>
      <c r="G29" s="241">
        <f ca="1">DATA!$D$11/1000000</f>
        <v>0.7421817220200001</v>
      </c>
      <c r="H29" s="241">
        <f>C29*DATA!$D$5/1000000</f>
        <v>5.7241802422811636</v>
      </c>
      <c r="I29" s="241">
        <f>(C29*DATA!$D$5*DATA!$D$7)/1000000</f>
        <v>0.12879405545132619</v>
      </c>
      <c r="J29" s="239">
        <f t="shared" ca="1" si="1"/>
        <v>6.5951560197524897</v>
      </c>
      <c r="K29" s="237"/>
      <c r="L29" s="239">
        <f>((D29*DATA!$D$23)/1000000)+((E29*DATA!$D$24)/1000000)</f>
        <v>7.6280159999999997</v>
      </c>
      <c r="M29" s="239">
        <f t="shared" si="2"/>
        <v>7.6280159999999997</v>
      </c>
      <c r="N29" s="239">
        <f t="shared" ca="1" si="6"/>
        <v>1.03285998024751</v>
      </c>
      <c r="O29" s="238">
        <f>1/(1+'[85]Asumsi I'!$C$3)^(KKF!A29)</f>
        <v>8.2642510427844609E-2</v>
      </c>
      <c r="P29" s="239">
        <f t="shared" ca="1" si="7"/>
        <v>8.5358141688108222E-2</v>
      </c>
      <c r="Q29" s="239">
        <f t="shared" ca="1" si="9"/>
        <v>-18.465058033513319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" customHeight="1">
      <c r="A30" s="236">
        <f t="shared" si="11"/>
        <v>23</v>
      </c>
      <c r="B30" s="237">
        <f t="shared" si="11"/>
        <v>2046</v>
      </c>
      <c r="C30" s="238">
        <f t="shared" si="8"/>
        <v>5280</v>
      </c>
      <c r="D30" s="239">
        <f t="shared" si="5"/>
        <v>880</v>
      </c>
      <c r="E30" s="239">
        <f t="shared" si="0"/>
        <v>4400</v>
      </c>
      <c r="F30" s="237"/>
      <c r="G30" s="241">
        <f ca="1">DATA!$D$11/1000000</f>
        <v>0.7421817220200001</v>
      </c>
      <c r="H30" s="241">
        <f>C30*DATA!$D$5/1000000</f>
        <v>5.7241802422811636</v>
      </c>
      <c r="I30" s="241">
        <f>(C30*DATA!$D$5*DATA!$D$7)/1000000</f>
        <v>0.12879405545132619</v>
      </c>
      <c r="J30" s="239">
        <f t="shared" ca="1" si="1"/>
        <v>6.5951560197524897</v>
      </c>
      <c r="K30" s="237"/>
      <c r="L30" s="239">
        <f>((D30*DATA!$D$23)/1000000)+((E30*DATA!$D$24)/1000000)</f>
        <v>7.6280159999999997</v>
      </c>
      <c r="M30" s="239">
        <f t="shared" si="2"/>
        <v>7.6280159999999997</v>
      </c>
      <c r="N30" s="239">
        <f t="shared" ca="1" si="6"/>
        <v>1.03285998024751</v>
      </c>
      <c r="O30" s="238">
        <f>1/(1+'[85]Asumsi I'!$C$3)^(KKF!A30)</f>
        <v>7.3787955739146982E-2</v>
      </c>
      <c r="P30" s="239">
        <f t="shared" ca="1" si="7"/>
        <v>7.6212626507239492E-2</v>
      </c>
      <c r="Q30" s="239">
        <f t="shared" ca="1" si="9"/>
        <v>-18.38884540700608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" customHeight="1">
      <c r="A31" s="236">
        <f t="shared" si="11"/>
        <v>24</v>
      </c>
      <c r="B31" s="237">
        <f t="shared" si="11"/>
        <v>2047</v>
      </c>
      <c r="C31" s="238">
        <f t="shared" si="8"/>
        <v>5280</v>
      </c>
      <c r="D31" s="239">
        <f t="shared" si="5"/>
        <v>880</v>
      </c>
      <c r="E31" s="239">
        <f t="shared" si="0"/>
        <v>4400</v>
      </c>
      <c r="F31" s="237"/>
      <c r="G31" s="241">
        <f ca="1">DATA!$D$11/1000000</f>
        <v>0.7421817220200001</v>
      </c>
      <c r="H31" s="241">
        <f>C31*DATA!$D$5/1000000</f>
        <v>5.7241802422811636</v>
      </c>
      <c r="I31" s="241">
        <f>(C31*DATA!$D$5*DATA!$D$7)/1000000</f>
        <v>0.12879405545132619</v>
      </c>
      <c r="J31" s="239">
        <f t="shared" ca="1" si="1"/>
        <v>6.5951560197524897</v>
      </c>
      <c r="K31" s="237"/>
      <c r="L31" s="239">
        <f>((D31*DATA!$D$23)/1000000)+((E31*DATA!$D$24)/1000000)</f>
        <v>7.6280159999999997</v>
      </c>
      <c r="M31" s="239">
        <f t="shared" si="2"/>
        <v>7.6280159999999997</v>
      </c>
      <c r="N31" s="239">
        <f t="shared" ca="1" si="6"/>
        <v>1.03285998024751</v>
      </c>
      <c r="O31" s="238">
        <f>1/(1+'[85]Asumsi I'!$C$3)^(KKF!A31)</f>
        <v>6.5882103338524081E-2</v>
      </c>
      <c r="P31" s="239">
        <f t="shared" ca="1" si="7"/>
        <v>6.8046987952892393E-2</v>
      </c>
      <c r="Q31" s="239">
        <f ca="1">Q30+P31</f>
        <v>-18.320798419053187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" customHeight="1">
      <c r="A32" s="236">
        <f t="shared" si="11"/>
        <v>25</v>
      </c>
      <c r="B32" s="237">
        <f>B30+1</f>
        <v>2047</v>
      </c>
      <c r="C32" s="238">
        <f t="shared" si="8"/>
        <v>5280</v>
      </c>
      <c r="D32" s="239">
        <f t="shared" si="5"/>
        <v>880</v>
      </c>
      <c r="E32" s="239">
        <f t="shared" si="0"/>
        <v>4400</v>
      </c>
      <c r="F32" s="237"/>
      <c r="G32" s="241">
        <f ca="1">DATA!$D$11/1000000</f>
        <v>0.7421817220200001</v>
      </c>
      <c r="H32" s="241">
        <f>C32*DATA!$D$5/1000000</f>
        <v>5.7241802422811636</v>
      </c>
      <c r="I32" s="241">
        <f>(C32*DATA!$D$5*DATA!$D$7)/1000000</f>
        <v>0.12879405545132619</v>
      </c>
      <c r="J32" s="239">
        <f t="shared" ca="1" si="1"/>
        <v>6.5951560197524897</v>
      </c>
      <c r="K32" s="237"/>
      <c r="L32" s="239">
        <f>((D32*DATA!$D$23)/1000000)+((E32*DATA!$D$24)/1000000)</f>
        <v>7.6280159999999997</v>
      </c>
      <c r="M32" s="239">
        <f t="shared" si="2"/>
        <v>7.6280159999999997</v>
      </c>
      <c r="N32" s="239">
        <f t="shared" ca="1" si="6"/>
        <v>1.03285998024751</v>
      </c>
      <c r="O32" s="238">
        <f>1/(1+'[85]Asumsi I'!$C$3)^(KKF!A32)</f>
        <v>5.8823306552253637E-2</v>
      </c>
      <c r="P32" s="239">
        <f t="shared" ca="1" si="7"/>
        <v>6.075623924365392E-2</v>
      </c>
      <c r="Q32" s="239">
        <f ca="1">Q31+P32</f>
        <v>-18.260042179809531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" customHeight="1">
      <c r="B33" s="246"/>
      <c r="C33" s="246"/>
      <c r="D33" s="246"/>
      <c r="E33" s="246"/>
      <c r="F33" s="611" t="s">
        <v>1345</v>
      </c>
      <c r="G33" s="611"/>
      <c r="H33" s="611"/>
      <c r="I33" s="247"/>
      <c r="J33" s="248">
        <f ca="1">SUM(J7:J32)</f>
        <v>206.63215118198733</v>
      </c>
      <c r="K33" s="611" t="s">
        <v>1346</v>
      </c>
      <c r="L33" s="611"/>
      <c r="M33" s="248">
        <f>SUM(M7:M32)</f>
        <v>206.09274400000004</v>
      </c>
      <c r="N33" s="246"/>
      <c r="O33" s="246"/>
      <c r="P33" s="249"/>
      <c r="Q33" s="249"/>
      <c r="S33" s="227">
        <f ca="1">COUNTIF(S7:S32,"a")</f>
        <v>26</v>
      </c>
    </row>
    <row r="34" spans="2:22" ht="20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40.424889613952743</v>
      </c>
      <c r="V34" s="254"/>
    </row>
    <row r="35" spans="2:22" ht="20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 t="e">
        <f ca="1">AVERAGE(T7:T32)</f>
        <v>#DIV/0!</v>
      </c>
    </row>
    <row r="36" spans="2:22" ht="20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0.99738952927266278</v>
      </c>
    </row>
    <row r="37" spans="2:22" ht="20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-16.30360908911565</v>
      </c>
    </row>
    <row r="38" spans="2:22" ht="20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-1.5840749520241726E-3</v>
      </c>
    </row>
    <row r="39" spans="2:22" ht="20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4"/>
  <sheetViews>
    <sheetView showGridLines="0" zoomScale="70" zoomScaleNormal="70" zoomScaleSheetLayoutView="70" workbookViewId="0">
      <pane ySplit="13" topLeftCell="A145" activePane="bottomLeft" state="frozen"/>
      <selection activeCell="H1093" sqref="H1093"/>
      <selection pane="bottomLeft" activeCell="M154" sqref="M154"/>
    </sheetView>
  </sheetViews>
  <sheetFormatPr baseColWidth="10" defaultColWidth="9.1640625" defaultRowHeight="14"/>
  <cols>
    <col min="1" max="1" width="8.33203125" style="259" customWidth="1"/>
    <col min="2" max="2" width="5.1640625" style="260" customWidth="1"/>
    <col min="3" max="3" width="45.6640625" style="333" customWidth="1"/>
    <col min="4" max="4" width="13.6640625" style="333" customWidth="1"/>
    <col min="5" max="5" width="12.5" style="263" customWidth="1"/>
    <col min="6" max="6" width="7.6640625" style="263" customWidth="1"/>
    <col min="7" max="7" width="12.6640625" style="263" customWidth="1"/>
    <col min="8" max="8" width="18.1640625" style="264" customWidth="1"/>
    <col min="9" max="9" width="16.6640625" style="264" customWidth="1"/>
    <col min="10" max="11" width="16.6640625" style="265" customWidth="1"/>
    <col min="12" max="12" width="3.6640625" style="265" customWidth="1"/>
    <col min="13" max="13" width="14" style="265" customWidth="1"/>
    <col min="14" max="14" width="15" style="265" customWidth="1"/>
    <col min="15" max="15" width="9.1640625" style="266" customWidth="1"/>
    <col min="16" max="16" width="12.6640625" style="267" customWidth="1"/>
    <col min="17" max="17" width="12.6640625" style="266" customWidth="1"/>
    <col min="18" max="18" width="2.5" style="266" customWidth="1"/>
    <col min="19" max="22" width="10.6640625" style="266" customWidth="1"/>
    <col min="23" max="24" width="9.1640625" style="266" customWidth="1"/>
    <col min="25" max="16384" width="9.16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27" t="s">
        <v>1007</v>
      </c>
      <c r="P3" s="627"/>
      <c r="Q3" s="269"/>
      <c r="T3" s="267"/>
      <c r="U3" s="268" t="s">
        <v>1012</v>
      </c>
      <c r="V3" s="267"/>
    </row>
    <row r="4" spans="1:22" ht="15.75" customHeight="1">
      <c r="B4" s="628" t="s">
        <v>994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49" t="s">
        <v>1622</v>
      </c>
      <c r="H6" s="549"/>
      <c r="I6" s="549"/>
      <c r="J6" s="549"/>
      <c r="K6" s="549"/>
      <c r="T6" s="267"/>
      <c r="U6" s="268"/>
      <c r="V6" s="267"/>
    </row>
    <row r="7" spans="1:22" ht="15">
      <c r="C7" s="270"/>
      <c r="D7" s="262"/>
      <c r="E7" s="271" t="s">
        <v>1009</v>
      </c>
      <c r="F7" s="272" t="s">
        <v>9</v>
      </c>
      <c r="G7" s="106" t="s">
        <v>1623</v>
      </c>
      <c r="H7" s="27"/>
      <c r="I7" s="27"/>
      <c r="J7" s="107"/>
      <c r="K7" s="415"/>
      <c r="T7" s="267"/>
      <c r="U7" s="268"/>
      <c r="V7" s="267"/>
    </row>
    <row r="8" spans="1:22" ht="15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1517</v>
      </c>
      <c r="J9" s="273"/>
      <c r="T9" s="267"/>
      <c r="U9" s="268"/>
      <c r="V9" s="267"/>
    </row>
    <row r="10" spans="1:22" ht="15" thickBot="1">
      <c r="C10" s="262"/>
      <c r="D10" s="262"/>
      <c r="T10" s="267"/>
      <c r="U10" s="267"/>
      <c r="V10" s="267"/>
    </row>
    <row r="11" spans="1:22" ht="21" customHeight="1">
      <c r="B11" s="630" t="s">
        <v>0</v>
      </c>
      <c r="C11" s="632" t="s">
        <v>1</v>
      </c>
      <c r="D11" s="635" t="s">
        <v>32</v>
      </c>
      <c r="E11" s="635" t="s">
        <v>33</v>
      </c>
      <c r="F11" s="635" t="s">
        <v>2</v>
      </c>
      <c r="G11" s="637" t="s">
        <v>31</v>
      </c>
      <c r="H11" s="635" t="s">
        <v>3</v>
      </c>
      <c r="I11" s="635"/>
      <c r="J11" s="635"/>
      <c r="K11" s="642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1"/>
      <c r="C12" s="633"/>
      <c r="D12" s="636"/>
      <c r="E12" s="636"/>
      <c r="F12" s="636"/>
      <c r="G12" s="638"/>
      <c r="H12" s="640" t="s">
        <v>36</v>
      </c>
      <c r="I12" s="640" t="s">
        <v>5</v>
      </c>
      <c r="J12" s="636" t="s">
        <v>37</v>
      </c>
      <c r="K12" s="643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43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 ht="15">
      <c r="A15" s="259" t="e">
        <f>IF(AND(C15=0,#REF!=0,#REF!=0),"BLANKS",1)</f>
        <v>#REF!</v>
      </c>
      <c r="B15" s="417" t="s">
        <v>470</v>
      </c>
      <c r="C15" s="418" t="s">
        <v>1577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9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 ht="15">
      <c r="A16" s="259" t="e">
        <f>IF(AND(C16=0,#REF!=0,#REF!=0),"BLANKS",1)</f>
        <v>#REF!</v>
      </c>
      <c r="B16" s="420"/>
      <c r="C16" s="421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15">
      <c r="A17" s="259" t="e">
        <f>IF(AND(C17=0,#REF!=0,#REF!=0),"BLANKS",1)</f>
        <v>#REF!</v>
      </c>
      <c r="B17" s="419" t="s">
        <v>495</v>
      </c>
      <c r="C17" s="280" t="s">
        <v>1578</v>
      </c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401"/>
      <c r="G17" s="283">
        <f ca="1">IF(ISERROR(OFFSET('HARGA SATUAN'!$I$6,MATCH(RAB!C17,'HARGA SATUAN'!$C$7:$C$1492,0),0)),0,OFFSET('HARGA SATUAN'!$I$6,MATCH(RAB!C17,'HARGA SATUAN'!$C$7:$C$1492,0),0))</f>
        <v>0</v>
      </c>
      <c r="H17" s="284">
        <f t="shared" ref="H17:H97" ca="1" si="4">IF(OR(D17="MDU",D17="MDU-KD"),(IF($O$3="RAB NON MDU","PLN KD",G17*F17)),0)</f>
        <v>0</v>
      </c>
      <c r="I17" s="284">
        <f t="shared" ref="I17:I97" ca="1" si="5">IF(D17="HDW",G17*F17,0)</f>
        <v>0</v>
      </c>
      <c r="J17" s="284">
        <f t="shared" ref="J17:J97" ca="1" si="6">IF(D17="JASA",G17*F17,0)</f>
        <v>0</v>
      </c>
      <c r="K17" s="285">
        <f t="shared" ca="1" si="3"/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15">
      <c r="A18" s="259" t="e">
        <f>IF(AND(C18=0,#REF!=0,#REF!=0),"BLANKS",1)</f>
        <v>#REF!</v>
      </c>
      <c r="B18" s="420"/>
      <c r="C18" s="421"/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401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 ht="16">
      <c r="A19" s="259"/>
      <c r="B19" s="412" t="s">
        <v>1006</v>
      </c>
      <c r="C19" s="413" t="s">
        <v>1624</v>
      </c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3">
        <v>1</v>
      </c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93" ca="1" si="7">IF(OR(D19="MDU",D19="MDU-KD"),(IF($O$3="RAB NON MDU","PLN KD",G19*F19)),0)</f>
        <v>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 ht="16">
      <c r="A20" s="259" t="e">
        <f>IF(AND(C20=0,#REF!=0,#REF!=0),"BLANKS",1)</f>
        <v>#REF!</v>
      </c>
      <c r="B20" s="412">
        <v>1</v>
      </c>
      <c r="C20" s="416" t="s">
        <v>522</v>
      </c>
      <c r="D20" s="281" t="str">
        <f ca="1">IF(ISERROR(OFFSET('HARGA SATUAN'!$D$6,MATCH(RAB!C20,'HARGA SATUAN'!$C$7:$C$1492,0),0)),"",OFFSET('HARGA SATUAN'!$D$6,MATCH(RAB!C20,'HARGA SATUAN'!$C$7:$C$1492,0),0))</f>
        <v>MDU-KD</v>
      </c>
      <c r="E20" s="282" t="str">
        <f ca="1">IF(B20="+","Unit",IF(ISERROR(OFFSET('HARGA SATUAN'!$E$6,MATCH(RAB!C20,'HARGA SATUAN'!$C$7:$C$1492,0),0)),"",OFFSET('HARGA SATUAN'!$E$6,MATCH(RAB!C20,'HARGA SATUAN'!$C$7:$C$1492,0),0)))</f>
        <v>Bh</v>
      </c>
      <c r="F20" s="512">
        <v>1</v>
      </c>
      <c r="G20" s="283">
        <f ca="1">IF(ISERROR(OFFSET('HARGA SATUAN'!$I$6,MATCH(RAB!C20,'HARGA SATUAN'!$C$7:$C$1492,0),0)),0,OFFSET('HARGA SATUAN'!$I$6,MATCH(RAB!C20,'HARGA SATUAN'!$C$7:$C$1492,0),0))</f>
        <v>27845400</v>
      </c>
      <c r="H20" s="284">
        <f t="shared" ca="1" si="7"/>
        <v>27845400</v>
      </c>
      <c r="I20" s="284">
        <f t="shared" ca="1" si="8"/>
        <v>0</v>
      </c>
      <c r="J20" s="284">
        <f t="shared" ca="1" si="9"/>
        <v>0</v>
      </c>
      <c r="K20" s="285">
        <f t="shared" ca="1" si="10"/>
        <v>27845400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16">
      <c r="A21" s="259" t="e">
        <f>IF(AND(C21=0,C22=0,#REF!=0),"BLANKS",1)</f>
        <v>#REF!</v>
      </c>
      <c r="B21" s="422">
        <v>2</v>
      </c>
      <c r="C21" s="416" t="s">
        <v>1514</v>
      </c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512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ca="1" si="7"/>
        <v>0</v>
      </c>
      <c r="I21" s="284">
        <f t="shared" ca="1" si="8"/>
        <v>0</v>
      </c>
      <c r="J21" s="284">
        <f t="shared" ca="1" si="9"/>
        <v>0</v>
      </c>
      <c r="K21" s="285">
        <f t="shared" ca="1" si="10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16">
      <c r="A22" s="259" t="e">
        <f>IF(AND(C22=0,#REF!=0,#REF!=0),"BLANKS",1)</f>
        <v>#REF!</v>
      </c>
      <c r="B22" s="422"/>
      <c r="C22" s="416" t="s">
        <v>55</v>
      </c>
      <c r="D22" s="281" t="str">
        <f ca="1">IF(ISERROR(OFFSET('HARGA SATUAN'!$D$6,MATCH(RAB!C22,'HARGA SATUAN'!$C$7:$C$1492,0),0)),"",OFFSET('HARGA SATUAN'!$D$6,MATCH(RAB!C22,'HARGA SATUAN'!$C$7:$C$1492,0),0))</f>
        <v>MDU-KD</v>
      </c>
      <c r="E22" s="282" t="str">
        <f ca="1">IF(B22="+","Unit",IF(ISERROR(OFFSET('HARGA SATUAN'!$E$6,MATCH(RAB!C22,'HARGA SATUAN'!$C$7:$C$1492,0),0)),"",OFFSET('HARGA SATUAN'!$E$6,MATCH(RAB!C22,'HARGA SATUAN'!$C$7:$C$1492,0),0)))</f>
        <v>Mtr</v>
      </c>
      <c r="F22" s="512">
        <v>2</v>
      </c>
      <c r="G22" s="283">
        <f ca="1">IF(ISERROR(OFFSET('HARGA SATUAN'!$I$6,MATCH(RAB!C22,'HARGA SATUAN'!$C$7:$C$1492,0),0)),0,OFFSET('HARGA SATUAN'!$I$6,MATCH(RAB!C22,'HARGA SATUAN'!$C$7:$C$1492,0),0))</f>
        <v>14200</v>
      </c>
      <c r="H22" s="284">
        <f t="shared" ca="1" si="7"/>
        <v>28400</v>
      </c>
      <c r="I22" s="284">
        <f t="shared" ca="1" si="8"/>
        <v>0</v>
      </c>
      <c r="J22" s="284">
        <f t="shared" ca="1" si="9"/>
        <v>0</v>
      </c>
      <c r="K22" s="285">
        <f t="shared" ca="1" si="10"/>
        <v>28400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 ht="16">
      <c r="A23" s="259"/>
      <c r="B23" s="412"/>
      <c r="C23" s="416" t="s">
        <v>1625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512">
        <v>2</v>
      </c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7"/>
        <v>0</v>
      </c>
      <c r="I23" s="284">
        <f t="shared" ca="1" si="8"/>
        <v>0</v>
      </c>
      <c r="J23" s="284">
        <f t="shared" ca="1" si="9"/>
        <v>0</v>
      </c>
      <c r="K23" s="285">
        <f t="shared" ca="1" si="10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16">
      <c r="A24" s="259">
        <f t="shared" ref="A24:A26" si="11">IF(AND(C24=0,C25=0,C26=0),"BLANKS",1)</f>
        <v>1</v>
      </c>
      <c r="B24" s="412">
        <v>3</v>
      </c>
      <c r="C24" s="416" t="s">
        <v>197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512">
        <v>1</v>
      </c>
      <c r="G24" s="283">
        <f ca="1">IF(ISERROR(OFFSET('HARGA SATUAN'!$I$6,MATCH(RAB!C24,'HARGA SATUAN'!$C$7:$C$1492,0),0)),0,OFFSET('HARGA SATUAN'!$I$6,MATCH(RAB!C24,'HARGA SATUAN'!$C$7:$C$1492,0),0))</f>
        <v>87000</v>
      </c>
      <c r="H24" s="284">
        <f t="shared" ca="1" si="7"/>
        <v>0</v>
      </c>
      <c r="I24" s="284">
        <f t="shared" ca="1" si="8"/>
        <v>87000</v>
      </c>
      <c r="J24" s="284">
        <f t="shared" ca="1" si="9"/>
        <v>0</v>
      </c>
      <c r="K24" s="285">
        <f t="shared" ca="1" si="10"/>
        <v>87000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 ht="16">
      <c r="A25" s="259">
        <f t="shared" si="11"/>
        <v>1</v>
      </c>
      <c r="B25" s="412">
        <v>4</v>
      </c>
      <c r="C25" s="416" t="s">
        <v>166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12">
        <v>2</v>
      </c>
      <c r="G25" s="283">
        <f ca="1">IF(ISERROR(OFFSET('HARGA SATUAN'!$I$6,MATCH(RAB!C25,'HARGA SATUAN'!$C$7:$C$1492,0),0)),0,OFFSET('HARGA SATUAN'!$I$6,MATCH(RAB!C25,'HARGA SATUAN'!$C$7:$C$1492,0),0))</f>
        <v>404600</v>
      </c>
      <c r="H25" s="284">
        <f t="shared" ca="1" si="7"/>
        <v>0</v>
      </c>
      <c r="I25" s="284">
        <f t="shared" ca="1" si="8"/>
        <v>809200</v>
      </c>
      <c r="J25" s="284">
        <f t="shared" ca="1" si="9"/>
        <v>0</v>
      </c>
      <c r="K25" s="285">
        <f t="shared" ca="1" si="10"/>
        <v>809200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 ht="16">
      <c r="A26" s="259">
        <f t="shared" si="11"/>
        <v>1</v>
      </c>
      <c r="B26" s="412">
        <v>5</v>
      </c>
      <c r="C26" s="416" t="s">
        <v>174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512">
        <v>3</v>
      </c>
      <c r="G26" s="283">
        <f ca="1">IF(ISERROR(OFFSET('HARGA SATUAN'!$I$6,MATCH(RAB!C26,'HARGA SATUAN'!$C$7:$C$1492,0),0)),0,OFFSET('HARGA SATUAN'!$I$6,MATCH(RAB!C26,'HARGA SATUAN'!$C$7:$C$1492,0),0))</f>
        <v>15900</v>
      </c>
      <c r="H26" s="284">
        <f t="shared" ca="1" si="7"/>
        <v>0</v>
      </c>
      <c r="I26" s="284">
        <f t="shared" ca="1" si="8"/>
        <v>47700</v>
      </c>
      <c r="J26" s="284">
        <f t="shared" ca="1" si="9"/>
        <v>0</v>
      </c>
      <c r="K26" s="285">
        <f t="shared" ca="1" si="10"/>
        <v>47700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 ht="16">
      <c r="A27" s="259" t="e">
        <f>IF(AND(C27=0,C28=0,#REF!=0),"BLANKS",1)</f>
        <v>#REF!</v>
      </c>
      <c r="B27" s="412">
        <v>6</v>
      </c>
      <c r="C27" s="416" t="s">
        <v>177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12">
        <v>2</v>
      </c>
      <c r="G27" s="283">
        <f ca="1">IF(ISERROR(OFFSET('HARGA SATUAN'!$I$6,MATCH(RAB!C27,'HARGA SATUAN'!$C$7:$C$1492,0),0)),0,OFFSET('HARGA SATUAN'!$I$6,MATCH(RAB!C27,'HARGA SATUAN'!$C$7:$C$1492,0),0))</f>
        <v>17100</v>
      </c>
      <c r="H27" s="284">
        <f t="shared" ca="1" si="7"/>
        <v>0</v>
      </c>
      <c r="I27" s="284">
        <f t="shared" ca="1" si="8"/>
        <v>34200</v>
      </c>
      <c r="J27" s="284">
        <f t="shared" ca="1" si="9"/>
        <v>0</v>
      </c>
      <c r="K27" s="285">
        <f t="shared" ca="1" si="10"/>
        <v>34200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16">
      <c r="A28" s="259" t="e">
        <f>IF(AND(C28=0,#REF!=0,#REF!=0),"BLANKS",1)</f>
        <v>#REF!</v>
      </c>
      <c r="B28" s="412">
        <v>7</v>
      </c>
      <c r="C28" s="416" t="s">
        <v>571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512">
        <v>4</v>
      </c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7"/>
        <v>0</v>
      </c>
      <c r="I28" s="284">
        <f t="shared" ca="1" si="8"/>
        <v>0</v>
      </c>
      <c r="J28" s="284">
        <f t="shared" ca="1" si="9"/>
        <v>0</v>
      </c>
      <c r="K28" s="285">
        <f t="shared" ca="1" si="10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 ht="16">
      <c r="A29" s="259">
        <f t="shared" ref="A29:A31" si="12">IF(AND(C29=0,C30=0,C31=0),"BLANKS",1)</f>
        <v>1</v>
      </c>
      <c r="B29" s="412">
        <v>8</v>
      </c>
      <c r="C29" s="416" t="s">
        <v>139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Set</v>
      </c>
      <c r="F29" s="512">
        <v>1</v>
      </c>
      <c r="G29" s="283">
        <f ca="1">IF(ISERROR(OFFSET('HARGA SATUAN'!$I$6,MATCH(RAB!C29,'HARGA SATUAN'!$C$7:$C$1492,0),0)),0,OFFSET('HARGA SATUAN'!$I$6,MATCH(RAB!C29,'HARGA SATUAN'!$C$7:$C$1492,0),0))</f>
        <v>67800</v>
      </c>
      <c r="H29" s="284">
        <f t="shared" ca="1" si="7"/>
        <v>0</v>
      </c>
      <c r="I29" s="284">
        <f t="shared" ca="1" si="8"/>
        <v>67800</v>
      </c>
      <c r="J29" s="284">
        <f t="shared" ca="1" si="9"/>
        <v>0</v>
      </c>
      <c r="K29" s="285">
        <f t="shared" ca="1" si="10"/>
        <v>67800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16">
      <c r="A30" s="259">
        <f t="shared" si="12"/>
        <v>1</v>
      </c>
      <c r="B30" s="412">
        <v>9</v>
      </c>
      <c r="C30" s="416" t="s">
        <v>22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Mtr</v>
      </c>
      <c r="F30" s="512">
        <v>2</v>
      </c>
      <c r="G30" s="283">
        <f ca="1">IF(ISERROR(OFFSET('HARGA SATUAN'!$I$6,MATCH(RAB!C30,'HARGA SATUAN'!$C$7:$C$1492,0),0)),0,OFFSET('HARGA SATUAN'!$I$6,MATCH(RAB!C30,'HARGA SATUAN'!$C$7:$C$1492,0),0))</f>
        <v>30000</v>
      </c>
      <c r="H30" s="284">
        <f t="shared" ca="1" si="7"/>
        <v>0</v>
      </c>
      <c r="I30" s="284">
        <f t="shared" ca="1" si="8"/>
        <v>60000</v>
      </c>
      <c r="J30" s="284">
        <f t="shared" ca="1" si="9"/>
        <v>0</v>
      </c>
      <c r="K30" s="285">
        <f t="shared" ca="1" si="10"/>
        <v>60000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 ht="16">
      <c r="A31" s="259">
        <f t="shared" si="12"/>
        <v>1</v>
      </c>
      <c r="B31" s="412">
        <v>10</v>
      </c>
      <c r="C31" s="416" t="s">
        <v>772</v>
      </c>
      <c r="D31" s="281" t="str">
        <f ca="1">IF(ISERROR(OFFSET('HARGA SATUAN'!$D$6,MATCH(RAB!C31,'HARGA SATUAN'!$C$7:$C$1492,0),0)),"",OFFSET('HARGA SATUAN'!$D$6,MATCH(RAB!C31,'HARGA SATUAN'!$C$7:$C$1492,0),0))</f>
        <v>JASA</v>
      </c>
      <c r="E31" s="282" t="str">
        <f ca="1">IF(B31="+","Unit",IF(ISERROR(OFFSET('HARGA SATUAN'!$E$6,MATCH(RAB!C31,'HARGA SATUAN'!$C$7:$C$1492,0),0)),"",OFFSET('HARGA SATUAN'!$E$6,MATCH(RAB!C31,'HARGA SATUAN'!$C$7:$C$1492,0),0)))</f>
        <v>Unit</v>
      </c>
      <c r="F31" s="512">
        <v>1</v>
      </c>
      <c r="G31" s="283">
        <f ca="1">IF(ISERROR(OFFSET('HARGA SATUAN'!$I$6,MATCH(RAB!C31,'HARGA SATUAN'!$C$7:$C$1492,0),0)),0,OFFSET('HARGA SATUAN'!$I$6,MATCH(RAB!C31,'HARGA SATUAN'!$C$7:$C$1492,0),0))</f>
        <v>346400</v>
      </c>
      <c r="H31" s="284">
        <f t="shared" ca="1" si="7"/>
        <v>0</v>
      </c>
      <c r="I31" s="284">
        <f t="shared" ca="1" si="8"/>
        <v>0</v>
      </c>
      <c r="J31" s="284">
        <f t="shared" ca="1" si="9"/>
        <v>346400</v>
      </c>
      <c r="K31" s="285">
        <f t="shared" ca="1" si="10"/>
        <v>346400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 ht="15">
      <c r="A32" s="259" t="e">
        <f>IF(AND(C32=0,C33=0,#REF!=0),"BLANKS",1)</f>
        <v>#REF!</v>
      </c>
      <c r="B32" s="412"/>
      <c r="C32" s="416"/>
      <c r="D32" s="281" t="str">
        <f ca="1">IF(ISERROR(OFFSET('HARGA SATUAN'!$D$6,MATCH(RAB!C32,'HARGA SATUAN'!$C$7:$C$1492,0),0)),"",OFFSET('HARGA SATUAN'!$D$6,MATCH(RAB!C32,'HARGA SATUAN'!$C$7:$C$1492,0),0))</f>
        <v/>
      </c>
      <c r="E32" s="282" t="str">
        <f ca="1">IF(B32="+","Unit",IF(ISERROR(OFFSET('HARGA SATUAN'!$E$6,MATCH(RAB!C32,'HARGA SATUAN'!$C$7:$C$1492,0),0)),"",OFFSET('HARGA SATUAN'!$E$6,MATCH(RAB!C32,'HARGA SATUAN'!$C$7:$C$1492,0),0)))</f>
        <v/>
      </c>
      <c r="F32" s="512"/>
      <c r="G32" s="283">
        <f ca="1">IF(ISERROR(OFFSET('HARGA SATUAN'!$I$6,MATCH(RAB!C32,'HARGA SATUAN'!$C$7:$C$1492,0),0)),0,OFFSET('HARGA SATUAN'!$I$6,MATCH(RAB!C32,'HARGA SATUAN'!$C$7:$C$1492,0),0))</f>
        <v>0</v>
      </c>
      <c r="H32" s="284">
        <f t="shared" ca="1" si="7"/>
        <v>0</v>
      </c>
      <c r="I32" s="284">
        <f t="shared" ca="1" si="8"/>
        <v>0</v>
      </c>
      <c r="J32" s="284">
        <f t="shared" ca="1" si="9"/>
        <v>0</v>
      </c>
      <c r="K32" s="285">
        <f t="shared" ca="1" si="10"/>
        <v>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15">
      <c r="A33" s="259" t="e">
        <f>IF(AND(C33=0,#REF!=0,#REF!=0),"BLANKS",1)</f>
        <v>#REF!</v>
      </c>
      <c r="B33" s="422" t="s">
        <v>1006</v>
      </c>
      <c r="C33" s="423" t="s">
        <v>1515</v>
      </c>
      <c r="D33" s="281" t="str">
        <f ca="1">IF(ISERROR(OFFSET('HARGA SATUAN'!$D$6,MATCH(RAB!C33,'HARGA SATUAN'!$C$7:$C$1492,0),0)),"",OFFSET('HARGA SATUAN'!$D$6,MATCH(RAB!C33,'HARGA SATUAN'!$C$7:$C$1492,0),0))</f>
        <v/>
      </c>
      <c r="E33" s="282" t="str">
        <f ca="1">IF(B33="+","Unit",IF(ISERROR(OFFSET('HARGA SATUAN'!$E$6,MATCH(RAB!C33,'HARGA SATUAN'!$C$7:$C$1492,0),0)),"",OFFSET('HARGA SATUAN'!$E$6,MATCH(RAB!C33,'HARGA SATUAN'!$C$7:$C$1492,0),0)))</f>
        <v>Unit</v>
      </c>
      <c r="F33" s="390">
        <v>2</v>
      </c>
      <c r="G33" s="283">
        <f ca="1">IF(ISERROR(OFFSET('HARGA SATUAN'!$I$6,MATCH(RAB!C33,'HARGA SATUAN'!$C$7:$C$1492,0),0)),0,OFFSET('HARGA SATUAN'!$I$6,MATCH(RAB!C33,'HARGA SATUAN'!$C$7:$C$1492,0),0))</f>
        <v>0</v>
      </c>
      <c r="H33" s="284">
        <f t="shared" ca="1" si="7"/>
        <v>0</v>
      </c>
      <c r="I33" s="284">
        <f t="shared" ca="1" si="8"/>
        <v>0</v>
      </c>
      <c r="J33" s="284">
        <f t="shared" ca="1" si="9"/>
        <v>0</v>
      </c>
      <c r="K33" s="285">
        <f t="shared" ca="1" si="10"/>
        <v>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16">
      <c r="A34" s="259"/>
      <c r="B34" s="422">
        <v>1</v>
      </c>
      <c r="C34" s="424" t="s">
        <v>19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0">
        <v>2</v>
      </c>
      <c r="G34" s="400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 ht="16">
      <c r="A35" s="259">
        <f>IF(AND(C35=0,C40=0,C41=0),"BLANKS",1)</f>
        <v>1</v>
      </c>
      <c r="B35" s="412">
        <v>2</v>
      </c>
      <c r="C35" s="413" t="s">
        <v>20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0">
        <v>2</v>
      </c>
      <c r="G35" s="283">
        <f ca="1">IF(ISERROR(OFFSET('HARGA SATUAN'!$I$6,MATCH(RAB!C35,'HARGA SATUAN'!$C$7:$C$1492,0),0)),0,OFFSET('HARGA SATUAN'!$I$6,MATCH(RAB!C35,'HARGA SATUAN'!$C$7:$C$1492,0),0))</f>
        <v>47459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94918</v>
      </c>
      <c r="J35" s="284">
        <f t="shared" ref="J35:J36" ca="1" si="15">IF(D35="JASA",G35*F35,0)</f>
        <v>0</v>
      </c>
      <c r="K35" s="285">
        <f t="shared" ref="K35:K36" ca="1" si="16">SUM(H35:J35)</f>
        <v>94918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 ht="16">
      <c r="A36" s="259" t="e">
        <f>IF(AND(C36=0,#REF!=0,#REF!=0),"BLANKS",1)</f>
        <v>#REF!</v>
      </c>
      <c r="B36" s="412">
        <v>3</v>
      </c>
      <c r="C36" s="413" t="s">
        <v>21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0">
        <v>2</v>
      </c>
      <c r="G36" s="283">
        <f ca="1">IF(ISERROR(OFFSET('HARGA SATUAN'!$I$6,MATCH(RAB!C36,'HARGA SATUAN'!$C$7:$C$1492,0),0)),0,OFFSET('HARGA SATUAN'!$I$6,MATCH(RAB!C36,'HARGA SATUAN'!$C$7:$C$1492,0),0))</f>
        <v>4880</v>
      </c>
      <c r="H36" s="284">
        <f t="shared" ca="1" si="13"/>
        <v>0</v>
      </c>
      <c r="I36" s="284">
        <f t="shared" ca="1" si="14"/>
        <v>9760</v>
      </c>
      <c r="J36" s="284">
        <f t="shared" ca="1" si="15"/>
        <v>0</v>
      </c>
      <c r="K36" s="285">
        <f t="shared" ca="1" si="16"/>
        <v>9760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 ht="16">
      <c r="A37" s="259">
        <f t="shared" ref="A37:A39" si="17">IF(AND(C37=0,C38=0,C39=0),"BLANKS",1)</f>
        <v>1</v>
      </c>
      <c r="B37" s="412">
        <v>4</v>
      </c>
      <c r="C37" s="413" t="s">
        <v>22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Mtr</v>
      </c>
      <c r="F37" s="390">
        <v>20</v>
      </c>
      <c r="G37" s="283">
        <f ca="1">IF(ISERROR(OFFSET('HARGA SATUAN'!$I$6,MATCH(RAB!C37,'HARGA SATUAN'!$C$7:$C$1492,0),0)),0,OFFSET('HARGA SATUAN'!$I$6,MATCH(RAB!C37,'HARGA SATUAN'!$C$7:$C$1492,0),0))</f>
        <v>30000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600000</v>
      </c>
      <c r="J37" s="284">
        <f t="shared" ref="J37:J50" ca="1" si="20">IF(D37="JASA",G37*F37,0)</f>
        <v>0</v>
      </c>
      <c r="K37" s="285">
        <f t="shared" ref="K37:K50" ca="1" si="21">SUM(H37:J37)</f>
        <v>600000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 ht="16">
      <c r="A38" s="259">
        <f t="shared" si="17"/>
        <v>1</v>
      </c>
      <c r="B38" s="412">
        <v>5</v>
      </c>
      <c r="C38" s="413" t="s">
        <v>23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0">
        <v>4</v>
      </c>
      <c r="G38" s="283">
        <f ca="1">IF(ISERROR(OFFSET('HARGA SATUAN'!$I$6,MATCH(RAB!C38,'HARGA SATUAN'!$C$7:$C$1492,0),0)),0,OFFSET('HARGA SATUAN'!$I$6,MATCH(RAB!C38,'HARGA SATUAN'!$C$7:$C$1492,0),0))</f>
        <v>9500</v>
      </c>
      <c r="H38" s="284">
        <f t="shared" ca="1" si="18"/>
        <v>0</v>
      </c>
      <c r="I38" s="284">
        <f t="shared" ca="1" si="19"/>
        <v>38000</v>
      </c>
      <c r="J38" s="284">
        <f t="shared" ca="1" si="20"/>
        <v>0</v>
      </c>
      <c r="K38" s="285">
        <f t="shared" ca="1" si="21"/>
        <v>38000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 ht="16">
      <c r="A39" s="259">
        <f t="shared" si="17"/>
        <v>1</v>
      </c>
      <c r="B39" s="412">
        <v>6</v>
      </c>
      <c r="C39" s="413" t="s">
        <v>24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390">
        <v>11</v>
      </c>
      <c r="G39" s="283">
        <f ca="1">IF(ISERROR(OFFSET('HARGA SATUAN'!$I$6,MATCH(RAB!C39,'HARGA SATUAN'!$C$7:$C$1492,0),0)),0,OFFSET('HARGA SATUAN'!$I$6,MATCH(RAB!C39,'HARGA SATUAN'!$C$7:$C$1492,0),0))</f>
        <v>6100</v>
      </c>
      <c r="H39" s="284">
        <f t="shared" ca="1" si="18"/>
        <v>0</v>
      </c>
      <c r="I39" s="284">
        <f t="shared" ca="1" si="19"/>
        <v>67100</v>
      </c>
      <c r="J39" s="284">
        <f t="shared" ca="1" si="20"/>
        <v>0</v>
      </c>
      <c r="K39" s="285">
        <f t="shared" ca="1" si="21"/>
        <v>67100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16">
      <c r="A40" s="259">
        <f>IF(AND(C40=0,C41=0,C59=0),"BLANKS",1)</f>
        <v>1</v>
      </c>
      <c r="B40" s="412">
        <v>7</v>
      </c>
      <c r="C40" s="413" t="s">
        <v>25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390">
        <v>12</v>
      </c>
      <c r="G40" s="283">
        <f ca="1">IF(ISERROR(OFFSET('HARGA SATUAN'!$I$6,MATCH(RAB!C40,'HARGA SATUAN'!$C$7:$C$1492,0),0)),0,OFFSET('HARGA SATUAN'!$I$6,MATCH(RAB!C40,'HARGA SATUAN'!$C$7:$C$1492,0),0))</f>
        <v>2300</v>
      </c>
      <c r="H40" s="284">
        <f t="shared" ca="1" si="18"/>
        <v>0</v>
      </c>
      <c r="I40" s="284">
        <f t="shared" ca="1" si="19"/>
        <v>27600</v>
      </c>
      <c r="J40" s="284">
        <f t="shared" ca="1" si="20"/>
        <v>0</v>
      </c>
      <c r="K40" s="285">
        <f t="shared" ca="1" si="21"/>
        <v>27600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6">
      <c r="A41" s="259" t="e">
        <f>IF(AND(C41=0,C59=0,#REF!=0),"BLANKS",1)</f>
        <v>#REF!</v>
      </c>
      <c r="B41" s="412">
        <v>8</v>
      </c>
      <c r="C41" s="413" t="s">
        <v>1516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Mtr</v>
      </c>
      <c r="F41" s="390">
        <v>9.6</v>
      </c>
      <c r="G41" s="283">
        <f ca="1">IF(ISERROR(OFFSET('HARGA SATUAN'!$I$6,MATCH(RAB!C41,'HARGA SATUAN'!$C$7:$C$1492,0),0)),0,OFFSET('HARGA SATUAN'!$I$6,MATCH(RAB!C41,'HARGA SATUAN'!$C$7:$C$1492,0),0))</f>
        <v>23310</v>
      </c>
      <c r="H41" s="284">
        <f t="shared" ca="1" si="18"/>
        <v>0</v>
      </c>
      <c r="I41" s="284">
        <f t="shared" ca="1" si="19"/>
        <v>223776</v>
      </c>
      <c r="J41" s="284">
        <f t="shared" ca="1" si="20"/>
        <v>0</v>
      </c>
      <c r="K41" s="285">
        <f t="shared" ca="1" si="21"/>
        <v>223776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 ht="16">
      <c r="A42" s="259"/>
      <c r="B42" s="412">
        <v>9</v>
      </c>
      <c r="C42" s="413" t="s">
        <v>727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390">
        <v>2</v>
      </c>
      <c r="G42" s="283">
        <f ca="1">IF(ISERROR(OFFSET('HARGA SATUAN'!$I$6,MATCH(RAB!C42,'HARGA SATUAN'!$C$7:$C$1492,0),0)),0,OFFSET('HARGA SATUAN'!$I$6,MATCH(RAB!C42,'HARGA SATUAN'!$C$7:$C$1492,0),0))</f>
        <v>65400</v>
      </c>
      <c r="H42" s="284">
        <f t="shared" ca="1" si="18"/>
        <v>0</v>
      </c>
      <c r="I42" s="284">
        <f t="shared" ca="1" si="19"/>
        <v>0</v>
      </c>
      <c r="J42" s="284">
        <f t="shared" ca="1" si="20"/>
        <v>130800</v>
      </c>
      <c r="K42" s="285">
        <f t="shared" ca="1" si="21"/>
        <v>130800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 ht="15">
      <c r="A43" s="259" t="str">
        <f t="shared" ref="A43:A45" si="22">IF(AND(C43=0,C44=0,C45=0),"BLANKS",1)</f>
        <v>BLANKS</v>
      </c>
      <c r="B43" s="412"/>
      <c r="C43" s="413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512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ca="1" si="18"/>
        <v>0</v>
      </c>
      <c r="I43" s="284">
        <f t="shared" ca="1" si="19"/>
        <v>0</v>
      </c>
      <c r="J43" s="284">
        <f t="shared" ca="1" si="20"/>
        <v>0</v>
      </c>
      <c r="K43" s="285">
        <f t="shared" ca="1" si="21"/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5">
      <c r="A44" s="259" t="str">
        <f t="shared" si="22"/>
        <v>BLANKS</v>
      </c>
      <c r="B44" s="412"/>
      <c r="C44" s="416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512"/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18"/>
        <v>0</v>
      </c>
      <c r="I44" s="284">
        <f t="shared" ca="1" si="19"/>
        <v>0</v>
      </c>
      <c r="J44" s="284">
        <f t="shared" ca="1" si="20"/>
        <v>0</v>
      </c>
      <c r="K44" s="285">
        <f t="shared" ca="1" si="21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 ht="15">
      <c r="A45" s="259" t="str">
        <f t="shared" si="22"/>
        <v>BLANKS</v>
      </c>
      <c r="B45" s="293"/>
      <c r="C45" s="294"/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401"/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18"/>
        <v>0</v>
      </c>
      <c r="I45" s="284">
        <f t="shared" ca="1" si="19"/>
        <v>0</v>
      </c>
      <c r="J45" s="284">
        <f t="shared" ca="1" si="20"/>
        <v>0</v>
      </c>
      <c r="K45" s="285">
        <f t="shared" ca="1" si="21"/>
        <v>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 ht="15">
      <c r="A46" s="259" t="e">
        <f>IF(AND(C46=0,C47=0,#REF!=0),"BLANKS",1)</f>
        <v>#REF!</v>
      </c>
      <c r="B46" s="293"/>
      <c r="C46" s="294"/>
      <c r="D46" s="281" t="str">
        <f ca="1">IF(ISERROR(OFFSET('HARGA SATUAN'!$D$6,MATCH(RAB!C46,'HARGA SATUAN'!$C$7:$C$1492,0),0)),"",OFFSET('HARGA SATUAN'!$D$6,MATCH(RAB!C46,'HARGA SATUAN'!$C$7:$C$1492,0),0))</f>
        <v/>
      </c>
      <c r="E46" s="282" t="str">
        <f ca="1">IF(B46="+","Unit",IF(ISERROR(OFFSET('HARGA SATUAN'!$E$6,MATCH(RAB!C46,'HARGA SATUAN'!$C$7:$C$1492,0),0)),"",OFFSET('HARGA SATUAN'!$E$6,MATCH(RAB!C46,'HARGA SATUAN'!$C$7:$C$1492,0),0)))</f>
        <v/>
      </c>
      <c r="F46" s="401"/>
      <c r="G46" s="283">
        <f ca="1">IF(ISERROR(OFFSET('HARGA SATUAN'!$I$6,MATCH(RAB!C46,'HARGA SATUAN'!$C$7:$C$1492,0),0)),0,OFFSET('HARGA SATUAN'!$I$6,MATCH(RAB!C46,'HARGA SATUAN'!$C$7:$C$1492,0),0))</f>
        <v>0</v>
      </c>
      <c r="H46" s="284">
        <f t="shared" ca="1" si="18"/>
        <v>0</v>
      </c>
      <c r="I46" s="284">
        <f t="shared" ca="1" si="19"/>
        <v>0</v>
      </c>
      <c r="J46" s="284">
        <f t="shared" ca="1" si="20"/>
        <v>0</v>
      </c>
      <c r="K46" s="285">
        <f t="shared" ca="1" si="21"/>
        <v>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 ht="15">
      <c r="A47" s="259" t="e">
        <f>IF(AND(C47=0,#REF!=0,C59=0),"BLANKS",1)</f>
        <v>#REF!</v>
      </c>
      <c r="B47" s="293"/>
      <c r="C47" s="294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401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8"/>
        <v>0</v>
      </c>
      <c r="I47" s="284">
        <f t="shared" ca="1" si="19"/>
        <v>0</v>
      </c>
      <c r="J47" s="284">
        <f t="shared" ca="1" si="20"/>
        <v>0</v>
      </c>
      <c r="K47" s="285">
        <f t="shared" ca="1" si="21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 ht="15">
      <c r="A48" s="259" t="e">
        <f>IF(AND(C48=0,C49=0,#REF!=0),"BLANKS",1)</f>
        <v>#REF!</v>
      </c>
      <c r="B48" s="408" t="s">
        <v>514</v>
      </c>
      <c r="C48" s="409" t="s">
        <v>1579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/>
      </c>
      <c r="F48" s="401"/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8"/>
        <v>0</v>
      </c>
      <c r="I48" s="284">
        <f t="shared" ca="1" si="19"/>
        <v>0</v>
      </c>
      <c r="J48" s="284">
        <f t="shared" ca="1" si="20"/>
        <v>0</v>
      </c>
      <c r="K48" s="285">
        <f t="shared" ca="1" si="21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 ht="15">
      <c r="A49" s="259" t="e">
        <f>IF(AND(C49=0,#REF!=0,#REF!=0),"BLANKS",1)</f>
        <v>#REF!</v>
      </c>
      <c r="B49" s="408"/>
      <c r="C49" s="409"/>
      <c r="D49" s="281" t="str">
        <f ca="1">IF(ISERROR(OFFSET('HARGA SATUAN'!$D$6,MATCH(RAB!C49,'HARGA SATUAN'!$C$7:$C$1492,0),0)),"",OFFSET('HARGA SATUAN'!$D$6,MATCH(RAB!C49,'HARGA SATUAN'!$C$7:$C$1492,0),0))</f>
        <v/>
      </c>
      <c r="E49" s="282" t="str">
        <f ca="1">IF(B49="+","Unit",IF(ISERROR(OFFSET('HARGA SATUAN'!$E$6,MATCH(RAB!C49,'HARGA SATUAN'!$C$7:$C$1492,0),0)),"",OFFSET('HARGA SATUAN'!$E$6,MATCH(RAB!C49,'HARGA SATUAN'!$C$7:$C$1492,0),0)))</f>
        <v/>
      </c>
      <c r="F49" s="401"/>
      <c r="G49" s="283">
        <f ca="1">IF(ISERROR(OFFSET('HARGA SATUAN'!$I$6,MATCH(RAB!C49,'HARGA SATUAN'!$C$7:$C$1492,0),0)),0,OFFSET('HARGA SATUAN'!$I$6,MATCH(RAB!C49,'HARGA SATUAN'!$C$7:$C$1492,0),0))</f>
        <v>0</v>
      </c>
      <c r="H49" s="284">
        <f t="shared" ca="1" si="18"/>
        <v>0</v>
      </c>
      <c r="I49" s="284">
        <f t="shared" ca="1" si="19"/>
        <v>0</v>
      </c>
      <c r="J49" s="284">
        <f t="shared" ca="1" si="20"/>
        <v>0</v>
      </c>
      <c r="K49" s="285">
        <f t="shared" ca="1" si="21"/>
        <v>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15">
      <c r="A50" s="259" t="b">
        <f ca="1">F50=G51</f>
        <v>1</v>
      </c>
      <c r="B50" s="293"/>
      <c r="C50" s="109"/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/>
      </c>
      <c r="F50" s="401"/>
      <c r="G50" s="283">
        <f ca="1">IF(ISERROR(OFFSET('HARGA SATUAN'!$I$6,MATCH(RAB!C50,'HARGA SATUAN'!$C$7:$C$1492,0),0)),0,OFFSET('HARGA SATUAN'!$I$6,MATCH(RAB!C50,'HARGA SATUAN'!$C$7:$C$1492,0),0))</f>
        <v>0</v>
      </c>
      <c r="H50" s="284">
        <f t="shared" ca="1" si="18"/>
        <v>0</v>
      </c>
      <c r="I50" s="284">
        <f t="shared" ca="1" si="19"/>
        <v>0</v>
      </c>
      <c r="J50" s="284">
        <f t="shared" ca="1" si="20"/>
        <v>0</v>
      </c>
      <c r="K50" s="285">
        <f t="shared" ca="1" si="21"/>
        <v>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 ht="15">
      <c r="A51" s="259">
        <f t="shared" ref="A51:A53" si="23">IF(AND(C51=0,C52=0,C53=0),"BLANKS",1)</f>
        <v>1</v>
      </c>
      <c r="B51" s="293"/>
      <c r="C51" s="294"/>
      <c r="D51" s="281" t="str">
        <f ca="1">IF(ISERROR(OFFSET('HARGA SATUAN'!$D$6,MATCH(RAB!C51,'HARGA SATUAN'!$C$7:$C$1492,0),0)),"",OFFSET('HARGA SATUAN'!$D$6,MATCH(RAB!C51,'HARGA SATUAN'!$C$7:$C$1492,0),0))</f>
        <v/>
      </c>
      <c r="E51" s="282" t="str">
        <f ca="1">IF(B51="+","Unit",IF(ISERROR(OFFSET('HARGA SATUAN'!$E$6,MATCH(RAB!C51,'HARGA SATUAN'!$C$7:$C$1492,0),0)),"",OFFSET('HARGA SATUAN'!$E$6,MATCH(RAB!C51,'HARGA SATUAN'!$C$7:$C$1492,0),0)))</f>
        <v/>
      </c>
      <c r="F51" s="401"/>
      <c r="G51" s="283">
        <f ca="1">IF(ISERROR(OFFSET('HARGA SATUAN'!$I$6,MATCH(RAB!C51,'HARGA SATUAN'!$C$7:$C$1492,0),0)),0,OFFSET('HARGA SATUAN'!$I$6,MATCH(RAB!C51,'HARGA SATUAN'!$C$7:$C$1492,0),0))</f>
        <v>0</v>
      </c>
      <c r="H51" s="284">
        <f t="shared" ca="1" si="7"/>
        <v>0</v>
      </c>
      <c r="I51" s="284">
        <f t="shared" ca="1" si="8"/>
        <v>0</v>
      </c>
      <c r="J51" s="284">
        <f t="shared" ca="1" si="9"/>
        <v>0</v>
      </c>
      <c r="K51" s="285">
        <f t="shared" ca="1" si="10"/>
        <v>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 ht="15">
      <c r="A52" s="259">
        <f t="shared" si="23"/>
        <v>1</v>
      </c>
      <c r="B52" s="293"/>
      <c r="C52" s="294"/>
      <c r="D52" s="281" t="str">
        <f ca="1">IF(ISERROR(OFFSET('HARGA SATUAN'!$D$6,MATCH(RAB!C52,'HARGA SATUAN'!$C$7:$C$1492,0),0)),"",OFFSET('HARGA SATUAN'!$D$6,MATCH(RAB!C52,'HARGA SATUAN'!$C$7:$C$1492,0),0))</f>
        <v/>
      </c>
      <c r="E52" s="282" t="str">
        <f ca="1">IF(B52="+","Unit",IF(ISERROR(OFFSET('HARGA SATUAN'!$E$6,MATCH(RAB!C52,'HARGA SATUAN'!$C$7:$C$1492,0),0)),"",OFFSET('HARGA SATUAN'!$E$6,MATCH(RAB!C52,'HARGA SATUAN'!$C$7:$C$1492,0),0)))</f>
        <v/>
      </c>
      <c r="F52" s="401"/>
      <c r="G52" s="283">
        <f ca="1">IF(ISERROR(OFFSET('HARGA SATUAN'!$I$6,MATCH(RAB!C52,'HARGA SATUAN'!$C$7:$C$1492,0),0)),0,OFFSET('HARGA SATUAN'!$I$6,MATCH(RAB!C52,'HARGA SATUAN'!$C$7:$C$1492,0),0))</f>
        <v>0</v>
      </c>
      <c r="H52" s="284">
        <f t="shared" ca="1" si="7"/>
        <v>0</v>
      </c>
      <c r="I52" s="284">
        <f t="shared" ca="1" si="8"/>
        <v>0</v>
      </c>
      <c r="J52" s="284">
        <f t="shared" ca="1" si="9"/>
        <v>0</v>
      </c>
      <c r="K52" s="285">
        <f t="shared" ca="1" si="10"/>
        <v>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15">
      <c r="A53" s="259">
        <f t="shared" si="23"/>
        <v>1</v>
      </c>
      <c r="B53" s="408" t="s">
        <v>516</v>
      </c>
      <c r="C53" s="409" t="s">
        <v>1580</v>
      </c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401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7"/>
        <v>0</v>
      </c>
      <c r="I53" s="284">
        <f t="shared" ca="1" si="8"/>
        <v>0</v>
      </c>
      <c r="J53" s="284">
        <f t="shared" ca="1" si="9"/>
        <v>0</v>
      </c>
      <c r="K53" s="285">
        <f t="shared" ca="1" si="10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 ht="16">
      <c r="A54" s="259" t="e">
        <f>IF(AND(C54=0,C55=0,#REF!=0),"BLANKS",1)</f>
        <v>#REF!</v>
      </c>
      <c r="B54" s="410" t="s">
        <v>1006</v>
      </c>
      <c r="C54" s="411" t="s">
        <v>1626</v>
      </c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402">
        <v>1</v>
      </c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7"/>
        <v>0</v>
      </c>
      <c r="I54" s="284">
        <f t="shared" ca="1" si="8"/>
        <v>0</v>
      </c>
      <c r="J54" s="284">
        <f t="shared" ca="1" si="9"/>
        <v>0</v>
      </c>
      <c r="K54" s="285">
        <f t="shared" ca="1" si="10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 ht="32">
      <c r="A55" s="259" t="e">
        <f>IF(AND(C55=0,#REF!=0,#REF!=0),"BLANKS",1)</f>
        <v>#REF!</v>
      </c>
      <c r="B55" s="412">
        <v>1</v>
      </c>
      <c r="C55" s="109" t="s">
        <v>1112</v>
      </c>
      <c r="D55" s="281" t="str">
        <f ca="1">IF(ISERROR(OFFSET('HARGA SATUAN'!$D$6,MATCH(RAB!C55,'HARGA SATUAN'!$C$7:$C$1492,0),0)),"",OFFSET('HARGA SATUAN'!$D$6,MATCH(RAB!C55,'HARGA SATUAN'!$C$7:$C$1492,0),0))</f>
        <v>MDU-KD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402">
        <v>1</v>
      </c>
      <c r="G55" s="283">
        <f ca="1">IF(ISERROR(OFFSET('HARGA SATUAN'!$I$6,MATCH(RAB!C55,'HARGA SATUAN'!$C$7:$C$1492,0),0)),0,OFFSET('HARGA SATUAN'!$I$6,MATCH(RAB!C55,'HARGA SATUAN'!$C$7:$C$1492,0),0))</f>
        <v>1740750</v>
      </c>
      <c r="H55" s="284">
        <f t="shared" ca="1" si="7"/>
        <v>1740750</v>
      </c>
      <c r="I55" s="284">
        <f t="shared" ca="1" si="8"/>
        <v>0</v>
      </c>
      <c r="J55" s="284">
        <f t="shared" ca="1" si="9"/>
        <v>0</v>
      </c>
      <c r="K55" s="285">
        <f t="shared" ca="1" si="10"/>
        <v>1740750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 ht="16">
      <c r="A56" s="259"/>
      <c r="B56" s="412">
        <v>2</v>
      </c>
      <c r="C56" s="414" t="s">
        <v>483</v>
      </c>
      <c r="D56" s="281" t="str">
        <f ca="1">IF(ISERROR(OFFSET('HARGA SATUAN'!$D$6,MATCH(RAB!C56,'HARGA SATUAN'!$C$7:$C$1492,0),0)),"",OFFSET('HARGA SATUAN'!$D$6,MATCH(RAB!C56,'HARGA SATUAN'!$C$7:$C$1492,0),0))</f>
        <v>MDU-KD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402">
        <v>1</v>
      </c>
      <c r="G56" s="283">
        <f ca="1">IF(ISERROR(OFFSET('HARGA SATUAN'!$I$6,MATCH(RAB!C56,'HARGA SATUAN'!$C$7:$C$1492,0),0)),0,OFFSET('HARGA SATUAN'!$I$6,MATCH(RAB!C56,'HARGA SATUAN'!$C$7:$C$1492,0),0))</f>
        <v>39000</v>
      </c>
      <c r="H56" s="284">
        <f t="shared" ca="1" si="7"/>
        <v>39000</v>
      </c>
      <c r="I56" s="284">
        <f t="shared" ca="1" si="8"/>
        <v>0</v>
      </c>
      <c r="J56" s="284">
        <f t="shared" ca="1" si="9"/>
        <v>0</v>
      </c>
      <c r="K56" s="285">
        <f t="shared" ca="1" si="10"/>
        <v>39000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16">
      <c r="A57" s="259">
        <f t="shared" ref="A57:A59" si="24">IF(AND(C57=0,C58=0,C59=0),"BLANKS",1)</f>
        <v>1</v>
      </c>
      <c r="B57" s="412">
        <v>3</v>
      </c>
      <c r="C57" s="414" t="s">
        <v>64</v>
      </c>
      <c r="D57" s="281" t="str">
        <f ca="1">IF(ISERROR(OFFSET('HARGA SATUAN'!$D$6,MATCH(RAB!C57,'HARGA SATUAN'!$C$7:$C$1492,0),0)),"",OFFSET('HARGA SATUAN'!$D$6,MATCH(RAB!C57,'HARGA SATUAN'!$C$7:$C$1492,0),0))</f>
        <v>MDU-KD</v>
      </c>
      <c r="E57" s="282" t="str">
        <f ca="1">IF(B57="+","Unit",IF(ISERROR(OFFSET('HARGA SATUAN'!$E$6,MATCH(RAB!C57,'HARGA SATUAN'!$C$7:$C$1492,0),0)),"",OFFSET('HARGA SATUAN'!$E$6,MATCH(RAB!C57,'HARGA SATUAN'!$C$7:$C$1492,0),0)))</f>
        <v>Mtr</v>
      </c>
      <c r="F57" s="402">
        <v>40</v>
      </c>
      <c r="G57" s="283">
        <f ca="1">IF(ISERROR(OFFSET('HARGA SATUAN'!$I$6,MATCH(RAB!C57,'HARGA SATUAN'!$C$7:$C$1492,0),0)),0,OFFSET('HARGA SATUAN'!$I$6,MATCH(RAB!C57,'HARGA SATUAN'!$C$7:$C$1492,0),0))</f>
        <v>6600</v>
      </c>
      <c r="H57" s="284">
        <f t="shared" ca="1" si="7"/>
        <v>264000</v>
      </c>
      <c r="I57" s="284">
        <f t="shared" ca="1" si="8"/>
        <v>0</v>
      </c>
      <c r="J57" s="284">
        <f t="shared" ca="1" si="9"/>
        <v>0</v>
      </c>
      <c r="K57" s="285">
        <f t="shared" ca="1" si="10"/>
        <v>264000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 ht="16">
      <c r="A58" s="259">
        <f t="shared" si="24"/>
        <v>1</v>
      </c>
      <c r="B58" s="412">
        <v>4</v>
      </c>
      <c r="C58" s="414" t="s">
        <v>789</v>
      </c>
      <c r="D58" s="281" t="str">
        <f ca="1">IF(ISERROR(OFFSET('HARGA SATUAN'!$D$6,MATCH(RAB!C58,'HARGA SATUAN'!$C$7:$C$1492,0),0)),"",OFFSET('HARGA SATUAN'!$D$6,MATCH(RAB!C58,'HARGA SATUAN'!$C$7:$C$1492,0),0))</f>
        <v>JASA</v>
      </c>
      <c r="E58" s="282" t="str">
        <f ca="1">IF(B58="+","Unit",IF(ISERROR(OFFSET('HARGA SATUAN'!$E$6,MATCH(RAB!C58,'HARGA SATUAN'!$C$7:$C$1492,0),0)),"",OFFSET('HARGA SATUAN'!$E$6,MATCH(RAB!C58,'HARGA SATUAN'!$C$7:$C$1492,0),0)))</f>
        <v>Unit</v>
      </c>
      <c r="F58" s="402">
        <v>1</v>
      </c>
      <c r="G58" s="283">
        <f ca="1">IF(ISERROR(OFFSET('HARGA SATUAN'!$I$6,MATCH(RAB!C58,'HARGA SATUAN'!$C$7:$C$1492,0),0)),0,OFFSET('HARGA SATUAN'!$I$6,MATCH(RAB!C58,'HARGA SATUAN'!$C$7:$C$1492,0),0))</f>
        <v>54400</v>
      </c>
      <c r="H58" s="284">
        <f t="shared" ca="1" si="7"/>
        <v>0</v>
      </c>
      <c r="I58" s="284">
        <f t="shared" ca="1" si="8"/>
        <v>0</v>
      </c>
      <c r="J58" s="284">
        <f t="shared" ca="1" si="9"/>
        <v>54400</v>
      </c>
      <c r="K58" s="285">
        <f t="shared" ca="1" si="10"/>
        <v>54400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 ht="15">
      <c r="A59" s="259">
        <f t="shared" si="24"/>
        <v>1</v>
      </c>
      <c r="B59" s="293"/>
      <c r="C59" s="294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401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7"/>
        <v>0</v>
      </c>
      <c r="I59" s="284">
        <f t="shared" ca="1" si="8"/>
        <v>0</v>
      </c>
      <c r="J59" s="284">
        <f t="shared" ca="1" si="9"/>
        <v>0</v>
      </c>
      <c r="K59" s="285">
        <f t="shared" ca="1" si="10"/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 ht="15">
      <c r="A60" s="259" t="e">
        <f>IF(AND(C60=0,C61=0,#REF!=0),"BLANKS",1)</f>
        <v>#REF!</v>
      </c>
      <c r="B60" s="408" t="s">
        <v>520</v>
      </c>
      <c r="C60" s="409" t="s">
        <v>1627</v>
      </c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401"/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7"/>
        <v>0</v>
      </c>
      <c r="I60" s="284">
        <f t="shared" ca="1" si="8"/>
        <v>0</v>
      </c>
      <c r="J60" s="284">
        <f t="shared" ca="1" si="9"/>
        <v>0</v>
      </c>
      <c r="K60" s="285">
        <f t="shared" ca="1" si="10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 ht="15">
      <c r="A61" s="259" t="e">
        <f>IF(AND(C61=0,#REF!=0,#REF!=0),"BLANKS",1)</f>
        <v>#REF!</v>
      </c>
      <c r="B61" s="293"/>
      <c r="C61" s="409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401"/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7"/>
        <v>0</v>
      </c>
      <c r="I61" s="284">
        <f t="shared" ca="1" si="8"/>
        <v>0</v>
      </c>
      <c r="J61" s="284">
        <f t="shared" ca="1" si="9"/>
        <v>0</v>
      </c>
      <c r="K61" s="285">
        <f t="shared" ca="1" si="10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 ht="15">
      <c r="A62" s="259" t="str">
        <f t="shared" ref="A62:A64" si="25">IF(AND(C62=0,C63=0,C64=0),"BLANKS",1)</f>
        <v>BLANKS</v>
      </c>
      <c r="B62" s="293"/>
      <c r="C62" s="294"/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/>
      </c>
      <c r="F62" s="401"/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ca="1" si="7"/>
        <v>0</v>
      </c>
      <c r="I62" s="284">
        <f t="shared" ca="1" si="8"/>
        <v>0</v>
      </c>
      <c r="J62" s="284">
        <f t="shared" ca="1" si="9"/>
        <v>0</v>
      </c>
      <c r="K62" s="285">
        <f t="shared" ca="1" si="1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 ht="15">
      <c r="A63" s="259" t="str">
        <f t="shared" si="25"/>
        <v>BLANKS</v>
      </c>
      <c r="B63" s="293"/>
      <c r="C63" s="294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/>
      </c>
      <c r="F63" s="401"/>
      <c r="G63" s="283">
        <f ca="1">IF(ISERROR(OFFSET('HARGA SATUAN'!$I$6,MATCH(RAB!C63,'HARGA SATUAN'!$C$7:$C$1492,0),0)),0,OFFSET('HARGA SATUAN'!$I$6,MATCH(RAB!C63,'HARGA SATUAN'!$C$7:$C$1492,0),0))</f>
        <v>0</v>
      </c>
      <c r="H63" s="284">
        <f t="shared" ca="1" si="7"/>
        <v>0</v>
      </c>
      <c r="I63" s="284">
        <f t="shared" ca="1" si="8"/>
        <v>0</v>
      </c>
      <c r="J63" s="284">
        <f t="shared" ca="1" si="9"/>
        <v>0</v>
      </c>
      <c r="K63" s="285">
        <f t="shared" ca="1" si="10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15">
      <c r="A64" s="259" t="str">
        <f t="shared" si="25"/>
        <v>BLANKS</v>
      </c>
      <c r="B64" s="293"/>
      <c r="C64" s="294"/>
      <c r="D64" s="281" t="str">
        <f ca="1">IF(ISERROR(OFFSET('HARGA SATUAN'!$D$6,MATCH(RAB!C64,'HARGA SATUAN'!$C$7:$C$1492,0),0)),"",OFFSET('HARGA SATUAN'!$D$6,MATCH(RAB!C64,'HARGA SATUAN'!$C$7:$C$1492,0),0))</f>
        <v/>
      </c>
      <c r="E64" s="282" t="str">
        <f ca="1">IF(B64="+","Unit",IF(ISERROR(OFFSET('HARGA SATUAN'!$E$6,MATCH(RAB!C64,'HARGA SATUAN'!$C$7:$C$1492,0),0)),"",OFFSET('HARGA SATUAN'!$E$6,MATCH(RAB!C64,'HARGA SATUAN'!$C$7:$C$1492,0),0)))</f>
        <v/>
      </c>
      <c r="F64" s="401"/>
      <c r="G64" s="283">
        <f ca="1">IF(ISERROR(OFFSET('HARGA SATUAN'!$I$6,MATCH(RAB!C64,'HARGA SATUAN'!$C$7:$C$1492,0),0)),0,OFFSET('HARGA SATUAN'!$I$6,MATCH(RAB!C64,'HARGA SATUAN'!$C$7:$C$1492,0),0))</f>
        <v>0</v>
      </c>
      <c r="H64" s="284">
        <f t="shared" ca="1" si="7"/>
        <v>0</v>
      </c>
      <c r="I64" s="284">
        <f t="shared" ca="1" si="8"/>
        <v>0</v>
      </c>
      <c r="J64" s="284">
        <f t="shared" ca="1" si="9"/>
        <v>0</v>
      </c>
      <c r="K64" s="285">
        <f t="shared" ca="1" si="10"/>
        <v>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15">
      <c r="A65" s="259" t="e">
        <f>IF(AND(C65=0,C66=0,#REF!=0),"BLANKS",1)</f>
        <v>#REF!</v>
      </c>
      <c r="B65" s="293"/>
      <c r="C65" s="294"/>
      <c r="D65" s="281" t="str">
        <f ca="1">IF(ISERROR(OFFSET('HARGA SATUAN'!$D$6,MATCH(RAB!C65,'HARGA SATUAN'!$C$7:$C$1492,0),0)),"",OFFSET('HARGA SATUAN'!$D$6,MATCH(RAB!C65,'HARGA SATUAN'!$C$7:$C$1492,0),0))</f>
        <v/>
      </c>
      <c r="E65" s="282" t="str">
        <f ca="1">IF(B65="+","Unit",IF(ISERROR(OFFSET('HARGA SATUAN'!$E$6,MATCH(RAB!C65,'HARGA SATUAN'!$C$7:$C$1492,0),0)),"",OFFSET('HARGA SATUAN'!$E$6,MATCH(RAB!C65,'HARGA SATUAN'!$C$7:$C$1492,0),0)))</f>
        <v/>
      </c>
      <c r="F65" s="401"/>
      <c r="G65" s="283">
        <f ca="1">IF(ISERROR(OFFSET('HARGA SATUAN'!$I$6,MATCH(RAB!C65,'HARGA SATUAN'!$C$7:$C$1492,0),0)),0,OFFSET('HARGA SATUAN'!$I$6,MATCH(RAB!C65,'HARGA SATUAN'!$C$7:$C$1492,0),0))</f>
        <v>0</v>
      </c>
      <c r="H65" s="284">
        <f t="shared" ca="1" si="7"/>
        <v>0</v>
      </c>
      <c r="I65" s="284">
        <f t="shared" ca="1" si="8"/>
        <v>0</v>
      </c>
      <c r="J65" s="284">
        <f t="shared" ca="1" si="9"/>
        <v>0</v>
      </c>
      <c r="K65" s="285">
        <f t="shared" ca="1" si="10"/>
        <v>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15">
      <c r="A66" s="259" t="e">
        <f>IF(AND(C66=0,#REF!=0,#REF!=0),"BLANKS",1)</f>
        <v>#REF!</v>
      </c>
      <c r="B66" s="293"/>
      <c r="C66" s="294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/>
      </c>
      <c r="F66" s="401"/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ca="1" si="7"/>
        <v>0</v>
      </c>
      <c r="I66" s="284">
        <f t="shared" ca="1" si="8"/>
        <v>0</v>
      </c>
      <c r="J66" s="284">
        <f t="shared" ca="1" si="9"/>
        <v>0</v>
      </c>
      <c r="K66" s="285">
        <f t="shared" ca="1" si="10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15">
      <c r="A67" s="259"/>
      <c r="B67" s="293"/>
      <c r="C67" s="109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401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7"/>
        <v>0</v>
      </c>
      <c r="I67" s="284">
        <f t="shared" ca="1" si="8"/>
        <v>0</v>
      </c>
      <c r="J67" s="284">
        <f t="shared" ca="1" si="9"/>
        <v>0</v>
      </c>
      <c r="K67" s="285">
        <f t="shared" ca="1" si="10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15">
      <c r="A68" s="259" t="str">
        <f>IF(AND(C68=0,C69=0,C91=0),"BLANKS",1)</f>
        <v>BLANKS</v>
      </c>
      <c r="B68" s="408"/>
      <c r="C68" s="409"/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401"/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15">
      <c r="A69" s="259" t="str">
        <f>IF(AND(C69=0,C91=0,C92=0),"BLANKS",1)</f>
        <v>BLANKS</v>
      </c>
      <c r="B69" s="293"/>
      <c r="C69" s="294"/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/>
      </c>
      <c r="F69" s="401"/>
      <c r="G69" s="283">
        <f ca="1">IF(ISERROR(OFFSET('HARGA SATUAN'!$I$6,MATCH(RAB!C69,'HARGA SATUAN'!$C$7:$C$1492,0),0)),0,OFFSET('HARGA SATUAN'!$I$6,MATCH(RAB!C69,'HARGA SATUAN'!$C$7:$C$1492,0),0))</f>
        <v>0</v>
      </c>
      <c r="H69" s="284">
        <f t="shared" ca="1" si="7"/>
        <v>0</v>
      </c>
      <c r="I69" s="284">
        <f t="shared" ca="1" si="8"/>
        <v>0</v>
      </c>
      <c r="J69" s="284">
        <f t="shared" ca="1" si="9"/>
        <v>0</v>
      </c>
      <c r="K69" s="285">
        <f t="shared" ca="1" si="10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 ht="15">
      <c r="A70" s="259" t="s">
        <v>1414</v>
      </c>
      <c r="B70" s="293"/>
      <c r="C70" s="109"/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401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ca="1" si="7"/>
        <v>0</v>
      </c>
      <c r="I70" s="284">
        <f t="shared" ca="1" si="8"/>
        <v>0</v>
      </c>
      <c r="J70" s="284">
        <f t="shared" ca="1" si="9"/>
        <v>0</v>
      </c>
      <c r="K70" s="285">
        <f t="shared" ca="1" si="10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 ht="15">
      <c r="A71" s="259" t="e">
        <f>IF(AND(C71=0,#REF!=0,#REF!=0),"BLANKS",1)</f>
        <v>#REF!</v>
      </c>
      <c r="B71" s="293"/>
      <c r="C71" s="109"/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/>
      </c>
      <c r="F71" s="401"/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ca="1" si="7"/>
        <v>0</v>
      </c>
      <c r="I71" s="284">
        <f t="shared" ca="1" si="8"/>
        <v>0</v>
      </c>
      <c r="J71" s="284">
        <f t="shared" ca="1" si="9"/>
        <v>0</v>
      </c>
      <c r="K71" s="285">
        <f t="shared" ca="1" si="10"/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15">
      <c r="A72" s="259" t="s">
        <v>1414</v>
      </c>
      <c r="B72" s="408"/>
      <c r="C72" s="409"/>
      <c r="D72" s="281" t="str">
        <f ca="1">IF(ISERROR(OFFSET('HARGA SATUAN'!$D$6,MATCH(RAB!C72,'HARGA SATUAN'!$C$7:$C$1492,0),0)),"",OFFSET('HARGA SATUAN'!$D$6,MATCH(RAB!C72,'HARGA SATUAN'!$C$7:$C$1492,0),0))</f>
        <v/>
      </c>
      <c r="E72" s="282" t="str">
        <f ca="1">IF(B72="+","Unit",IF(ISERROR(OFFSET('HARGA SATUAN'!$E$6,MATCH(RAB!C72,'HARGA SATUAN'!$C$7:$C$1492,0),0)),"",OFFSET('HARGA SATUAN'!$E$6,MATCH(RAB!C72,'HARGA SATUAN'!$C$7:$C$1492,0),0)))</f>
        <v/>
      </c>
      <c r="F72" s="401"/>
      <c r="G72" s="283">
        <f ca="1">IF(ISERROR(OFFSET('HARGA SATUAN'!$I$6,MATCH(RAB!C72,'HARGA SATUAN'!$C$7:$C$1492,0),0)),0,OFFSET('HARGA SATUAN'!$I$6,MATCH(RAB!C72,'HARGA SATUAN'!$C$7:$C$1492,0),0))</f>
        <v>0</v>
      </c>
      <c r="H72" s="284">
        <f t="shared" ca="1" si="7"/>
        <v>0</v>
      </c>
      <c r="I72" s="284">
        <f t="shared" ca="1" si="8"/>
        <v>0</v>
      </c>
      <c r="J72" s="284">
        <f t="shared" ca="1" si="9"/>
        <v>0</v>
      </c>
      <c r="K72" s="285">
        <f t="shared" ca="1" si="10"/>
        <v>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 ht="15">
      <c r="A73" s="259" t="e">
        <f>IF(AND(C73=0,#REF!=0,#REF!=0),"BLANKS",1)</f>
        <v>#REF!</v>
      </c>
      <c r="B73" s="408"/>
      <c r="C73" s="409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401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 ht="15">
      <c r="A74" s="259"/>
      <c r="B74" s="410"/>
      <c r="C74" s="411"/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/>
      </c>
      <c r="F74" s="401"/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 ht="15">
      <c r="A75" s="259" t="e">
        <f>IF(AND(C75=0,C76=0,#REF!=0),"BLANKS",1)</f>
        <v>#REF!</v>
      </c>
      <c r="B75" s="412"/>
      <c r="C75" s="109"/>
      <c r="D75" s="281" t="str">
        <f ca="1">IF(ISERROR(OFFSET('HARGA SATUAN'!$D$6,MATCH(RAB!C75,'HARGA SATUAN'!$C$7:$C$1492,0),0)),"",OFFSET('HARGA SATUAN'!$D$6,MATCH(RAB!C75,'HARGA SATUAN'!$C$7:$C$1492,0),0))</f>
        <v/>
      </c>
      <c r="E75" s="282" t="str">
        <f ca="1">IF(B75="+","Unit",IF(ISERROR(OFFSET('HARGA SATUAN'!$E$6,MATCH(RAB!C75,'HARGA SATUAN'!$C$7:$C$1492,0),0)),"",OFFSET('HARGA SATUAN'!$E$6,MATCH(RAB!C75,'HARGA SATUAN'!$C$7:$C$1492,0),0)))</f>
        <v/>
      </c>
      <c r="F75" s="401"/>
      <c r="G75" s="283">
        <f ca="1">IF(ISERROR(OFFSET('HARGA SATUAN'!$I$6,MATCH(RAB!C75,'HARGA SATUAN'!$C$7:$C$1492,0),0)),0,OFFSET('HARGA SATUAN'!$I$6,MATCH(RAB!C75,'HARGA SATUAN'!$C$7:$C$1492,0),0))</f>
        <v>0</v>
      </c>
      <c r="H75" s="284">
        <f t="shared" ca="1" si="7"/>
        <v>0</v>
      </c>
      <c r="I75" s="284">
        <f t="shared" ca="1" si="8"/>
        <v>0</v>
      </c>
      <c r="J75" s="284">
        <f t="shared" ca="1" si="9"/>
        <v>0</v>
      </c>
      <c r="K75" s="285">
        <f t="shared" ca="1" si="10"/>
        <v>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15">
      <c r="A76" s="259" t="e">
        <f>IF(AND(C76=0,#REF!=0,#REF!=0),"BLANKS",1)</f>
        <v>#REF!</v>
      </c>
      <c r="B76" s="412"/>
      <c r="C76" s="414"/>
      <c r="D76" s="281" t="str">
        <f ca="1">IF(ISERROR(OFFSET('HARGA SATUAN'!$D$6,MATCH(RAB!C76,'HARGA SATUAN'!$C$7:$C$1492,0),0)),"",OFFSET('HARGA SATUAN'!$D$6,MATCH(RAB!C76,'HARGA SATUAN'!$C$7:$C$1492,0),0))</f>
        <v/>
      </c>
      <c r="E76" s="282" t="str">
        <f ca="1">IF(B76="+","Unit",IF(ISERROR(OFFSET('HARGA SATUAN'!$E$6,MATCH(RAB!C76,'HARGA SATUAN'!$C$7:$C$1492,0),0)),"",OFFSET('HARGA SATUAN'!$E$6,MATCH(RAB!C76,'HARGA SATUAN'!$C$7:$C$1492,0),0)))</f>
        <v/>
      </c>
      <c r="F76" s="401"/>
      <c r="G76" s="283">
        <f ca="1">IF(ISERROR(OFFSET('HARGA SATUAN'!$I$6,MATCH(RAB!C76,'HARGA SATUAN'!$C$7:$C$1492,0),0)),0,OFFSET('HARGA SATUAN'!$I$6,MATCH(RAB!C76,'HARGA SATUAN'!$C$7:$C$1492,0),0))</f>
        <v>0</v>
      </c>
      <c r="H76" s="284">
        <f t="shared" ca="1" si="7"/>
        <v>0</v>
      </c>
      <c r="I76" s="284">
        <f t="shared" ca="1" si="8"/>
        <v>0</v>
      </c>
      <c r="J76" s="284">
        <f t="shared" ca="1" si="9"/>
        <v>0</v>
      </c>
      <c r="K76" s="285">
        <f t="shared" ca="1" si="10"/>
        <v>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 ht="15">
      <c r="A77" s="259" t="s">
        <v>1414</v>
      </c>
      <c r="B77" s="412"/>
      <c r="C77" s="414"/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/>
      </c>
      <c r="F77" s="401"/>
      <c r="G77" s="283">
        <f ca="1">IF(ISERROR(OFFSET('HARGA SATUAN'!$I$6,MATCH(RAB!C77,'HARGA SATUAN'!$C$7:$C$1492,0),0)),0,OFFSET('HARGA SATUAN'!$I$6,MATCH(RAB!C77,'HARGA SATUAN'!$C$7:$C$1492,0),0))</f>
        <v>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0</v>
      </c>
      <c r="J77" s="284">
        <f t="shared" ref="J77:J83" ca="1" si="28">IF(D77="JASA",G77*F77,0)</f>
        <v>0</v>
      </c>
      <c r="K77" s="285">
        <f t="shared" ref="K77:K83" ca="1" si="29">SUM(H77:J77)</f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 ht="15">
      <c r="A78" s="259" t="e">
        <f>IF(AND(C78=0,#REF!=0,#REF!=0),"BLANKS",1)</f>
        <v>#REF!</v>
      </c>
      <c r="B78" s="412"/>
      <c r="C78" s="414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401"/>
      <c r="G78" s="283">
        <f ca="1">IF(ISERROR(OFFSET('HARGA SATUAN'!$I$6,MATCH(RAB!C78,'HARGA SATUAN'!$C$7:$C$1492,0),0)),0,OFFSET('HARGA SATUAN'!$I$6,MATCH(RAB!C78,'HARGA SATUAN'!$C$7:$C$1492,0),0))</f>
        <v>0</v>
      </c>
      <c r="H78" s="284">
        <f t="shared" ca="1" si="26"/>
        <v>0</v>
      </c>
      <c r="I78" s="284">
        <f t="shared" ca="1" si="27"/>
        <v>0</v>
      </c>
      <c r="J78" s="284">
        <f t="shared" ca="1" si="28"/>
        <v>0</v>
      </c>
      <c r="K78" s="285">
        <f t="shared" ca="1" si="29"/>
        <v>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 ht="15">
      <c r="A79" s="259" t="s">
        <v>1414</v>
      </c>
      <c r="B79" s="412"/>
      <c r="C79" s="414"/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401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ca="1" si="26"/>
        <v>0</v>
      </c>
      <c r="I79" s="284">
        <f t="shared" ca="1" si="27"/>
        <v>0</v>
      </c>
      <c r="J79" s="284">
        <f t="shared" ca="1" si="28"/>
        <v>0</v>
      </c>
      <c r="K79" s="285">
        <f t="shared" ca="1" si="29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 ht="15">
      <c r="A80" s="259" t="e">
        <f>IF(AND(C80=0,#REF!=0,#REF!=0),"BLANKS",1)</f>
        <v>#REF!</v>
      </c>
      <c r="B80" s="293"/>
      <c r="C80" s="409"/>
      <c r="D80" s="281" t="str">
        <f ca="1">IF(ISERROR(OFFSET('HARGA SATUAN'!$D$6,MATCH(RAB!C80,'HARGA SATUAN'!$C$7:$C$1492,0),0)),"",OFFSET('HARGA SATUAN'!$D$6,MATCH(RAB!C80,'HARGA SATUAN'!$C$7:$C$1492,0),0))</f>
        <v/>
      </c>
      <c r="E80" s="282" t="str">
        <f ca="1">IF(B80="+","Unit",IF(ISERROR(OFFSET('HARGA SATUAN'!$E$6,MATCH(RAB!C80,'HARGA SATUAN'!$C$7:$C$1492,0),0)),"",OFFSET('HARGA SATUAN'!$E$6,MATCH(RAB!C80,'HARGA SATUAN'!$C$7:$C$1492,0),0)))</f>
        <v/>
      </c>
      <c r="F80" s="390"/>
      <c r="G80" s="283">
        <f ca="1">IF(ISERROR(OFFSET('HARGA SATUAN'!$I$6,MATCH(RAB!C80,'HARGA SATUAN'!$C$7:$C$1492,0),0)),0,OFFSET('HARGA SATUAN'!$I$6,MATCH(RAB!C80,'HARGA SATUAN'!$C$7:$C$1492,0),0))</f>
        <v>0</v>
      </c>
      <c r="H80" s="284">
        <f t="shared" ca="1" si="26"/>
        <v>0</v>
      </c>
      <c r="I80" s="284">
        <f t="shared" ca="1" si="27"/>
        <v>0</v>
      </c>
      <c r="J80" s="284">
        <f t="shared" ca="1" si="28"/>
        <v>0</v>
      </c>
      <c r="K80" s="285">
        <f t="shared" ca="1" si="29"/>
        <v>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 ht="15">
      <c r="A81" s="259"/>
      <c r="B81" s="408"/>
      <c r="C81" s="409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IF(B81="+","Unit",IF(ISERROR(OFFSET('HARGA SATUAN'!$E$6,MATCH(RAB!C81,'HARGA SATUAN'!$C$7:$C$1492,0),0)),"",OFFSET('HARGA SATUAN'!$E$6,MATCH(RAB!C81,'HARGA SATUAN'!$C$7:$C$1492,0),0)))</f>
        <v/>
      </c>
      <c r="F81" s="390"/>
      <c r="G81" s="283">
        <f ca="1">IF(ISERROR(OFFSET('HARGA SATUAN'!$I$6,MATCH(RAB!C81,'HARGA SATUAN'!$C$7:$C$1492,0),0)),0,OFFSET('HARGA SATUAN'!$I$6,MATCH(RAB!C81,'HARGA SATUAN'!$C$7:$C$1492,0),0))</f>
        <v>0</v>
      </c>
      <c r="H81" s="284">
        <f t="shared" ca="1" si="26"/>
        <v>0</v>
      </c>
      <c r="I81" s="284">
        <f t="shared" ca="1" si="27"/>
        <v>0</v>
      </c>
      <c r="J81" s="284">
        <f t="shared" ca="1" si="28"/>
        <v>0</v>
      </c>
      <c r="K81" s="285">
        <f t="shared" ca="1" si="29"/>
        <v>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 ht="15">
      <c r="A82" s="259" t="e">
        <f>IF(AND(C82=0,C83=0,#REF!=0),"BLANKS",1)</f>
        <v>#REF!</v>
      </c>
      <c r="B82" s="412"/>
      <c r="C82" s="413"/>
      <c r="D82" s="281" t="str">
        <f ca="1">IF(ISERROR(OFFSET('HARGA SATUAN'!$D$6,MATCH(RAB!C82,'HARGA SATUAN'!$C$7:$C$1492,0),0)),"",OFFSET('HARGA SATUAN'!$D$6,MATCH(RAB!C82,'HARGA SATUAN'!$C$7:$C$1492,0),0))</f>
        <v/>
      </c>
      <c r="E82" s="282" t="str">
        <f ca="1">IF(B82="+","Unit",IF(ISERROR(OFFSET('HARGA SATUAN'!$E$6,MATCH(RAB!C82,'HARGA SATUAN'!$C$7:$C$1492,0),0)),"",OFFSET('HARGA SATUAN'!$E$6,MATCH(RAB!C82,'HARGA SATUAN'!$C$7:$C$1492,0),0)))</f>
        <v/>
      </c>
      <c r="F82" s="390"/>
      <c r="G82" s="283">
        <f ca="1">IF(ISERROR(OFFSET('HARGA SATUAN'!$I$6,MATCH(RAB!C82,'HARGA SATUAN'!$C$7:$C$1492,0),0)),0,OFFSET('HARGA SATUAN'!$I$6,MATCH(RAB!C82,'HARGA SATUAN'!$C$7:$C$1492,0),0))</f>
        <v>0</v>
      </c>
      <c r="H82" s="284">
        <f t="shared" ca="1" si="26"/>
        <v>0</v>
      </c>
      <c r="I82" s="284">
        <f t="shared" ca="1" si="27"/>
        <v>0</v>
      </c>
      <c r="J82" s="284">
        <f t="shared" ca="1" si="28"/>
        <v>0</v>
      </c>
      <c r="K82" s="285">
        <f t="shared" ca="1" si="29"/>
        <v>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 ht="15">
      <c r="A83" s="259" t="e">
        <f>IF(AND(C83=0,#REF!=0,#REF!=0),"BLANKS",1)</f>
        <v>#REF!</v>
      </c>
      <c r="B83" s="412"/>
      <c r="C83" s="413"/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IF(B83="+","Unit",IF(ISERROR(OFFSET('HARGA SATUAN'!$E$6,MATCH(RAB!C83,'HARGA SATUAN'!$C$7:$C$1492,0),0)),"",OFFSET('HARGA SATUAN'!$E$6,MATCH(RAB!C83,'HARGA SATUAN'!$C$7:$C$1492,0),0)))</f>
        <v/>
      </c>
      <c r="F83" s="390"/>
      <c r="G83" s="283">
        <f ca="1">IF(ISERROR(OFFSET('HARGA SATUAN'!$I$6,MATCH(RAB!C83,'HARGA SATUAN'!$C$7:$C$1492,0),0)),0,OFFSET('HARGA SATUAN'!$I$6,MATCH(RAB!C83,'HARGA SATUAN'!$C$7:$C$1492,0),0))</f>
        <v>0</v>
      </c>
      <c r="H83" s="284">
        <f t="shared" ca="1" si="26"/>
        <v>0</v>
      </c>
      <c r="I83" s="284">
        <f t="shared" ca="1" si="27"/>
        <v>0</v>
      </c>
      <c r="J83" s="284">
        <f t="shared" ca="1" si="28"/>
        <v>0</v>
      </c>
      <c r="K83" s="285">
        <f t="shared" ca="1" si="29"/>
        <v>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 ht="15">
      <c r="A84" s="259"/>
      <c r="B84" s="412"/>
      <c r="C84" s="413"/>
      <c r="D84" s="281"/>
      <c r="E84" s="282"/>
      <c r="F84" s="390"/>
      <c r="G84" s="283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 ht="15">
      <c r="A85" s="259" t="e">
        <f>IF(AND(C85=0,#REF!=0,#REF!=0),"BLANKS",1)</f>
        <v>#REF!</v>
      </c>
      <c r="B85" s="412"/>
      <c r="C85" s="413"/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/>
      </c>
      <c r="F85" s="402"/>
      <c r="G85" s="283">
        <f ca="1">IF(ISERROR(OFFSET('HARGA SATUAN'!$I$6,MATCH(RAB!C85,'HARGA SATUAN'!$C$7:$C$1492,0),0)),0,OFFSET('HARGA SATUAN'!$I$6,MATCH(RAB!C85,'HARGA SATUAN'!$C$7:$C$1492,0),0))</f>
        <v>0</v>
      </c>
      <c r="H85" s="284">
        <f t="shared" ref="H85:H90" ca="1" si="30">IF(OR(D85="MDU",D85="MDU-KD"),(IF($O$3="RAB NON MDU","PLN KD",G85*F85)),0)</f>
        <v>0</v>
      </c>
      <c r="I85" s="284">
        <f t="shared" ref="I85:I90" ca="1" si="31">IF(D85="HDW",G85*F85,0)</f>
        <v>0</v>
      </c>
      <c r="J85" s="284">
        <f t="shared" ref="J85:J90" ca="1" si="32">IF(D85="JASA",G85*F85,0)</f>
        <v>0</v>
      </c>
      <c r="K85" s="285">
        <f t="shared" ref="K85:K90" ca="1" si="33">SUM(H85:J85)</f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15">
      <c r="A86" s="259" t="s">
        <v>1414</v>
      </c>
      <c r="B86" s="412"/>
      <c r="C86" s="413"/>
      <c r="D86" s="281" t="str">
        <f ca="1">IF(ISERROR(OFFSET('HARGA SATUAN'!$D$6,MATCH(RAB!C86,'HARGA SATUAN'!$C$7:$C$1492,0),0)),"",OFFSET('HARGA SATUAN'!$D$6,MATCH(RAB!C86,'HARGA SATUAN'!$C$7:$C$1492,0),0))</f>
        <v/>
      </c>
      <c r="E86" s="282" t="str">
        <f ca="1">IF(B86="+","Unit",IF(ISERROR(OFFSET('HARGA SATUAN'!$E$6,MATCH(RAB!C86,'HARGA SATUAN'!$C$7:$C$1492,0),0)),"",OFFSET('HARGA SATUAN'!$E$6,MATCH(RAB!C86,'HARGA SATUAN'!$C$7:$C$1492,0),0)))</f>
        <v/>
      </c>
      <c r="F86" s="402"/>
      <c r="G86" s="283">
        <f ca="1">IF(ISERROR(OFFSET('HARGA SATUAN'!$I$6,MATCH(RAB!C86,'HARGA SATUAN'!$C$7:$C$1492,0),0)),0,OFFSET('HARGA SATUAN'!$I$6,MATCH(RAB!C86,'HARGA SATUAN'!$C$7:$C$1492,0),0))</f>
        <v>0</v>
      </c>
      <c r="H86" s="284">
        <f t="shared" ca="1" si="30"/>
        <v>0</v>
      </c>
      <c r="I86" s="284">
        <f t="shared" ca="1" si="31"/>
        <v>0</v>
      </c>
      <c r="J86" s="284">
        <f t="shared" ca="1" si="32"/>
        <v>0</v>
      </c>
      <c r="K86" s="285">
        <f t="shared" ca="1" si="33"/>
        <v>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 ht="15">
      <c r="A87" s="259" t="e">
        <f>IF(AND(C87=0,#REF!=0,#REF!=0),"BLANKS",1)</f>
        <v>#REF!</v>
      </c>
      <c r="B87" s="412"/>
      <c r="C87" s="413"/>
      <c r="D87" s="281" t="str">
        <f ca="1">IF(ISERROR(OFFSET('HARGA SATUAN'!$D$6,MATCH(RAB!C87,'HARGA SATUAN'!$C$7:$C$1492,0),0)),"",OFFSET('HARGA SATUAN'!$D$6,MATCH(RAB!C87,'HARGA SATUAN'!$C$7:$C$1492,0),0))</f>
        <v/>
      </c>
      <c r="E87" s="282" t="str">
        <f ca="1">IF(B87="+","Unit",IF(ISERROR(OFFSET('HARGA SATUAN'!$E$6,MATCH(RAB!C87,'HARGA SATUAN'!$C$7:$C$1492,0),0)),"",OFFSET('HARGA SATUAN'!$E$6,MATCH(RAB!C87,'HARGA SATUAN'!$C$7:$C$1492,0),0)))</f>
        <v/>
      </c>
      <c r="F87" s="402"/>
      <c r="G87" s="283">
        <f ca="1">IF(ISERROR(OFFSET('HARGA SATUAN'!$I$6,MATCH(RAB!C87,'HARGA SATUAN'!$C$7:$C$1492,0),0)),0,OFFSET('HARGA SATUAN'!$I$6,MATCH(RAB!C87,'HARGA SATUAN'!$C$7:$C$1492,0),0))</f>
        <v>0</v>
      </c>
      <c r="H87" s="284">
        <f t="shared" ca="1" si="30"/>
        <v>0</v>
      </c>
      <c r="I87" s="284">
        <f t="shared" ca="1" si="31"/>
        <v>0</v>
      </c>
      <c r="J87" s="284">
        <f t="shared" ca="1" si="32"/>
        <v>0</v>
      </c>
      <c r="K87" s="285">
        <f t="shared" ca="1" si="33"/>
        <v>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 ht="15">
      <c r="A88" s="259"/>
      <c r="B88" s="412"/>
      <c r="C88" s="413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402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30"/>
        <v>0</v>
      </c>
      <c r="I88" s="284">
        <f t="shared" ca="1" si="31"/>
        <v>0</v>
      </c>
      <c r="J88" s="284">
        <f t="shared" ca="1" si="32"/>
        <v>0</v>
      </c>
      <c r="K88" s="285">
        <f t="shared" ca="1" si="33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 ht="15">
      <c r="A89" s="259" t="e">
        <f>IF(AND(C89=0,C90=0,#REF!=0),"BLANKS",1)</f>
        <v>#REF!</v>
      </c>
      <c r="B89" s="412"/>
      <c r="C89" s="413"/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/>
      </c>
      <c r="F89" s="402"/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30"/>
        <v>0</v>
      </c>
      <c r="I89" s="284">
        <f t="shared" ca="1" si="31"/>
        <v>0</v>
      </c>
      <c r="J89" s="284">
        <f t="shared" ca="1" si="32"/>
        <v>0</v>
      </c>
      <c r="K89" s="285">
        <f t="shared" ca="1" si="33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15">
      <c r="A90" s="259" t="e">
        <f>IF(AND(C90=0,#REF!=0,#REF!=0),"BLANKS",1)</f>
        <v>#REF!</v>
      </c>
      <c r="B90" s="412"/>
      <c r="C90" s="413"/>
      <c r="D90" s="281" t="str">
        <f ca="1">IF(ISERROR(OFFSET('HARGA SATUAN'!$D$6,MATCH(RAB!C90,'HARGA SATUAN'!$C$7:$C$1492,0),0)),"",OFFSET('HARGA SATUAN'!$D$6,MATCH(RAB!C90,'HARGA SATUAN'!$C$7:$C$1492,0),0))</f>
        <v/>
      </c>
      <c r="E90" s="282" t="str">
        <f ca="1">IF(B90="+","Unit",IF(ISERROR(OFFSET('HARGA SATUAN'!$E$6,MATCH(RAB!C90,'HARGA SATUAN'!$C$7:$C$1492,0),0)),"",OFFSET('HARGA SATUAN'!$E$6,MATCH(RAB!C90,'HARGA SATUAN'!$C$7:$C$1492,0),0)))</f>
        <v/>
      </c>
      <c r="F90" s="402"/>
      <c r="G90" s="283">
        <f ca="1">IF(ISERROR(OFFSET('HARGA SATUAN'!$I$6,MATCH(RAB!C90,'HARGA SATUAN'!$C$7:$C$1492,0),0)),0,OFFSET('HARGA SATUAN'!$I$6,MATCH(RAB!C90,'HARGA SATUAN'!$C$7:$C$1492,0),0))</f>
        <v>0</v>
      </c>
      <c r="H90" s="284">
        <f t="shared" ca="1" si="30"/>
        <v>0</v>
      </c>
      <c r="I90" s="284">
        <f t="shared" ca="1" si="31"/>
        <v>0</v>
      </c>
      <c r="J90" s="284">
        <f t="shared" ca="1" si="32"/>
        <v>0</v>
      </c>
      <c r="K90" s="285">
        <f t="shared" ca="1" si="33"/>
        <v>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 ht="15">
      <c r="A91" s="259" t="b">
        <f ca="1">F91=G92</f>
        <v>1</v>
      </c>
      <c r="B91" s="412"/>
      <c r="C91" s="413"/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/>
      </c>
      <c r="F91" s="402"/>
      <c r="G91" s="283">
        <f ca="1">IF(ISERROR(OFFSET('HARGA SATUAN'!$I$6,MATCH(RAB!C91,'HARGA SATUAN'!$C$7:$C$1492,0),0)),0,OFFSET('HARGA SATUAN'!$I$6,MATCH(RAB!C91,'HARGA SATUAN'!$C$7:$C$1492,0),0))</f>
        <v>0</v>
      </c>
      <c r="H91" s="284">
        <f t="shared" ca="1" si="7"/>
        <v>0</v>
      </c>
      <c r="I91" s="284">
        <f t="shared" ca="1" si="8"/>
        <v>0</v>
      </c>
      <c r="J91" s="284">
        <f t="shared" ca="1" si="9"/>
        <v>0</v>
      </c>
      <c r="K91" s="285">
        <f t="shared" ca="1" si="10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 ht="15">
      <c r="A92" s="259" t="e">
        <f>IF(AND(C92=0,C93=0,#REF!=0),"BLANKS",1)</f>
        <v>#REF!</v>
      </c>
      <c r="B92" s="412"/>
      <c r="C92" s="413"/>
      <c r="D92" s="281" t="str">
        <f ca="1">IF(ISERROR(OFFSET('HARGA SATUAN'!$D$6,MATCH(RAB!C92,'HARGA SATUAN'!$C$7:$C$1492,0),0)),"",OFFSET('HARGA SATUAN'!$D$6,MATCH(RAB!C92,'HARGA SATUAN'!$C$7:$C$1492,0),0))</f>
        <v/>
      </c>
      <c r="E92" s="282" t="str">
        <f ca="1">IF(B92="+","Unit",IF(ISERROR(OFFSET('HARGA SATUAN'!$E$6,MATCH(RAB!C92,'HARGA SATUAN'!$C$7:$C$1492,0),0)),"",OFFSET('HARGA SATUAN'!$E$6,MATCH(RAB!C92,'HARGA SATUAN'!$C$7:$C$1492,0),0)))</f>
        <v/>
      </c>
      <c r="F92" s="402"/>
      <c r="G92" s="283">
        <f ca="1">IF(ISERROR(OFFSET('HARGA SATUAN'!$I$6,MATCH(RAB!C92,'HARGA SATUAN'!$C$7:$C$1492,0),0)),0,OFFSET('HARGA SATUAN'!$I$6,MATCH(RAB!C92,'HARGA SATUAN'!$C$7:$C$1492,0),0))</f>
        <v>0</v>
      </c>
      <c r="H92" s="284">
        <f t="shared" ca="1" si="7"/>
        <v>0</v>
      </c>
      <c r="I92" s="284">
        <f t="shared" ca="1" si="8"/>
        <v>0</v>
      </c>
      <c r="J92" s="284">
        <f t="shared" ca="1" si="9"/>
        <v>0</v>
      </c>
      <c r="K92" s="285">
        <f t="shared" ca="1" si="10"/>
        <v>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 ht="15">
      <c r="A93" s="259" t="e">
        <f>IF(AND(C93=0,#REF!=0,#REF!=0),"BLANKS",1)</f>
        <v>#REF!</v>
      </c>
      <c r="B93" s="412"/>
      <c r="C93" s="413"/>
      <c r="D93" s="281" t="str">
        <f ca="1">IF(ISERROR(OFFSET('HARGA SATUAN'!$D$6,MATCH(RAB!C93,'HARGA SATUAN'!$C$7:$C$1492,0),0)),"",OFFSET('HARGA SATUAN'!$D$6,MATCH(RAB!C93,'HARGA SATUAN'!$C$7:$C$1492,0),0))</f>
        <v/>
      </c>
      <c r="E93" s="282" t="str">
        <f ca="1">IF(B93="+","Unit",IF(ISERROR(OFFSET('HARGA SATUAN'!$E$6,MATCH(RAB!C93,'HARGA SATUAN'!$C$7:$C$1492,0),0)),"",OFFSET('HARGA SATUAN'!$E$6,MATCH(RAB!C93,'HARGA SATUAN'!$C$7:$C$1492,0),0)))</f>
        <v/>
      </c>
      <c r="F93" s="402"/>
      <c r="G93" s="283">
        <f ca="1">IF(ISERROR(OFFSET('HARGA SATUAN'!$I$6,MATCH(RAB!C93,'HARGA SATUAN'!$C$7:$C$1492,0),0)),0,OFFSET('HARGA SATUAN'!$I$6,MATCH(RAB!C93,'HARGA SATUAN'!$C$7:$C$1492,0),0))</f>
        <v>0</v>
      </c>
      <c r="H93" s="284">
        <f t="shared" ca="1" si="7"/>
        <v>0</v>
      </c>
      <c r="I93" s="284">
        <f t="shared" ca="1" si="8"/>
        <v>0</v>
      </c>
      <c r="J93" s="284">
        <f t="shared" ca="1" si="9"/>
        <v>0</v>
      </c>
      <c r="K93" s="285">
        <f t="shared" ca="1" si="10"/>
        <v>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 ht="15">
      <c r="A94" s="259" t="str">
        <f t="shared" ref="A94" si="34">IF(AND(C94=0,C95=0,C96=0),"BLANKS",1)</f>
        <v>BLANKS</v>
      </c>
      <c r="B94" s="412"/>
      <c r="C94" s="413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402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ref="H94:H96" ca="1" si="35">IF(OR(D94="MDU",D94="MDU-KD"),(IF($O$3="RAB NON MDU","PLN KD",G94*F94)),0)</f>
        <v>0</v>
      </c>
      <c r="I94" s="284">
        <f t="shared" ref="I94:I96" ca="1" si="36">IF(D94="HDW",G94*F94,0)</f>
        <v>0</v>
      </c>
      <c r="J94" s="284">
        <f t="shared" ref="J94:J96" ca="1" si="37">IF(D94="JASA",G94*F94,0)</f>
        <v>0</v>
      </c>
      <c r="K94" s="285">
        <f t="shared" ref="K94:K96" ca="1" si="38">SUM(H94:J94)</f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 ht="15">
      <c r="A95" s="259" t="e">
        <f>IF(AND(C95=0,C96=0,#REF!=0),"BLANKS",1)</f>
        <v>#REF!</v>
      </c>
      <c r="B95" s="412"/>
      <c r="C95" s="413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402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35"/>
        <v>0</v>
      </c>
      <c r="I95" s="284">
        <f t="shared" ca="1" si="36"/>
        <v>0</v>
      </c>
      <c r="J95" s="284">
        <f t="shared" ca="1" si="37"/>
        <v>0</v>
      </c>
      <c r="K95" s="285">
        <f t="shared" ca="1" si="38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 ht="15">
      <c r="A96" s="259" t="e">
        <f>IF(AND(C96=0,#REF!=0,#REF!=0),"BLANKS",1)</f>
        <v>#REF!</v>
      </c>
      <c r="B96" s="412"/>
      <c r="C96" s="413"/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/>
      </c>
      <c r="F96" s="402"/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ca="1" si="35"/>
        <v>0</v>
      </c>
      <c r="I96" s="284">
        <f t="shared" ca="1" si="36"/>
        <v>0</v>
      </c>
      <c r="J96" s="284">
        <f t="shared" ca="1" si="37"/>
        <v>0</v>
      </c>
      <c r="K96" s="285">
        <f t="shared" ca="1" si="38"/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15">
      <c r="A97" s="259"/>
      <c r="B97" s="412"/>
      <c r="C97" s="413"/>
      <c r="D97" s="281" t="str">
        <f ca="1">IF(ISERROR(OFFSET('HARGA SATUAN'!$D$6,MATCH(RAB!C97,'HARGA SATUAN'!$C$7:$C$1492,0),0)),"",OFFSET('HARGA SATUAN'!$D$6,MATCH(RAB!C97,'HARGA SATUAN'!$C$7:$C$1492,0),0))</f>
        <v/>
      </c>
      <c r="E97" s="282" t="str">
        <f ca="1">IF(B97="+","Unit",IF(ISERROR(OFFSET('HARGA SATUAN'!$E$6,MATCH(RAB!C97,'HARGA SATUAN'!$C$7:$C$1492,0),0)),"",OFFSET('HARGA SATUAN'!$E$6,MATCH(RAB!C97,'HARGA SATUAN'!$C$7:$C$1492,0),0)))</f>
        <v/>
      </c>
      <c r="F97" s="402"/>
      <c r="G97" s="283">
        <f ca="1">IF(ISERROR(OFFSET('HARGA SATUAN'!$I$6,MATCH(RAB!C97,'HARGA SATUAN'!$C$7:$C$1492,0),0)),0,OFFSET('HARGA SATUAN'!$I$6,MATCH(RAB!C97,'HARGA SATUAN'!$C$7:$C$1492,0),0))</f>
        <v>0</v>
      </c>
      <c r="H97" s="284">
        <f t="shared" ca="1" si="4"/>
        <v>0</v>
      </c>
      <c r="I97" s="284">
        <f t="shared" ca="1" si="5"/>
        <v>0</v>
      </c>
      <c r="J97" s="284">
        <f t="shared" ca="1" si="6"/>
        <v>0</v>
      </c>
      <c r="K97" s="285">
        <f t="shared" ca="1" si="3"/>
        <v>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 ht="15">
      <c r="A98" s="259" t="s">
        <v>1414</v>
      </c>
      <c r="B98" s="412"/>
      <c r="C98" s="413"/>
      <c r="D98" s="281" t="str">
        <f ca="1">IF(ISERROR(OFFSET('HARGA SATUAN'!$D$6,MATCH(RAB!C98,'HARGA SATUAN'!$C$7:$C$1492,0),0)),"",OFFSET('HARGA SATUAN'!$D$6,MATCH(RAB!C98,'HARGA SATUAN'!$C$7:$C$1492,0),0))</f>
        <v/>
      </c>
      <c r="E98" s="282" t="str">
        <f ca="1">IF(B98="+","Unit",IF(ISERROR(OFFSET('HARGA SATUAN'!$E$6,MATCH(RAB!C98,'HARGA SATUAN'!$C$7:$C$1492,0),0)),"",OFFSET('HARGA SATUAN'!$E$6,MATCH(RAB!C98,'HARGA SATUAN'!$C$7:$C$1492,0),0)))</f>
        <v/>
      </c>
      <c r="F98" s="402"/>
      <c r="G98" s="283">
        <f ca="1">IF(ISERROR(OFFSET('HARGA SATUAN'!$I$6,MATCH(RAB!C98,'HARGA SATUAN'!$C$7:$C$1492,0),0)),0,OFFSET('HARGA SATUAN'!$I$6,MATCH(RAB!C98,'HARGA SATUAN'!$C$7:$C$1492,0),0))</f>
        <v>0</v>
      </c>
      <c r="H98" s="284">
        <f t="shared" ref="H98:H101" ca="1" si="39">IF(OR(D98="MDU",D98="MDU-KD"),(IF($O$3="RAB NON MDU","PLN KD",G98*F98)),0)</f>
        <v>0</v>
      </c>
      <c r="I98" s="284">
        <f t="shared" ref="I98:I101" ca="1" si="40">IF(D98="HDW",G98*F98,0)</f>
        <v>0</v>
      </c>
      <c r="J98" s="284">
        <f t="shared" ref="J98:J101" ca="1" si="41">IF(D98="JASA",G98*F98,0)</f>
        <v>0</v>
      </c>
      <c r="K98" s="285">
        <f t="shared" ref="K98:K101" ca="1" si="42">SUM(H98:J98)</f>
        <v>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 ht="15">
      <c r="A99" s="259" t="e">
        <f>IF(AND(C99=0,#REF!=0,#REF!=0),"BLANKS",1)</f>
        <v>#REF!</v>
      </c>
      <c r="B99" s="412"/>
      <c r="C99" s="413"/>
      <c r="D99" s="281" t="str">
        <f ca="1">IF(ISERROR(OFFSET('HARGA SATUAN'!$D$6,MATCH(RAB!C99,'HARGA SATUAN'!$C$7:$C$1492,0),0)),"",OFFSET('HARGA SATUAN'!$D$6,MATCH(RAB!C99,'HARGA SATUAN'!$C$7:$C$1492,0),0))</f>
        <v/>
      </c>
      <c r="E99" s="282" t="str">
        <f ca="1">IF(B99="+","Unit",IF(ISERROR(OFFSET('HARGA SATUAN'!$E$6,MATCH(RAB!C99,'HARGA SATUAN'!$C$7:$C$1492,0),0)),"",OFFSET('HARGA SATUAN'!$E$6,MATCH(RAB!C99,'HARGA SATUAN'!$C$7:$C$1492,0),0)))</f>
        <v/>
      </c>
      <c r="F99" s="402"/>
      <c r="G99" s="283">
        <f ca="1">IF(ISERROR(OFFSET('HARGA SATUAN'!$I$6,MATCH(RAB!C99,'HARGA SATUAN'!$C$7:$C$1492,0),0)),0,OFFSET('HARGA SATUAN'!$I$6,MATCH(RAB!C99,'HARGA SATUAN'!$C$7:$C$1492,0),0))</f>
        <v>0</v>
      </c>
      <c r="H99" s="284">
        <f t="shared" ca="1" si="39"/>
        <v>0</v>
      </c>
      <c r="I99" s="284">
        <f t="shared" ca="1" si="40"/>
        <v>0</v>
      </c>
      <c r="J99" s="284">
        <f t="shared" ca="1" si="41"/>
        <v>0</v>
      </c>
      <c r="K99" s="285">
        <f t="shared" ca="1" si="42"/>
        <v>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 ht="15">
      <c r="A100" s="259" t="s">
        <v>1414</v>
      </c>
      <c r="B100" s="412"/>
      <c r="C100" s="413"/>
      <c r="D100" s="281" t="str">
        <f ca="1">IF(ISERROR(OFFSET('HARGA SATUAN'!$D$6,MATCH(RAB!C100,'HARGA SATUAN'!$C$7:$C$1492,0),0)),"",OFFSET('HARGA SATUAN'!$D$6,MATCH(RAB!C100,'HARGA SATUAN'!$C$7:$C$1492,0),0))</f>
        <v/>
      </c>
      <c r="E100" s="282" t="str">
        <f ca="1">IF(B100="+","Unit",IF(ISERROR(OFFSET('HARGA SATUAN'!$E$6,MATCH(RAB!C100,'HARGA SATUAN'!$C$7:$C$1492,0),0)),"",OFFSET('HARGA SATUAN'!$E$6,MATCH(RAB!C100,'HARGA SATUAN'!$C$7:$C$1492,0),0)))</f>
        <v/>
      </c>
      <c r="F100" s="402"/>
      <c r="G100" s="283">
        <f ca="1">IF(ISERROR(OFFSET('HARGA SATUAN'!$I$6,MATCH(RAB!C100,'HARGA SATUAN'!$C$7:$C$1492,0),0)),0,OFFSET('HARGA SATUAN'!$I$6,MATCH(RAB!C100,'HARGA SATUAN'!$C$7:$C$1492,0),0))</f>
        <v>0</v>
      </c>
      <c r="H100" s="284">
        <f t="shared" ca="1" si="39"/>
        <v>0</v>
      </c>
      <c r="I100" s="284">
        <f t="shared" ca="1" si="40"/>
        <v>0</v>
      </c>
      <c r="J100" s="284">
        <f t="shared" ca="1" si="41"/>
        <v>0</v>
      </c>
      <c r="K100" s="285">
        <f t="shared" ca="1" si="42"/>
        <v>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 ht="15">
      <c r="A101" s="259" t="e">
        <f>IF(AND(C101=0,#REF!=0,#REF!=0),"BLANKS",1)</f>
        <v>#REF!</v>
      </c>
      <c r="B101" s="412"/>
      <c r="C101" s="413"/>
      <c r="D101" s="281" t="str">
        <f ca="1">IF(ISERROR(OFFSET('HARGA SATUAN'!$D$6,MATCH(RAB!C101,'HARGA SATUAN'!$C$7:$C$1492,0),0)),"",OFFSET('HARGA SATUAN'!$D$6,MATCH(RAB!C101,'HARGA SATUAN'!$C$7:$C$1492,0),0))</f>
        <v/>
      </c>
      <c r="E101" s="282" t="str">
        <f ca="1">IF(B101="+","Unit",IF(ISERROR(OFFSET('HARGA SATUAN'!$E$6,MATCH(RAB!C101,'HARGA SATUAN'!$C$7:$C$1492,0),0)),"",OFFSET('HARGA SATUAN'!$E$6,MATCH(RAB!C101,'HARGA SATUAN'!$C$7:$C$1492,0),0)))</f>
        <v/>
      </c>
      <c r="F101" s="402"/>
      <c r="G101" s="283">
        <f ca="1">IF(ISERROR(OFFSET('HARGA SATUAN'!$I$6,MATCH(RAB!C101,'HARGA SATUAN'!$C$7:$C$1492,0),0)),0,OFFSET('HARGA SATUAN'!$I$6,MATCH(RAB!C101,'HARGA SATUAN'!$C$7:$C$1492,0),0))</f>
        <v>0</v>
      </c>
      <c r="H101" s="284">
        <f t="shared" ca="1" si="39"/>
        <v>0</v>
      </c>
      <c r="I101" s="284">
        <f t="shared" ca="1" si="40"/>
        <v>0</v>
      </c>
      <c r="J101" s="284">
        <f t="shared" ca="1" si="41"/>
        <v>0</v>
      </c>
      <c r="K101" s="285">
        <f t="shared" ca="1" si="42"/>
        <v>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 ht="15">
      <c r="A102" s="259"/>
      <c r="B102" s="412"/>
      <c r="C102" s="413"/>
      <c r="D102" s="281" t="str">
        <f ca="1">IF(ISERROR(OFFSET('HARGA SATUAN'!$D$6,MATCH(RAB!C102,'HARGA SATUAN'!$C$7:$C$1492,0),0)),"",OFFSET('HARGA SATUAN'!$D$6,MATCH(RAB!C102,'HARGA SATUAN'!$C$7:$C$1492,0),0))</f>
        <v/>
      </c>
      <c r="E102" s="282"/>
      <c r="F102" s="402"/>
      <c r="G102" s="283"/>
      <c r="H102" s="284"/>
      <c r="I102" s="284"/>
      <c r="J102" s="284"/>
      <c r="K102" s="285"/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 ht="15">
      <c r="A103" s="259" t="e">
        <f>IF(AND(#REF!=0,#REF!=0,#REF!=0),"BLANKS",1)</f>
        <v>#REF!</v>
      </c>
      <c r="B103" s="412"/>
      <c r="C103" s="413"/>
      <c r="D103" s="281" t="str">
        <f ca="1">IF(ISERROR(OFFSET('HARGA SATUAN'!$D$6,MATCH(RAB!C103,'HARGA SATUAN'!$C$7:$C$1492,0),0)),"",OFFSET('HARGA SATUAN'!$D$6,MATCH(RAB!C103,'HARGA SATUAN'!$C$7:$C$1492,0),0))</f>
        <v/>
      </c>
      <c r="E103" s="282" t="str">
        <f ca="1">IF(B103="+","Unit",IF(ISERROR(OFFSET('HARGA SATUAN'!$E$6,MATCH(RAB!C103,'HARGA SATUAN'!$C$7:$C$1492,0),0)),"",OFFSET('HARGA SATUAN'!$E$6,MATCH(RAB!C103,'HARGA SATUAN'!$C$7:$C$1492,0),0)))</f>
        <v/>
      </c>
      <c r="F103" s="402"/>
      <c r="G103" s="283">
        <f ca="1">IF(ISERROR(OFFSET('HARGA SATUAN'!$I$6,MATCH(RAB!C103,'HARGA SATUAN'!$C$7:$C$1492,0),0)),0,OFFSET('HARGA SATUAN'!$I$6,MATCH(RAB!C103,'HARGA SATUAN'!$C$7:$C$1492,0),0))</f>
        <v>0</v>
      </c>
      <c r="H103" s="284">
        <f t="shared" ref="H103:H112" ca="1" si="43">IF(OR(D103="MDU",D103="MDU-KD"),(IF($O$3="RAB NON MDU","PLN KD",G103*F103)),0)</f>
        <v>0</v>
      </c>
      <c r="I103" s="284">
        <f t="shared" ref="I103:I112" ca="1" si="44">IF(D103="HDW",G103*F103,0)</f>
        <v>0</v>
      </c>
      <c r="J103" s="284">
        <f t="shared" ref="J103:J112" ca="1" si="45">IF(D103="JASA",G103*F103,0)</f>
        <v>0</v>
      </c>
      <c r="K103" s="285">
        <f t="shared" ref="K103:K112" ca="1" si="46">SUM(H103:J103)</f>
        <v>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 ht="15">
      <c r="A104" s="259" t="e">
        <f>IF(AND(#REF!=0,#REF!=0,#REF!=0),"BLANKS",1)</f>
        <v>#REF!</v>
      </c>
      <c r="B104" s="412"/>
      <c r="C104" s="413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402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43"/>
        <v>0</v>
      </c>
      <c r="I104" s="284">
        <f t="shared" ca="1" si="44"/>
        <v>0</v>
      </c>
      <c r="J104" s="284">
        <f t="shared" ca="1" si="45"/>
        <v>0</v>
      </c>
      <c r="K104" s="285">
        <f t="shared" ca="1" si="46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 ht="15">
      <c r="A105" s="259"/>
      <c r="B105" s="412"/>
      <c r="C105" s="413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390"/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43"/>
        <v>0</v>
      </c>
      <c r="I105" s="284">
        <f t="shared" ca="1" si="44"/>
        <v>0</v>
      </c>
      <c r="J105" s="284">
        <f t="shared" ca="1" si="45"/>
        <v>0</v>
      </c>
      <c r="K105" s="285">
        <f t="shared" ca="1" si="4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 ht="15">
      <c r="A106" s="259" t="str">
        <f>IF(AND(C124=0,C125=0,C126=0),"BLANKS",1)</f>
        <v>BLANKS</v>
      </c>
      <c r="B106" s="412"/>
      <c r="C106" s="413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390"/>
      <c r="G106" s="283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3"/>
        <v>0</v>
      </c>
      <c r="I106" s="284">
        <f t="shared" ca="1" si="44"/>
        <v>0</v>
      </c>
      <c r="J106" s="284">
        <f t="shared" ca="1" si="45"/>
        <v>0</v>
      </c>
      <c r="K106" s="285">
        <f t="shared" ca="1" si="46"/>
        <v>0</v>
      </c>
      <c r="L106" s="290"/>
      <c r="M106" s="290"/>
      <c r="N106" s="290"/>
      <c r="O106" s="267"/>
      <c r="P106" s="267"/>
      <c r="Q106" s="267"/>
      <c r="R106" s="259"/>
      <c r="S106" s="287"/>
      <c r="T106" s="264"/>
      <c r="U106" s="264"/>
      <c r="V106" s="264"/>
    </row>
    <row r="107" spans="1:22" s="291" customFormat="1" ht="15">
      <c r="A107" s="259" t="str">
        <f>IF(AND(C125=0,C126=0,C127=0),"BLANKS",1)</f>
        <v>BLANKS</v>
      </c>
      <c r="B107" s="412"/>
      <c r="C107" s="413"/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390"/>
      <c r="G107" s="283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43"/>
        <v>0</v>
      </c>
      <c r="I107" s="284">
        <f t="shared" ca="1" si="44"/>
        <v>0</v>
      </c>
      <c r="J107" s="284">
        <f t="shared" ca="1" si="45"/>
        <v>0</v>
      </c>
      <c r="K107" s="285">
        <f t="shared" ca="1" si="46"/>
        <v>0</v>
      </c>
      <c r="L107" s="290"/>
      <c r="M107" s="290"/>
      <c r="N107" s="290"/>
      <c r="O107" s="267"/>
      <c r="P107" s="267"/>
      <c r="Q107" s="267"/>
      <c r="R107" s="259"/>
      <c r="S107" s="287"/>
      <c r="T107" s="264"/>
      <c r="U107" s="264"/>
      <c r="V107" s="264"/>
    </row>
    <row r="108" spans="1:22" s="291" customFormat="1" ht="15">
      <c r="A108" s="259" t="str">
        <f>IF(AND(C126=0,C127=0,C128=0),"BLANKS",1)</f>
        <v>BLANKS</v>
      </c>
      <c r="B108" s="412"/>
      <c r="C108" s="413"/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390"/>
      <c r="G108" s="283">
        <f ca="1">IF(ISERROR(OFFSET('HARGA SATUAN'!$I$6,MATCH(RAB!C108,'HARGA SATUAN'!$C$7:$C$1492,0),0)),0,OFFSET('HARGA SATUAN'!$I$6,MATCH(RAB!C108,'HARGA SATUAN'!$C$7:$C$1492,0),0))</f>
        <v>0</v>
      </c>
      <c r="H108" s="284">
        <f t="shared" ca="1" si="43"/>
        <v>0</v>
      </c>
      <c r="I108" s="284">
        <f t="shared" ca="1" si="44"/>
        <v>0</v>
      </c>
      <c r="J108" s="284">
        <f t="shared" ca="1" si="45"/>
        <v>0</v>
      </c>
      <c r="K108" s="285">
        <f t="shared" ca="1" si="46"/>
        <v>0</v>
      </c>
      <c r="L108" s="290"/>
      <c r="M108" s="290"/>
      <c r="N108" s="290"/>
      <c r="O108" s="267"/>
      <c r="P108" s="267"/>
      <c r="Q108" s="267"/>
      <c r="R108" s="267"/>
      <c r="S108" s="264"/>
      <c r="T108" s="264"/>
      <c r="U108" s="264"/>
      <c r="V108" s="264"/>
    </row>
    <row r="109" spans="1:22" s="291" customFormat="1" ht="15" customHeight="1">
      <c r="A109" s="259"/>
      <c r="B109" s="412"/>
      <c r="C109" s="413"/>
      <c r="D109" s="281" t="str">
        <f ca="1">IF(ISERROR(OFFSET('HARGA SATUAN'!$D$6,MATCH(RAB!C109,'HARGA SATUAN'!$C$7:$C$1492,0),0)),"",OFFSET('HARGA SATUAN'!$D$6,MATCH(RAB!C109,'HARGA SATUAN'!$C$7:$C$1492,0),0))</f>
        <v/>
      </c>
      <c r="E109" s="282" t="str">
        <f ca="1">IF(B109="+","Unit",IF(ISERROR(OFFSET('HARGA SATUAN'!$E$6,MATCH(RAB!C109,'HARGA SATUAN'!$C$7:$C$1492,0),0)),"",OFFSET('HARGA SATUAN'!$E$6,MATCH(RAB!C109,'HARGA SATUAN'!$C$7:$C$1492,0),0)))</f>
        <v/>
      </c>
      <c r="F109" s="390"/>
      <c r="G109" s="283">
        <f ca="1">IF(ISERROR(OFFSET('HARGA SATUAN'!$I$6,MATCH(RAB!C109,'HARGA SATUAN'!$C$7:$C$1492,0),0)),0,OFFSET('HARGA SATUAN'!$I$6,MATCH(RAB!C109,'HARGA SATUAN'!$C$7:$C$1492,0),0))</f>
        <v>0</v>
      </c>
      <c r="H109" s="284">
        <f t="shared" ca="1" si="43"/>
        <v>0</v>
      </c>
      <c r="I109" s="284">
        <f t="shared" ca="1" si="44"/>
        <v>0</v>
      </c>
      <c r="J109" s="284">
        <f t="shared" ca="1" si="45"/>
        <v>0</v>
      </c>
      <c r="K109" s="285">
        <f t="shared" ca="1" si="46"/>
        <v>0</v>
      </c>
      <c r="L109" s="265"/>
      <c r="M109" s="290"/>
      <c r="N109" s="290"/>
      <c r="O109" s="267"/>
      <c r="P109" s="267"/>
      <c r="Q109" s="267"/>
      <c r="R109" s="267"/>
      <c r="S109" s="267"/>
    </row>
    <row r="110" spans="1:22" s="288" customFormat="1" ht="30" customHeight="1">
      <c r="A110" s="259"/>
      <c r="B110" s="412"/>
      <c r="C110" s="413"/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390"/>
      <c r="G110" s="283">
        <f ca="1">IF(ISERROR(OFFSET('HARGA SATUAN'!$I$6,MATCH(RAB!C110,'HARGA SATUAN'!$C$7:$C$1492,0),0)),0,OFFSET('HARGA SATUAN'!$I$6,MATCH(RAB!C110,'HARGA SATUAN'!$C$7:$C$1492,0),0))</f>
        <v>0</v>
      </c>
      <c r="H110" s="284">
        <f t="shared" ca="1" si="43"/>
        <v>0</v>
      </c>
      <c r="I110" s="284">
        <f t="shared" ca="1" si="44"/>
        <v>0</v>
      </c>
      <c r="J110" s="284">
        <f t="shared" ca="1" si="45"/>
        <v>0</v>
      </c>
      <c r="K110" s="285">
        <f t="shared" ca="1" si="46"/>
        <v>0</v>
      </c>
      <c r="L110" s="265"/>
      <c r="M110" s="265"/>
      <c r="N110" s="290"/>
      <c r="O110" s="267"/>
      <c r="P110" s="267"/>
      <c r="Q110" s="318"/>
      <c r="R110" s="267"/>
      <c r="S110" s="318"/>
      <c r="T110" s="319"/>
      <c r="U110" s="319"/>
      <c r="V110" s="319"/>
    </row>
    <row r="111" spans="1:22" s="288" customFormat="1" ht="15">
      <c r="A111" s="259"/>
      <c r="B111" s="412"/>
      <c r="C111" s="413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390"/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43"/>
        <v>0</v>
      </c>
      <c r="I111" s="284">
        <f t="shared" ca="1" si="44"/>
        <v>0</v>
      </c>
      <c r="J111" s="284">
        <f t="shared" ca="1" si="45"/>
        <v>0</v>
      </c>
      <c r="K111" s="285">
        <f t="shared" ca="1" si="46"/>
        <v>0</v>
      </c>
      <c r="L111" s="265"/>
      <c r="M111" s="265"/>
      <c r="N111" s="290"/>
      <c r="O111" s="267"/>
      <c r="P111" s="267"/>
      <c r="Q111" s="267"/>
      <c r="R111" s="267"/>
      <c r="S111" s="267"/>
      <c r="T111" s="323"/>
      <c r="U111" s="323"/>
      <c r="V111" s="323"/>
    </row>
    <row r="112" spans="1:22" s="288" customFormat="1" ht="15">
      <c r="A112" s="259"/>
      <c r="B112" s="412"/>
      <c r="C112" s="413"/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/>
      </c>
      <c r="F112" s="390"/>
      <c r="G112" s="283">
        <f ca="1">IF(ISERROR(OFFSET('HARGA SATUAN'!$I$6,MATCH(RAB!C112,'HARGA SATUAN'!$C$7:$C$1492,0),0)),0,OFFSET('HARGA SATUAN'!$I$6,MATCH(RAB!C112,'HARGA SATUAN'!$C$7:$C$1492,0),0))</f>
        <v>0</v>
      </c>
      <c r="H112" s="284">
        <f t="shared" ca="1" si="43"/>
        <v>0</v>
      </c>
      <c r="I112" s="284">
        <f t="shared" ca="1" si="44"/>
        <v>0</v>
      </c>
      <c r="J112" s="284">
        <f t="shared" ca="1" si="45"/>
        <v>0</v>
      </c>
      <c r="K112" s="285">
        <f t="shared" ca="1" si="46"/>
        <v>0</v>
      </c>
      <c r="L112" s="265"/>
      <c r="M112" s="265"/>
      <c r="N112" s="290"/>
      <c r="O112" s="267"/>
      <c r="P112" s="267"/>
      <c r="Q112" s="267"/>
      <c r="R112" s="267"/>
      <c r="S112" s="267"/>
      <c r="T112" s="319"/>
      <c r="U112" s="319"/>
      <c r="V112" s="319"/>
    </row>
    <row r="113" spans="1:22" s="288" customFormat="1" ht="15">
      <c r="A113" s="259"/>
      <c r="B113" s="412"/>
      <c r="C113" s="413"/>
      <c r="D113" s="281"/>
      <c r="E113" s="282"/>
      <c r="F113" s="390"/>
      <c r="G113" s="283"/>
      <c r="H113" s="284"/>
      <c r="I113" s="284"/>
      <c r="J113" s="284"/>
      <c r="K113" s="285"/>
      <c r="L113" s="326"/>
      <c r="M113" s="326"/>
      <c r="N113" s="290"/>
      <c r="O113" s="267"/>
      <c r="P113" s="267"/>
      <c r="Q113" s="267"/>
    </row>
    <row r="114" spans="1:22" s="288" customFormat="1" ht="15">
      <c r="A114" s="259"/>
      <c r="B114" s="412"/>
      <c r="C114" s="413"/>
      <c r="D114" s="281" t="str">
        <f ca="1">IF(ISERROR(OFFSET('HARGA SATUAN'!$D$6,MATCH(RAB!C114,'HARGA SATUAN'!$C$7:$C$1492,0),0)),"",OFFSET('HARGA SATUAN'!$D$6,MATCH(RAB!C114,'HARGA SATUAN'!$C$7:$C$1492,0),0))</f>
        <v/>
      </c>
      <c r="E114" s="282" t="str">
        <f ca="1">IF(B114="+","Unit",IF(ISERROR(OFFSET('HARGA SATUAN'!$E$6,MATCH(RAB!C114,'HARGA SATUAN'!$C$7:$C$1492,0),0)),"",OFFSET('HARGA SATUAN'!$E$6,MATCH(RAB!C114,'HARGA SATUAN'!$C$7:$C$1492,0),0)))</f>
        <v/>
      </c>
      <c r="F114" s="390"/>
      <c r="G114" s="283">
        <f ca="1">IF(ISERROR(OFFSET('HARGA SATUAN'!$I$6,MATCH(RAB!C114,'HARGA SATUAN'!$C$7:$C$1492,0),0)),0,OFFSET('HARGA SATUAN'!$I$6,MATCH(RAB!C114,'HARGA SATUAN'!$C$7:$C$1492,0),0))</f>
        <v>0</v>
      </c>
      <c r="H114" s="284">
        <f t="shared" ref="H114:H116" ca="1" si="47">IF(OR(D114="MDU",D114="MDU-KD"),(IF($O$3="RAB NON MDU","PLN KD",G114*F114)),0)</f>
        <v>0</v>
      </c>
      <c r="I114" s="284">
        <f t="shared" ref="I114:I116" ca="1" si="48">IF(D114="HDW",G114*F114,0)</f>
        <v>0</v>
      </c>
      <c r="J114" s="284">
        <f t="shared" ref="J114:J116" ca="1" si="49">IF(D114="JASA",G114*F114,0)</f>
        <v>0</v>
      </c>
      <c r="K114" s="285">
        <f t="shared" ref="K114:K116" ca="1" si="50">SUM(H114:J114)</f>
        <v>0</v>
      </c>
      <c r="L114" s="265"/>
      <c r="M114" s="265"/>
      <c r="N114" s="290"/>
      <c r="O114" s="267"/>
      <c r="P114" s="267"/>
      <c r="Q114" s="318"/>
      <c r="R114" s="267"/>
      <c r="S114" s="318"/>
      <c r="T114" s="319"/>
      <c r="U114" s="319"/>
      <c r="V114" s="319"/>
    </row>
    <row r="115" spans="1:22" s="288" customFormat="1" ht="15">
      <c r="A115" s="259"/>
      <c r="B115" s="412"/>
      <c r="C115" s="413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IF(B115="+","Unit",IF(ISERROR(OFFSET('HARGA SATUAN'!$E$6,MATCH(RAB!C115,'HARGA SATUAN'!$C$7:$C$1492,0),0)),"",OFFSET('HARGA SATUAN'!$E$6,MATCH(RAB!C115,'HARGA SATUAN'!$C$7:$C$1492,0),0)))</f>
        <v/>
      </c>
      <c r="F115" s="390"/>
      <c r="G115" s="283">
        <f ca="1">IF(ISERROR(OFFSET('HARGA SATUAN'!$I$6,MATCH(RAB!C115,'HARGA SATUAN'!$C$7:$C$1492,0),0)),0,OFFSET('HARGA SATUAN'!$I$6,MATCH(RAB!C115,'HARGA SATUAN'!$C$7:$C$1492,0),0))</f>
        <v>0</v>
      </c>
      <c r="H115" s="284">
        <f t="shared" ca="1" si="47"/>
        <v>0</v>
      </c>
      <c r="I115" s="284">
        <f t="shared" ca="1" si="48"/>
        <v>0</v>
      </c>
      <c r="J115" s="284">
        <f t="shared" ca="1" si="49"/>
        <v>0</v>
      </c>
      <c r="K115" s="285">
        <f t="shared" ca="1" si="50"/>
        <v>0</v>
      </c>
      <c r="L115" s="265"/>
      <c r="M115" s="265"/>
      <c r="N115" s="290"/>
      <c r="O115" s="267"/>
      <c r="P115" s="267"/>
      <c r="Q115" s="267"/>
      <c r="R115" s="267"/>
      <c r="S115" s="267"/>
      <c r="T115" s="323"/>
      <c r="U115" s="323"/>
      <c r="V115" s="323"/>
    </row>
    <row r="116" spans="1:22" s="288" customFormat="1" ht="15">
      <c r="A116" s="259"/>
      <c r="B116" s="412"/>
      <c r="C116" s="413"/>
      <c r="D116" s="281" t="str">
        <f ca="1">IF(ISERROR(OFFSET('HARGA SATUAN'!$D$6,MATCH(RAB!C116,'HARGA SATUAN'!$C$7:$C$1492,0),0)),"",OFFSET('HARGA SATUAN'!$D$6,MATCH(RAB!C116,'HARGA SATUAN'!$C$7:$C$1492,0),0))</f>
        <v/>
      </c>
      <c r="E116" s="282" t="str">
        <f ca="1">IF(B116="+","Unit",IF(ISERROR(OFFSET('HARGA SATUAN'!$E$6,MATCH(RAB!C116,'HARGA SATUAN'!$C$7:$C$1492,0),0)),"",OFFSET('HARGA SATUAN'!$E$6,MATCH(RAB!C116,'HARGA SATUAN'!$C$7:$C$1492,0),0)))</f>
        <v/>
      </c>
      <c r="F116" s="390"/>
      <c r="G116" s="283">
        <f ca="1">IF(ISERROR(OFFSET('HARGA SATUAN'!$I$6,MATCH(RAB!C116,'HARGA SATUAN'!$C$7:$C$1492,0),0)),0,OFFSET('HARGA SATUAN'!$I$6,MATCH(RAB!C116,'HARGA SATUAN'!$C$7:$C$1492,0),0))</f>
        <v>0</v>
      </c>
      <c r="H116" s="284">
        <f t="shared" ca="1" si="47"/>
        <v>0</v>
      </c>
      <c r="I116" s="284">
        <f t="shared" ca="1" si="48"/>
        <v>0</v>
      </c>
      <c r="J116" s="284">
        <f t="shared" ca="1" si="49"/>
        <v>0</v>
      </c>
      <c r="K116" s="285">
        <f t="shared" ca="1" si="50"/>
        <v>0</v>
      </c>
      <c r="L116" s="265"/>
      <c r="M116" s="265"/>
      <c r="N116" s="290"/>
      <c r="O116" s="267"/>
      <c r="P116" s="267"/>
      <c r="Q116" s="267"/>
      <c r="R116" s="267"/>
      <c r="S116" s="267"/>
      <c r="T116" s="319"/>
      <c r="U116" s="319"/>
      <c r="V116" s="319"/>
    </row>
    <row r="117" spans="1:22" s="291" customFormat="1" ht="15">
      <c r="A117" s="259" t="s">
        <v>1414</v>
      </c>
      <c r="B117" s="412"/>
      <c r="C117" s="413"/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390"/>
      <c r="G117" s="283">
        <f ca="1">IF(ISERROR(OFFSET('HARGA SATUAN'!$I$6,MATCH(RAB!C117,'HARGA SATUAN'!$C$7:$C$1492,0),0)),0,OFFSET('HARGA SATUAN'!$I$6,MATCH(RAB!C117,'HARGA SATUAN'!$C$7:$C$1492,0),0))</f>
        <v>0</v>
      </c>
      <c r="H117" s="284">
        <f t="shared" ref="H117:H142" ca="1" si="51">IF(OR(D117="MDU",D117="MDU-KD"),(IF($O$3="RAB NON MDU","PLN KD",G117*F117)),0)</f>
        <v>0</v>
      </c>
      <c r="I117" s="284">
        <f t="shared" ref="I117:I142" ca="1" si="52">IF(D117="HDW",G117*F117,0)</f>
        <v>0</v>
      </c>
      <c r="J117" s="284">
        <f t="shared" ref="J117:J142" ca="1" si="53">IF(D117="JASA",G117*F117,0)</f>
        <v>0</v>
      </c>
      <c r="K117" s="285">
        <f t="shared" ref="K117:K142" ca="1" si="54">SUM(H117:J117)</f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 ht="15">
      <c r="A118" s="259" t="e">
        <f>IF(AND(C118=0,#REF!=0,#REF!=0),"BLANKS",1)</f>
        <v>#REF!</v>
      </c>
      <c r="B118" s="412"/>
      <c r="C118" s="413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390"/>
      <c r="G118" s="283">
        <f ca="1">IF(ISERROR(OFFSET('HARGA SATUAN'!$I$6,MATCH(RAB!C118,'HARGA SATUAN'!$C$7:$C$1492,0),0)),0,OFFSET('HARGA SATUAN'!$I$6,MATCH(RAB!C118,'HARGA SATUAN'!$C$7:$C$1492,0),0))</f>
        <v>0</v>
      </c>
      <c r="H118" s="284">
        <f t="shared" ca="1" si="51"/>
        <v>0</v>
      </c>
      <c r="I118" s="284">
        <f t="shared" ca="1" si="52"/>
        <v>0</v>
      </c>
      <c r="J118" s="284">
        <f t="shared" ca="1" si="53"/>
        <v>0</v>
      </c>
      <c r="K118" s="285">
        <f t="shared" ca="1" si="54"/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 ht="15">
      <c r="A119" s="259" t="s">
        <v>1414</v>
      </c>
      <c r="B119" s="412"/>
      <c r="C119" s="413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390"/>
      <c r="G119" s="283">
        <f ca="1">IF(ISERROR(OFFSET('HARGA SATUAN'!$I$6,MATCH(RAB!C119,'HARGA SATUAN'!$C$7:$C$1492,0),0)),0,OFFSET('HARGA SATUAN'!$I$6,MATCH(RAB!C119,'HARGA SATUAN'!$C$7:$C$1492,0),0))</f>
        <v>0</v>
      </c>
      <c r="H119" s="284">
        <f t="shared" ca="1" si="51"/>
        <v>0</v>
      </c>
      <c r="I119" s="284">
        <f t="shared" ca="1" si="52"/>
        <v>0</v>
      </c>
      <c r="J119" s="284">
        <f t="shared" ca="1" si="53"/>
        <v>0</v>
      </c>
      <c r="K119" s="285">
        <f t="shared" ca="1" si="54"/>
        <v>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 ht="15">
      <c r="A120" s="259" t="e">
        <f>IF(AND(C120=0,#REF!=0,#REF!=0),"BLANKS",1)</f>
        <v>#REF!</v>
      </c>
      <c r="B120" s="293"/>
      <c r="C120" s="294"/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401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51"/>
        <v>0</v>
      </c>
      <c r="I120" s="284">
        <f t="shared" ca="1" si="52"/>
        <v>0</v>
      </c>
      <c r="J120" s="284">
        <f t="shared" ca="1" si="53"/>
        <v>0</v>
      </c>
      <c r="K120" s="285">
        <f t="shared" ca="1" si="54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 ht="15">
      <c r="A121" s="259"/>
      <c r="B121" s="293"/>
      <c r="C121" s="294"/>
      <c r="D121" s="281" t="str">
        <f ca="1">IF(ISERROR(OFFSET('HARGA SATUAN'!$D$6,MATCH(RAB!C121,'HARGA SATUAN'!$C$7:$C$1492,0),0)),"",OFFSET('HARGA SATUAN'!$D$6,MATCH(RAB!C121,'HARGA SATUAN'!$C$7:$C$1492,0),0))</f>
        <v/>
      </c>
      <c r="E121" s="282"/>
      <c r="F121" s="401"/>
      <c r="G121" s="283"/>
      <c r="H121" s="284"/>
      <c r="I121" s="284"/>
      <c r="J121" s="284"/>
      <c r="K121" s="285"/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 ht="15">
      <c r="A122" s="259" t="e">
        <f>IF(AND(#REF!=0,#REF!=0,#REF!=0),"BLANKS",1)</f>
        <v>#REF!</v>
      </c>
      <c r="B122" s="293"/>
      <c r="C122" s="294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401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51"/>
        <v>0</v>
      </c>
      <c r="I122" s="284">
        <f t="shared" ca="1" si="52"/>
        <v>0</v>
      </c>
      <c r="J122" s="284">
        <f t="shared" ca="1" si="53"/>
        <v>0</v>
      </c>
      <c r="K122" s="285">
        <f t="shared" ca="1" si="54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 ht="15">
      <c r="A123" s="259" t="e">
        <f>IF(AND(#REF!=0,#REF!=0,#REF!=0),"BLANKS",1)</f>
        <v>#REF!</v>
      </c>
      <c r="B123" s="293"/>
      <c r="C123" s="109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401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1"/>
        <v>0</v>
      </c>
      <c r="I123" s="284">
        <f t="shared" ca="1" si="52"/>
        <v>0</v>
      </c>
      <c r="J123" s="284">
        <f t="shared" ca="1" si="53"/>
        <v>0</v>
      </c>
      <c r="K123" s="285">
        <f t="shared" ca="1" si="5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 ht="15">
      <c r="A124" s="259"/>
      <c r="B124" s="408"/>
      <c r="C124" s="409"/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/>
      </c>
      <c r="F124" s="401"/>
      <c r="G124" s="283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1"/>
        <v>0</v>
      </c>
      <c r="I124" s="284">
        <f t="shared" ca="1" si="52"/>
        <v>0</v>
      </c>
      <c r="J124" s="284">
        <f t="shared" ca="1" si="53"/>
        <v>0</v>
      </c>
      <c r="K124" s="285">
        <f t="shared" ca="1" si="5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 ht="15">
      <c r="A125" s="259">
        <f>IF(AND(C143=0,C144=0,C145=0),"BLANKS",1)</f>
        <v>1</v>
      </c>
      <c r="B125" s="293"/>
      <c r="C125" s="109"/>
      <c r="D125" s="281" t="str">
        <f ca="1">IF(ISERROR(OFFSET('HARGA SATUAN'!$D$6,MATCH(RAB!C125,'HARGA SATUAN'!$C$7:$C$1492,0),0)),"",OFFSET('HARGA SATUAN'!$D$6,MATCH(RAB!C125,'HARGA SATUAN'!$C$7:$C$1492,0),0))</f>
        <v/>
      </c>
      <c r="E125" s="282" t="str">
        <f ca="1">IF(B125="+","Unit",IF(ISERROR(OFFSET('HARGA SATUAN'!$E$6,MATCH(RAB!C125,'HARGA SATUAN'!$C$7:$C$1492,0),0)),"",OFFSET('HARGA SATUAN'!$E$6,MATCH(RAB!C125,'HARGA SATUAN'!$C$7:$C$1492,0),0)))</f>
        <v/>
      </c>
      <c r="F125" s="401"/>
      <c r="G125" s="283">
        <f ca="1">IF(ISERROR(OFFSET('HARGA SATUAN'!$I$6,MATCH(RAB!C125,'HARGA SATUAN'!$C$7:$C$1492,0),0)),0,OFFSET('HARGA SATUAN'!$I$6,MATCH(RAB!C125,'HARGA SATUAN'!$C$7:$C$1492,0),0))</f>
        <v>0</v>
      </c>
      <c r="H125" s="284">
        <f t="shared" ca="1" si="51"/>
        <v>0</v>
      </c>
      <c r="I125" s="284">
        <f t="shared" ca="1" si="52"/>
        <v>0</v>
      </c>
      <c r="J125" s="284">
        <f t="shared" ca="1" si="53"/>
        <v>0</v>
      </c>
      <c r="K125" s="285">
        <f t="shared" ca="1" si="54"/>
        <v>0</v>
      </c>
      <c r="L125" s="290"/>
      <c r="M125" s="290"/>
      <c r="N125" s="290"/>
      <c r="O125" s="267"/>
      <c r="P125" s="267"/>
      <c r="Q125" s="267"/>
      <c r="R125" s="259"/>
      <c r="S125" s="287"/>
      <c r="T125" s="264"/>
      <c r="U125" s="264"/>
      <c r="V125" s="264"/>
    </row>
    <row r="126" spans="1:22" s="291" customFormat="1" ht="30" customHeight="1">
      <c r="A126" s="259">
        <f>IF(AND(C144=0,C145=0,C146=0),"BLANKS",1)</f>
        <v>1</v>
      </c>
      <c r="B126" s="293"/>
      <c r="C126" s="109"/>
      <c r="D126" s="281" t="str">
        <f ca="1">IF(ISERROR(OFFSET('HARGA SATUAN'!$D$6,MATCH(RAB!C126,'HARGA SATUAN'!$C$7:$C$1492,0),0)),"",OFFSET('HARGA SATUAN'!$D$6,MATCH(RAB!C126,'HARGA SATUAN'!$C$7:$C$1492,0),0))</f>
        <v/>
      </c>
      <c r="E126" s="282" t="str">
        <f ca="1">IF(B126="+","Unit",IF(ISERROR(OFFSET('HARGA SATUAN'!$E$6,MATCH(RAB!C126,'HARGA SATUAN'!$C$7:$C$1492,0),0)),"",OFFSET('HARGA SATUAN'!$E$6,MATCH(RAB!C126,'HARGA SATUAN'!$C$7:$C$1492,0),0)))</f>
        <v/>
      </c>
      <c r="F126" s="401"/>
      <c r="G126" s="283">
        <f ca="1">IF(ISERROR(OFFSET('HARGA SATUAN'!$I$6,MATCH(RAB!C126,'HARGA SATUAN'!$C$7:$C$1492,0),0)),0,OFFSET('HARGA SATUAN'!$I$6,MATCH(RAB!C126,'HARGA SATUAN'!$C$7:$C$1492,0),0))</f>
        <v>0</v>
      </c>
      <c r="H126" s="284">
        <f t="shared" ca="1" si="51"/>
        <v>0</v>
      </c>
      <c r="I126" s="284">
        <f t="shared" ca="1" si="52"/>
        <v>0</v>
      </c>
      <c r="J126" s="284">
        <f t="shared" ca="1" si="53"/>
        <v>0</v>
      </c>
      <c r="K126" s="285">
        <f t="shared" ca="1" si="54"/>
        <v>0</v>
      </c>
      <c r="L126" s="290"/>
      <c r="M126" s="290"/>
      <c r="N126" s="290"/>
      <c r="O126" s="267"/>
      <c r="P126" s="267"/>
      <c r="Q126" s="267"/>
      <c r="R126" s="259"/>
      <c r="S126" s="287"/>
      <c r="T126" s="264"/>
      <c r="U126" s="264"/>
      <c r="V126" s="264"/>
    </row>
    <row r="127" spans="1:22" s="291" customFormat="1" ht="15">
      <c r="A127" s="259">
        <f>IF(AND(C145=0,C146=0,C147=0),"BLANKS",1)</f>
        <v>1</v>
      </c>
      <c r="B127" s="293"/>
      <c r="C127" s="109"/>
      <c r="D127" s="281" t="str">
        <f ca="1">IF(ISERROR(OFFSET('HARGA SATUAN'!$D$6,MATCH(RAB!C127,'HARGA SATUAN'!$C$7:$C$1492,0),0)),"",OFFSET('HARGA SATUAN'!$D$6,MATCH(RAB!C127,'HARGA SATUAN'!$C$7:$C$1492,0),0))</f>
        <v/>
      </c>
      <c r="E127" s="282" t="str">
        <f ca="1">IF(B127="+","Unit",IF(ISERROR(OFFSET('HARGA SATUAN'!$E$6,MATCH(RAB!C127,'HARGA SATUAN'!$C$7:$C$1492,0),0)),"",OFFSET('HARGA SATUAN'!$E$6,MATCH(RAB!C127,'HARGA SATUAN'!$C$7:$C$1492,0),0)))</f>
        <v/>
      </c>
      <c r="F127" s="401"/>
      <c r="G127" s="283">
        <f ca="1">IF(ISERROR(OFFSET('HARGA SATUAN'!$I$6,MATCH(RAB!C127,'HARGA SATUAN'!$C$7:$C$1492,0),0)),0,OFFSET('HARGA SATUAN'!$I$6,MATCH(RAB!C127,'HARGA SATUAN'!$C$7:$C$1492,0),0))</f>
        <v>0</v>
      </c>
      <c r="H127" s="284">
        <f t="shared" ca="1" si="51"/>
        <v>0</v>
      </c>
      <c r="I127" s="284">
        <f t="shared" ca="1" si="52"/>
        <v>0</v>
      </c>
      <c r="J127" s="284">
        <f t="shared" ca="1" si="53"/>
        <v>0</v>
      </c>
      <c r="K127" s="285">
        <f t="shared" ca="1" si="54"/>
        <v>0</v>
      </c>
      <c r="L127" s="290"/>
      <c r="M127" s="290"/>
      <c r="N127" s="290"/>
      <c r="O127" s="267"/>
      <c r="P127" s="267"/>
      <c r="Q127" s="267"/>
      <c r="R127" s="267"/>
      <c r="S127" s="264"/>
      <c r="T127" s="264"/>
      <c r="U127" s="264"/>
      <c r="V127" s="264"/>
    </row>
    <row r="128" spans="1:22" s="291" customFormat="1" ht="15" customHeight="1">
      <c r="A128" s="259"/>
      <c r="B128" s="408"/>
      <c r="C128" s="409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401"/>
      <c r="G128" s="283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51"/>
        <v>0</v>
      </c>
      <c r="I128" s="284">
        <f t="shared" ca="1" si="52"/>
        <v>0</v>
      </c>
      <c r="J128" s="284">
        <f t="shared" ca="1" si="53"/>
        <v>0</v>
      </c>
      <c r="K128" s="285">
        <f t="shared" ca="1" si="54"/>
        <v>0</v>
      </c>
      <c r="L128" s="265"/>
      <c r="M128" s="290"/>
      <c r="N128" s="290"/>
      <c r="O128" s="267"/>
      <c r="P128" s="267"/>
      <c r="Q128" s="267"/>
      <c r="R128" s="267"/>
      <c r="S128" s="267"/>
    </row>
    <row r="129" spans="1:22" s="288" customFormat="1" ht="15">
      <c r="A129" s="259"/>
      <c r="B129" s="408"/>
      <c r="C129" s="409"/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401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ref="H129:H131" ca="1" si="55">IF(OR(D129="MDU",D129="MDU-KD"),(IF($O$3="RAB NON MDU","PLN KD",G129*F129)),0)</f>
        <v>0</v>
      </c>
      <c r="I129" s="284">
        <f t="shared" ref="I129:I131" ca="1" si="56">IF(D129="HDW",G129*F129,0)</f>
        <v>0</v>
      </c>
      <c r="J129" s="284">
        <f t="shared" ref="J129:J131" ca="1" si="57">IF(D129="JASA",G129*F129,0)</f>
        <v>0</v>
      </c>
      <c r="K129" s="285">
        <f t="shared" ref="K129:K131" ca="1" si="58">SUM(H129:J129)</f>
        <v>0</v>
      </c>
      <c r="L129" s="265"/>
      <c r="M129" s="265"/>
      <c r="N129" s="290"/>
      <c r="O129" s="267"/>
      <c r="P129" s="267"/>
      <c r="Q129" s="318"/>
      <c r="R129" s="267"/>
      <c r="S129" s="318"/>
      <c r="T129" s="319"/>
      <c r="U129" s="319"/>
      <c r="V129" s="319"/>
    </row>
    <row r="130" spans="1:22" s="288" customFormat="1" ht="15">
      <c r="A130" s="259"/>
      <c r="B130" s="410"/>
      <c r="C130" s="411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401"/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55"/>
        <v>0</v>
      </c>
      <c r="I130" s="284">
        <f t="shared" ca="1" si="56"/>
        <v>0</v>
      </c>
      <c r="J130" s="284">
        <f t="shared" ca="1" si="57"/>
        <v>0</v>
      </c>
      <c r="K130" s="285">
        <f t="shared" ca="1" si="58"/>
        <v>0</v>
      </c>
      <c r="L130" s="265"/>
      <c r="M130" s="265"/>
      <c r="N130" s="290"/>
      <c r="O130" s="267"/>
      <c r="P130" s="267"/>
      <c r="Q130" s="267"/>
      <c r="R130" s="267"/>
      <c r="S130" s="267"/>
      <c r="T130" s="323"/>
      <c r="U130" s="323"/>
      <c r="V130" s="323"/>
    </row>
    <row r="131" spans="1:22" s="288" customFormat="1" ht="15">
      <c r="A131" s="259"/>
      <c r="B131" s="412"/>
      <c r="C131" s="109"/>
      <c r="D131" s="281" t="str">
        <f ca="1">IF(ISERROR(OFFSET('HARGA SATUAN'!$D$6,MATCH(RAB!C131,'HARGA SATUAN'!$C$7:$C$1492,0),0)),"",OFFSET('HARGA SATUAN'!$D$6,MATCH(RAB!C131,'HARGA SATUAN'!$C$7:$C$1492,0),0))</f>
        <v/>
      </c>
      <c r="E131" s="282" t="str">
        <f ca="1">IF(B131="+","Unit",IF(ISERROR(OFFSET('HARGA SATUAN'!$E$6,MATCH(RAB!C131,'HARGA SATUAN'!$C$7:$C$1492,0),0)),"",OFFSET('HARGA SATUAN'!$E$6,MATCH(RAB!C131,'HARGA SATUAN'!$C$7:$C$1492,0),0)))</f>
        <v/>
      </c>
      <c r="F131" s="401"/>
      <c r="G131" s="283">
        <f ca="1">IF(ISERROR(OFFSET('HARGA SATUAN'!$I$6,MATCH(RAB!C131,'HARGA SATUAN'!$C$7:$C$1492,0),0)),0,OFFSET('HARGA SATUAN'!$I$6,MATCH(RAB!C131,'HARGA SATUAN'!$C$7:$C$1492,0),0))</f>
        <v>0</v>
      </c>
      <c r="H131" s="284">
        <f t="shared" ca="1" si="55"/>
        <v>0</v>
      </c>
      <c r="I131" s="284">
        <f t="shared" ca="1" si="56"/>
        <v>0</v>
      </c>
      <c r="J131" s="284">
        <f t="shared" ca="1" si="57"/>
        <v>0</v>
      </c>
      <c r="K131" s="285">
        <f t="shared" ca="1" si="58"/>
        <v>0</v>
      </c>
      <c r="L131" s="265"/>
      <c r="M131" s="265"/>
      <c r="N131" s="290"/>
      <c r="O131" s="267"/>
      <c r="P131" s="267"/>
      <c r="Q131" s="267"/>
      <c r="R131" s="267"/>
      <c r="S131" s="267"/>
      <c r="T131" s="319"/>
      <c r="U131" s="319"/>
      <c r="V131" s="319"/>
    </row>
    <row r="132" spans="1:22" s="288" customFormat="1" ht="15">
      <c r="A132" s="259"/>
      <c r="B132" s="412"/>
      <c r="C132" s="414"/>
      <c r="D132" s="281"/>
      <c r="E132" s="282"/>
      <c r="F132" s="401"/>
      <c r="G132" s="283"/>
      <c r="H132" s="284"/>
      <c r="I132" s="284"/>
      <c r="J132" s="284"/>
      <c r="K132" s="285"/>
      <c r="L132" s="326"/>
      <c r="M132" s="326"/>
      <c r="N132" s="290"/>
      <c r="O132" s="267"/>
      <c r="P132" s="267"/>
      <c r="Q132" s="267"/>
    </row>
    <row r="133" spans="1:22" s="288" customFormat="1" ht="15">
      <c r="A133" s="259"/>
      <c r="B133" s="412"/>
      <c r="C133" s="414"/>
      <c r="D133" s="281" t="str">
        <f ca="1">IF(ISERROR(OFFSET('HARGA SATUAN'!$D$6,MATCH(RAB!C133,'HARGA SATUAN'!$C$7:$C$1492,0),0)),"",OFFSET('HARGA SATUAN'!$D$6,MATCH(RAB!C133,'HARGA SATUAN'!$C$7:$C$1492,0),0))</f>
        <v/>
      </c>
      <c r="E133" s="282" t="str">
        <f ca="1">IF(B133="+","Unit",IF(ISERROR(OFFSET('HARGA SATUAN'!$E$6,MATCH(RAB!C133,'HARGA SATUAN'!$C$7:$C$1492,0),0)),"",OFFSET('HARGA SATUAN'!$E$6,MATCH(RAB!C133,'HARGA SATUAN'!$C$7:$C$1492,0),0)))</f>
        <v/>
      </c>
      <c r="F133" s="401"/>
      <c r="G133" s="283">
        <f ca="1">IF(ISERROR(OFFSET('HARGA SATUAN'!$I$6,MATCH(RAB!C133,'HARGA SATUAN'!$C$7:$C$1492,0),0)),0,OFFSET('HARGA SATUAN'!$I$6,MATCH(RAB!C133,'HARGA SATUAN'!$C$7:$C$1492,0),0))</f>
        <v>0</v>
      </c>
      <c r="H133" s="284">
        <f t="shared" ca="1" si="51"/>
        <v>0</v>
      </c>
      <c r="I133" s="284">
        <f t="shared" ca="1" si="52"/>
        <v>0</v>
      </c>
      <c r="J133" s="284">
        <f t="shared" ca="1" si="53"/>
        <v>0</v>
      </c>
      <c r="K133" s="285">
        <f t="shared" ca="1" si="54"/>
        <v>0</v>
      </c>
      <c r="L133" s="265"/>
      <c r="M133" s="265"/>
      <c r="N133" s="290"/>
      <c r="O133" s="267"/>
      <c r="P133" s="267"/>
      <c r="Q133" s="318"/>
      <c r="R133" s="267"/>
      <c r="S133" s="318"/>
      <c r="T133" s="319"/>
      <c r="U133" s="319"/>
      <c r="V133" s="319"/>
    </row>
    <row r="134" spans="1:22" s="288" customFormat="1" ht="15">
      <c r="A134" s="259"/>
      <c r="B134" s="412"/>
      <c r="C134" s="109"/>
      <c r="D134" s="281" t="str">
        <f ca="1">IF(ISERROR(OFFSET('HARGA SATUAN'!$D$6,MATCH(RAB!C134,'HARGA SATUAN'!$C$7:$C$1492,0),0)),"",OFFSET('HARGA SATUAN'!$D$6,MATCH(RAB!C134,'HARGA SATUAN'!$C$7:$C$1492,0),0))</f>
        <v/>
      </c>
      <c r="E134" s="282" t="str">
        <f ca="1">IF(B134="+","Unit",IF(ISERROR(OFFSET('HARGA SATUAN'!$E$6,MATCH(RAB!C134,'HARGA SATUAN'!$C$7:$C$1492,0),0)),"",OFFSET('HARGA SATUAN'!$E$6,MATCH(RAB!C134,'HARGA SATUAN'!$C$7:$C$1492,0),0)))</f>
        <v/>
      </c>
      <c r="F134" s="401"/>
      <c r="G134" s="283">
        <f ca="1">IF(ISERROR(OFFSET('HARGA SATUAN'!$I$6,MATCH(RAB!C134,'HARGA SATUAN'!$C$7:$C$1492,0),0)),0,OFFSET('HARGA SATUAN'!$I$6,MATCH(RAB!C134,'HARGA SATUAN'!$C$7:$C$1492,0),0))</f>
        <v>0</v>
      </c>
      <c r="H134" s="284">
        <f t="shared" ca="1" si="51"/>
        <v>0</v>
      </c>
      <c r="I134" s="284">
        <f t="shared" ca="1" si="52"/>
        <v>0</v>
      </c>
      <c r="J134" s="284">
        <f t="shared" ca="1" si="53"/>
        <v>0</v>
      </c>
      <c r="K134" s="285">
        <f t="shared" ca="1" si="54"/>
        <v>0</v>
      </c>
      <c r="L134" s="265"/>
      <c r="M134" s="265"/>
      <c r="N134" s="290"/>
      <c r="O134" s="267"/>
      <c r="P134" s="267"/>
      <c r="Q134" s="267"/>
      <c r="R134" s="267"/>
      <c r="S134" s="267"/>
      <c r="T134" s="323"/>
      <c r="U134" s="323"/>
      <c r="V134" s="323"/>
    </row>
    <row r="135" spans="1:22" s="288" customFormat="1" ht="15">
      <c r="A135" s="259"/>
      <c r="B135" s="412"/>
      <c r="C135" s="414"/>
      <c r="D135" s="281" t="str">
        <f ca="1">IF(ISERROR(OFFSET('HARGA SATUAN'!$D$6,MATCH(RAB!C135,'HARGA SATUAN'!$C$7:$C$1492,0),0)),"",OFFSET('HARGA SATUAN'!$D$6,MATCH(RAB!C135,'HARGA SATUAN'!$C$7:$C$1492,0),0))</f>
        <v/>
      </c>
      <c r="E135" s="282" t="str">
        <f ca="1">IF(B135="+","Unit",IF(ISERROR(OFFSET('HARGA SATUAN'!$E$6,MATCH(RAB!C135,'HARGA SATUAN'!$C$7:$C$1492,0),0)),"",OFFSET('HARGA SATUAN'!$E$6,MATCH(RAB!C135,'HARGA SATUAN'!$C$7:$C$1492,0),0)))</f>
        <v/>
      </c>
      <c r="F135" s="401"/>
      <c r="G135" s="283">
        <f ca="1">IF(ISERROR(OFFSET('HARGA SATUAN'!$I$6,MATCH(RAB!C135,'HARGA SATUAN'!$C$7:$C$1492,0),0)),0,OFFSET('HARGA SATUAN'!$I$6,MATCH(RAB!C135,'HARGA SATUAN'!$C$7:$C$1492,0),0))</f>
        <v>0</v>
      </c>
      <c r="H135" s="284">
        <f t="shared" ca="1" si="51"/>
        <v>0</v>
      </c>
      <c r="I135" s="284">
        <f t="shared" ca="1" si="52"/>
        <v>0</v>
      </c>
      <c r="J135" s="284">
        <f t="shared" ca="1" si="53"/>
        <v>0</v>
      </c>
      <c r="K135" s="285">
        <f t="shared" ca="1" si="54"/>
        <v>0</v>
      </c>
      <c r="L135" s="265"/>
      <c r="M135" s="265"/>
      <c r="N135" s="290"/>
      <c r="O135" s="267"/>
      <c r="P135" s="267"/>
      <c r="Q135" s="267"/>
      <c r="R135" s="267"/>
      <c r="S135" s="267"/>
      <c r="T135" s="319"/>
      <c r="U135" s="319"/>
      <c r="V135" s="319"/>
    </row>
    <row r="136" spans="1:22" s="288" customFormat="1" ht="15">
      <c r="A136" s="259"/>
      <c r="B136" s="293"/>
      <c r="C136" s="409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401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51"/>
        <v>0</v>
      </c>
      <c r="I136" s="284">
        <f t="shared" ca="1" si="52"/>
        <v>0</v>
      </c>
      <c r="J136" s="284">
        <f t="shared" ca="1" si="53"/>
        <v>0</v>
      </c>
      <c r="K136" s="285">
        <f t="shared" ca="1" si="54"/>
        <v>0</v>
      </c>
      <c r="L136" s="265"/>
      <c r="M136" s="265"/>
      <c r="N136" s="290"/>
      <c r="O136" s="267"/>
      <c r="P136" s="267"/>
      <c r="Q136" s="267"/>
      <c r="R136" s="267"/>
      <c r="S136" s="267"/>
      <c r="T136" s="323"/>
      <c r="U136" s="323"/>
      <c r="V136" s="323"/>
    </row>
    <row r="137" spans="1:22" s="288" customFormat="1" ht="15">
      <c r="A137" s="259"/>
      <c r="B137" s="408"/>
      <c r="C137" s="409"/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401"/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51"/>
        <v>0</v>
      </c>
      <c r="I137" s="284">
        <f t="shared" ca="1" si="52"/>
        <v>0</v>
      </c>
      <c r="J137" s="284">
        <f t="shared" ca="1" si="53"/>
        <v>0</v>
      </c>
      <c r="K137" s="285">
        <f t="shared" ca="1" si="54"/>
        <v>0</v>
      </c>
      <c r="L137" s="326" t="e">
        <f ca="1">PROPER([86]!terbilang(K149))</f>
        <v>#NAME?</v>
      </c>
      <c r="M137" s="326"/>
      <c r="N137" s="290"/>
      <c r="O137" s="267"/>
      <c r="P137" s="267"/>
      <c r="Q137" s="267"/>
    </row>
    <row r="138" spans="1:22" s="288" customFormat="1" ht="15">
      <c r="A138" s="259"/>
      <c r="B138" s="293"/>
      <c r="C138" s="109"/>
      <c r="D138" s="281" t="str">
        <f ca="1">IF(ISERROR(OFFSET('HARGA SATUAN'!$D$6,MATCH(RAB!C138,'HARGA SATUAN'!$C$7:$C$1492,0),0)),"",OFFSET('HARGA SATUAN'!$D$6,MATCH(RAB!C138,'HARGA SATUAN'!$C$7:$C$1492,0),0))</f>
        <v/>
      </c>
      <c r="E138" s="282" t="str">
        <f ca="1">IF(B138="+","Unit",IF(ISERROR(OFFSET('HARGA SATUAN'!$E$6,MATCH(RAB!C138,'HARGA SATUAN'!$C$7:$C$1492,0),0)),"",OFFSET('HARGA SATUAN'!$E$6,MATCH(RAB!C138,'HARGA SATUAN'!$C$7:$C$1492,0),0)))</f>
        <v/>
      </c>
      <c r="F138" s="401"/>
      <c r="G138" s="283">
        <f ca="1">IF(ISERROR(OFFSET('HARGA SATUAN'!$I$6,MATCH(RAB!C138,'HARGA SATUAN'!$C$7:$C$1492,0),0)),0,OFFSET('HARGA SATUAN'!$I$6,MATCH(RAB!C138,'HARGA SATUAN'!$C$7:$C$1492,0),0))</f>
        <v>0</v>
      </c>
      <c r="H138" s="284">
        <f t="shared" ca="1" si="51"/>
        <v>0</v>
      </c>
      <c r="I138" s="284">
        <f t="shared" ca="1" si="52"/>
        <v>0</v>
      </c>
      <c r="J138" s="284">
        <f t="shared" ca="1" si="53"/>
        <v>0</v>
      </c>
      <c r="K138" s="285">
        <f t="shared" ca="1" si="54"/>
        <v>0</v>
      </c>
      <c r="L138" s="265"/>
      <c r="M138" s="265"/>
      <c r="N138" s="290"/>
      <c r="O138" s="267"/>
      <c r="P138" s="318"/>
      <c r="Q138" s="267"/>
    </row>
    <row r="139" spans="1:22" s="288" customFormat="1" ht="15">
      <c r="A139" s="259"/>
      <c r="B139" s="293"/>
      <c r="C139" s="294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401"/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51"/>
        <v>0</v>
      </c>
      <c r="I139" s="284">
        <f t="shared" ca="1" si="52"/>
        <v>0</v>
      </c>
      <c r="J139" s="284">
        <f t="shared" ca="1" si="53"/>
        <v>0</v>
      </c>
      <c r="K139" s="285">
        <f t="shared" ca="1" si="54"/>
        <v>0</v>
      </c>
      <c r="L139" s="265"/>
      <c r="M139" s="265"/>
      <c r="N139" s="290"/>
      <c r="O139" s="267"/>
      <c r="P139" s="267"/>
      <c r="Q139" s="267"/>
    </row>
    <row r="140" spans="1:22" s="288" customFormat="1" ht="15">
      <c r="A140" s="259"/>
      <c r="B140" s="293"/>
      <c r="C140" s="292"/>
      <c r="D140" s="281" t="str">
        <f ca="1">IF(ISERROR(OFFSET('HARGA SATUAN'!$D$6,MATCH(RAB!C140,'HARGA SATUAN'!$C$7:$C$1492,0),0)),"",OFFSET('HARGA SATUAN'!$D$6,MATCH(RAB!C140,'HARGA SATUAN'!$C$7:$C$1492,0),0))</f>
        <v/>
      </c>
      <c r="E140" s="282" t="str">
        <f ca="1">IF(B140="+","Unit",IF(ISERROR(OFFSET('HARGA SATUAN'!$E$6,MATCH(RAB!C140,'HARGA SATUAN'!$C$7:$C$1492,0),0)),"",OFFSET('HARGA SATUAN'!$E$6,MATCH(RAB!C140,'HARGA SATUAN'!$C$7:$C$1492,0),0)))</f>
        <v/>
      </c>
      <c r="F140" s="401"/>
      <c r="G140" s="283">
        <f ca="1">IF(ISERROR(OFFSET('HARGA SATUAN'!$I$6,MATCH(RAB!C140,'HARGA SATUAN'!$C$7:$C$1492,0),0)),0,OFFSET('HARGA SATUAN'!$I$6,MATCH(RAB!C140,'HARGA SATUAN'!$C$7:$C$1492,0),0))</f>
        <v>0</v>
      </c>
      <c r="H140" s="284">
        <f t="shared" ca="1" si="51"/>
        <v>0</v>
      </c>
      <c r="I140" s="284">
        <f t="shared" ca="1" si="52"/>
        <v>0</v>
      </c>
      <c r="J140" s="284">
        <f t="shared" ca="1" si="53"/>
        <v>0</v>
      </c>
      <c r="K140" s="285">
        <f t="shared" ca="1" si="54"/>
        <v>0</v>
      </c>
      <c r="L140" s="265"/>
      <c r="M140" s="265"/>
      <c r="N140" s="290"/>
      <c r="O140" s="267"/>
      <c r="P140" s="267"/>
      <c r="Q140" s="267"/>
    </row>
    <row r="141" spans="1:22" s="288" customFormat="1" ht="15">
      <c r="A141" s="259"/>
      <c r="B141" s="391"/>
      <c r="C141" s="392"/>
      <c r="D141" s="281" t="str">
        <f ca="1">IF(ISERROR(OFFSET('HARGA SATUAN'!$D$6,MATCH(RAB!C141,'HARGA SATUAN'!$C$7:$C$1492,0),0)),"",OFFSET('HARGA SATUAN'!$D$6,MATCH(RAB!C141,'HARGA SATUAN'!$C$7:$C$1492,0),0))</f>
        <v/>
      </c>
      <c r="E141" s="282" t="str">
        <f ca="1">IF(B141="+","Unit",IF(ISERROR(OFFSET('HARGA SATUAN'!$E$6,MATCH(RAB!C141,'HARGA SATUAN'!$C$7:$C$1492,0),0)),"",OFFSET('HARGA SATUAN'!$E$6,MATCH(RAB!C141,'HARGA SATUAN'!$C$7:$C$1492,0),0)))</f>
        <v/>
      </c>
      <c r="F141" s="390"/>
      <c r="G141" s="283">
        <f ca="1">IF(ISERROR(OFFSET('HARGA SATUAN'!$I$6,MATCH(RAB!C141,'HARGA SATUAN'!$C$7:$C$1492,0),0)),0,OFFSET('HARGA SATUAN'!$I$6,MATCH(RAB!C141,'HARGA SATUAN'!$C$7:$C$1492,0),0))</f>
        <v>0</v>
      </c>
      <c r="H141" s="284">
        <f t="shared" ca="1" si="51"/>
        <v>0</v>
      </c>
      <c r="I141" s="284">
        <f t="shared" ca="1" si="52"/>
        <v>0</v>
      </c>
      <c r="J141" s="284">
        <f t="shared" ca="1" si="53"/>
        <v>0</v>
      </c>
      <c r="K141" s="285">
        <f t="shared" ca="1" si="54"/>
        <v>0</v>
      </c>
      <c r="L141" s="265"/>
      <c r="M141" s="265"/>
      <c r="N141" s="290"/>
      <c r="O141" s="267"/>
      <c r="P141" s="267"/>
      <c r="Q141" s="267"/>
    </row>
    <row r="142" spans="1:22" ht="15">
      <c r="B142" s="295"/>
      <c r="C142" s="292"/>
      <c r="D142" s="281" t="str">
        <f ca="1">IF(ISERROR(OFFSET('HARGA SATUAN'!$D$6,MATCH(RAB!C142,'HARGA SATUAN'!$C$7:$C$1492,0),0)),"",OFFSET('HARGA SATUAN'!$D$6,MATCH(RAB!C142,'HARGA SATUAN'!$C$7:$C$1492,0),0))</f>
        <v/>
      </c>
      <c r="E142" s="282" t="str">
        <f ca="1">IF(B142="+","Unit",IF(ISERROR(OFFSET('HARGA SATUAN'!$E$6,MATCH(RAB!C142,'HARGA SATUAN'!$C$7:$C$1492,0),0)),"",OFFSET('HARGA SATUAN'!$E$6,MATCH(RAB!C142,'HARGA SATUAN'!$C$7:$C$1492,0),0)))</f>
        <v/>
      </c>
      <c r="F142" s="289"/>
      <c r="G142" s="283">
        <f ca="1">IF(ISERROR(OFFSET('HARGA SATUAN'!$I$6,MATCH(RAB!C142,'HARGA SATUAN'!$C$7:$C$1492,0),0)),0,OFFSET('HARGA SATUAN'!$I$6,MATCH(RAB!C142,'HARGA SATUAN'!$C$7:$C$1492,0),0))</f>
        <v>0</v>
      </c>
      <c r="H142" s="284">
        <f t="shared" ca="1" si="51"/>
        <v>0</v>
      </c>
      <c r="I142" s="284">
        <f t="shared" ca="1" si="52"/>
        <v>0</v>
      </c>
      <c r="J142" s="284">
        <f t="shared" ca="1" si="53"/>
        <v>0</v>
      </c>
      <c r="K142" s="285">
        <f t="shared" ca="1" si="54"/>
        <v>0</v>
      </c>
    </row>
    <row r="143" spans="1:22" ht="15">
      <c r="B143" s="296"/>
      <c r="C143" s="297" t="s">
        <v>465</v>
      </c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298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ref="H143" ca="1" si="59">IF(OR(D143="MDU",D143="MDU-KD"),(IF($O$3="RAB NON MDU","PLN KD",G143*F143)),0)</f>
        <v>0</v>
      </c>
      <c r="I143" s="284">
        <f ca="1">IF(D143="HDW",G143*F143,0)</f>
        <v>0</v>
      </c>
      <c r="J143" s="284">
        <f ca="1">IF(D143="JASA",G143*F143,0)</f>
        <v>0</v>
      </c>
      <c r="K143" s="285">
        <f ca="1">SUM(H143:J143)</f>
        <v>0</v>
      </c>
    </row>
    <row r="144" spans="1:22" ht="15">
      <c r="B144" s="299">
        <v>1</v>
      </c>
      <c r="C144" s="300" t="s">
        <v>1062</v>
      </c>
      <c r="D144" s="301" t="str">
        <f ca="1">IF(ISERROR(OFFSET('HARGA SATUAN'!$D$6,MATCH(RAB!C144,'HARGA SATUAN'!$C$7:$C$1492,0),0)),"",OFFSET('HARGA SATUAN'!$D$6,MATCH(RAB!C144,'HARGA SATUAN'!$C$7:$C$1492,0),0))</f>
        <v>JASA</v>
      </c>
      <c r="E144" s="302" t="str">
        <f ca="1">IF(ISERROR(OFFSET('HARGA SATUAN'!$E$6,MATCH(RAB!C144,'HARGA SATUAN'!$C$7:$C$1492,0),0)),"",OFFSET('HARGA SATUAN'!$E$6,MATCH(RAB!C144,'HARGA SATUAN'!$C$7:$C$1492,0),0))</f>
        <v>Lot</v>
      </c>
      <c r="F144" s="303">
        <v>1</v>
      </c>
      <c r="G144" s="304">
        <f ca="1">IF(ISERROR(OFFSET('HARGA SATUAN'!$I$6,MATCH(RAB!C144,'HARGA SATUAN'!$C$7:$C$1492,0),0)),0,OFFSET('HARGA SATUAN'!$I$6,MATCH(RAB!C144,'HARGA SATUAN'!$C$7:$C$1492,0),0))</f>
        <v>2.5000000000000001E-2</v>
      </c>
      <c r="H144" s="305"/>
      <c r="I144" s="305"/>
      <c r="J144" s="305">
        <f ca="1">SUM(K15:K142)*G144</f>
        <v>815405.10000000009</v>
      </c>
      <c r="K144" s="306">
        <f ca="1">SUM(H144:J144)</f>
        <v>815405.10000000009</v>
      </c>
    </row>
    <row r="145" spans="2:13" ht="15">
      <c r="B145" s="307"/>
      <c r="C145" s="308"/>
      <c r="D145" s="281" t="str">
        <f ca="1">IF(ISERROR(OFFSET('HARGA SATUAN'!$D$6,MATCH(RAB!C145,'HARGA SATUAN'!$C$7:$C$1492,0),0)),"",OFFSET('HARGA SATUAN'!$D$6,MATCH(RAB!C145,'HARGA SATUAN'!$C$7:$C$1492,0),0))</f>
        <v/>
      </c>
      <c r="E145" s="282" t="str">
        <f ca="1">IF(ISERROR(OFFSET('HARGA SATUAN'!$E$6,MATCH(RAB!C145,'HARGA SATUAN'!$C$7:$C$1492,0),0)),"",OFFSET('HARGA SATUAN'!$E$6,MATCH(RAB!C145,'HARGA SATUAN'!$C$7:$C$1492,0),0))</f>
        <v/>
      </c>
      <c r="F145" s="298"/>
      <c r="G145" s="283" t="str">
        <f ca="1">IF(ISERROR(OFFSET('HARGA SATUAN'!$I$6,MATCH(RAB!C145,'HARGA SATUAN'!$C$7:$C$1492,0),0)),"",OFFSET('HARGA SATUAN'!$I$6,MATCH(RAB!C145,'HARGA SATUAN'!$C$7:$C$1492,0),0))</f>
        <v/>
      </c>
      <c r="H145" s="284">
        <f ca="1">IF(OR(D145="MDU",D145="MDU-KD"),IF(G145="PLN",0,G145*F145),0)</f>
        <v>0</v>
      </c>
      <c r="I145" s="284">
        <f ca="1">IF(D145="HDW",IF(G145="PLN",0,G145*F145),0)</f>
        <v>0</v>
      </c>
      <c r="J145" s="284">
        <f ca="1">IF(D145="JASA",IF(G145="PLN",0,G145*F145),0)</f>
        <v>0</v>
      </c>
      <c r="K145" s="285">
        <f ca="1">SUM(H145:J145)</f>
        <v>0</v>
      </c>
    </row>
    <row r="146" spans="2:13" ht="15" thickBot="1">
      <c r="B146" s="309"/>
      <c r="C146" s="310"/>
      <c r="D146" s="311"/>
      <c r="E146" s="312"/>
      <c r="F146" s="312"/>
      <c r="G146" s="312"/>
      <c r="H146" s="313"/>
      <c r="I146" s="313"/>
      <c r="J146" s="313"/>
      <c r="K146" s="314"/>
    </row>
    <row r="147" spans="2:13">
      <c r="B147" s="315"/>
      <c r="C147" s="629" t="s">
        <v>981</v>
      </c>
      <c r="D147" s="629"/>
      <c r="E147" s="629"/>
      <c r="F147" s="629"/>
      <c r="G147" s="316" t="s">
        <v>9</v>
      </c>
      <c r="H147" s="317">
        <f ca="1">SUM(H14:H145)</f>
        <v>29917550</v>
      </c>
      <c r="I147" s="317">
        <f ca="1">SUM(I14:I145)</f>
        <v>2167054</v>
      </c>
      <c r="J147" s="317">
        <f ca="1">SUM(J14:J145)</f>
        <v>1347005.1</v>
      </c>
      <c r="K147" s="317">
        <f ca="1">SUM(K14:K145)</f>
        <v>33431609.100000001</v>
      </c>
    </row>
    <row r="148" spans="2:13">
      <c r="B148" s="320"/>
      <c r="C148" s="618" t="s">
        <v>1427</v>
      </c>
      <c r="D148" s="618"/>
      <c r="E148" s="618"/>
      <c r="F148" s="618"/>
      <c r="G148" s="321" t="s">
        <v>9</v>
      </c>
      <c r="H148" s="322">
        <f ca="1">H147*0.11</f>
        <v>3290930.5</v>
      </c>
      <c r="I148" s="322">
        <f ca="1">I147*0.11</f>
        <v>238375.94</v>
      </c>
      <c r="J148" s="322">
        <f ca="1">J147*0.11</f>
        <v>148170.56100000002</v>
      </c>
      <c r="K148" s="322">
        <f ca="1">K147*0.11</f>
        <v>3677477.0010000002</v>
      </c>
    </row>
    <row r="149" spans="2:13" ht="15" thickBot="1">
      <c r="B149" s="320"/>
      <c r="C149" s="617" t="s">
        <v>453</v>
      </c>
      <c r="D149" s="617"/>
      <c r="E149" s="617"/>
      <c r="F149" s="617"/>
      <c r="G149" s="324" t="s">
        <v>9</v>
      </c>
      <c r="H149" s="325">
        <f ca="1">SUM(H147:H148)</f>
        <v>33208480.5</v>
      </c>
      <c r="I149" s="325">
        <f ca="1">SUM(I147:I148)</f>
        <v>2405429.94</v>
      </c>
      <c r="J149" s="324">
        <f ca="1">SUM(J147:J148)</f>
        <v>1495175.6610000001</v>
      </c>
      <c r="K149" s="324">
        <f ca="1">SUM(K147:K148)</f>
        <v>37109086.101000004</v>
      </c>
      <c r="M149" s="393"/>
    </row>
    <row r="150" spans="2:13">
      <c r="B150" s="619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Seratus Sembilan Ribu Delapan Puluh Enam Rupiah</v>
      </c>
      <c r="C150" s="620"/>
      <c r="D150" s="620"/>
      <c r="E150" s="620"/>
      <c r="F150" s="620"/>
      <c r="G150" s="620"/>
      <c r="H150" s="620"/>
      <c r="I150" s="620"/>
      <c r="J150" s="620"/>
      <c r="K150" s="621"/>
    </row>
    <row r="151" spans="2:13">
      <c r="B151" s="622"/>
      <c r="C151" s="623"/>
      <c r="D151" s="623"/>
      <c r="E151" s="623"/>
      <c r="F151" s="623"/>
      <c r="G151" s="623"/>
      <c r="H151" s="623"/>
      <c r="I151" s="623"/>
      <c r="J151" s="623"/>
      <c r="K151" s="624"/>
    </row>
    <row r="152" spans="2:13" ht="15" thickBot="1">
      <c r="B152" s="327" t="str">
        <f>"Harga yang dipakai adalah "&amp;'HARGA SATUAN'!I5&amp;""</f>
        <v>Harga yang dipakai adalah RAB HSS 2023</v>
      </c>
      <c r="C152" s="328"/>
      <c r="D152" s="329"/>
      <c r="E152" s="329"/>
      <c r="F152" s="329"/>
      <c r="G152" s="330"/>
      <c r="H152" s="330"/>
      <c r="I152" s="330"/>
      <c r="J152" s="330"/>
      <c r="K152" s="331"/>
    </row>
    <row r="153" spans="2:13">
      <c r="C153" s="332"/>
      <c r="E153" s="334"/>
      <c r="F153" s="334"/>
      <c r="G153" s="334"/>
    </row>
    <row r="154" spans="2:13">
      <c r="C154" s="260"/>
      <c r="E154" s="334"/>
      <c r="F154" s="334"/>
      <c r="G154" s="334"/>
      <c r="H154" s="625"/>
      <c r="I154" s="625"/>
      <c r="J154" s="626"/>
      <c r="K154" s="626"/>
    </row>
    <row r="155" spans="2:13">
      <c r="C155" s="260"/>
      <c r="E155" s="334"/>
      <c r="F155" s="334"/>
      <c r="G155" s="334"/>
      <c r="H155" s="335"/>
      <c r="I155" s="616" t="s">
        <v>1642</v>
      </c>
      <c r="J155" s="616"/>
      <c r="K155" s="616"/>
    </row>
    <row r="156" spans="2:13">
      <c r="C156" s="260"/>
      <c r="E156" s="334"/>
      <c r="F156" s="334"/>
      <c r="G156" s="334"/>
      <c r="H156" s="335"/>
      <c r="I156" s="616" t="s">
        <v>1643</v>
      </c>
      <c r="J156" s="616"/>
      <c r="K156" s="616"/>
    </row>
    <row r="157" spans="2:13">
      <c r="C157" s="260"/>
      <c r="E157" s="334"/>
      <c r="F157" s="334"/>
      <c r="G157" s="334"/>
      <c r="H157" s="336"/>
      <c r="I157" s="337"/>
      <c r="J157" s="337"/>
      <c r="K157" s="337"/>
    </row>
    <row r="158" spans="2:13">
      <c r="C158" s="260"/>
      <c r="E158" s="334"/>
      <c r="F158" s="334"/>
      <c r="G158" s="334"/>
      <c r="H158" s="336"/>
      <c r="I158" s="336"/>
      <c r="J158" s="336"/>
      <c r="K158" s="336"/>
    </row>
    <row r="159" spans="2:13">
      <c r="C159" s="260"/>
      <c r="E159" s="334"/>
      <c r="F159" s="334"/>
      <c r="G159" s="334"/>
      <c r="H159" s="336"/>
      <c r="I159" s="336"/>
      <c r="J159" s="336"/>
      <c r="K159" s="336"/>
    </row>
    <row r="160" spans="2:13">
      <c r="C160" s="260"/>
      <c r="E160" s="334"/>
      <c r="F160" s="334"/>
      <c r="G160" s="334"/>
      <c r="H160" s="336"/>
      <c r="I160" s="336"/>
      <c r="J160" s="336"/>
      <c r="K160" s="336"/>
    </row>
    <row r="161" spans="3:11">
      <c r="C161" s="260"/>
      <c r="E161" s="334"/>
      <c r="F161" s="334"/>
      <c r="G161" s="334"/>
      <c r="H161" s="338"/>
      <c r="I161" s="616" t="s">
        <v>1644</v>
      </c>
      <c r="J161" s="616"/>
      <c r="K161" s="616"/>
    </row>
    <row r="162" spans="3:11">
      <c r="C162" s="332"/>
      <c r="E162" s="334"/>
      <c r="F162" s="334"/>
      <c r="G162" s="334"/>
      <c r="H162" s="336"/>
      <c r="I162" s="336"/>
      <c r="J162" s="336"/>
      <c r="K162" s="336"/>
    </row>
    <row r="163" spans="3:11">
      <c r="C163" s="332"/>
      <c r="E163" s="334"/>
      <c r="F163" s="334"/>
      <c r="G163" s="334"/>
      <c r="H163" s="336"/>
      <c r="I163" s="336"/>
      <c r="J163" s="336"/>
      <c r="K163" s="336"/>
    </row>
    <row r="164" spans="3:11">
      <c r="C164" s="332"/>
      <c r="E164" s="334"/>
      <c r="F164" s="334"/>
      <c r="G164" s="334"/>
      <c r="H164" s="336"/>
      <c r="I164" s="336"/>
      <c r="J164" s="336"/>
      <c r="K164" s="336"/>
    </row>
  </sheetData>
  <sheetProtection sort="0" autoFilter="0"/>
  <protectedRanges>
    <protectedRange sqref="B142 B118:C118 B119 B120:C128 B141:C141 B82:C83 B85:C85 B86 B87:C90 B84 B117 B97:B98 B99:C99 B100 B101:C109" name="Range1_1"/>
    <protectedRange sqref="F97 F142" name="Range1_1_3"/>
    <protectedRange sqref="F15" name="Range1_1_2_2"/>
    <protectedRange sqref="B135:C135 B136 B137:C140 B134 B129:C129 B132:C133 B130:B131 B116:C116 B115 B110:C110 B113:C114 B111:B112" name="Range1_1_1"/>
    <protectedRange sqref="C131 C112" name="Range1_1_4"/>
    <protectedRange sqref="B68:C69 B67 B37:C39 B78 B34:B35 B21:C33 B16:B19 B79:C81 B72:C77 B70:B71 B57:C66 B40:B46" name="Range1_1_2"/>
    <protectedRange sqref="B15 C34:C35 B20:C20 C16:C19 B36:C36" name="Range1_6"/>
    <protectedRange sqref="C67" name="Range1_1_2_1"/>
    <protectedRange sqref="C78" name="Range1_1_2_3"/>
    <protectedRange sqref="C71" name="Range1"/>
    <protectedRange sqref="C70" name="Range1_2"/>
    <protectedRange sqref="C40:C46" name="Range1_1_1_1"/>
    <protectedRange sqref="B47:C56" name="Range1_1_4_1"/>
  </protectedRanges>
  <mergeCells count="22"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56:K156"/>
    <mergeCell ref="I161:K161"/>
    <mergeCell ref="C149:F149"/>
    <mergeCell ref="I155:K155"/>
    <mergeCell ref="C148:F148"/>
    <mergeCell ref="B150:K151"/>
    <mergeCell ref="H154:K154"/>
  </mergeCells>
  <phoneticPr fontId="117" type="noConversion"/>
  <conditionalFormatting sqref="C15">
    <cfRule type="cellIs" dxfId="20" priority="10" operator="equal">
      <formula>0</formula>
    </cfRule>
  </conditionalFormatting>
  <conditionalFormatting sqref="C24">
    <cfRule type="cellIs" dxfId="19" priority="7" operator="equal">
      <formula>0</formula>
    </cfRule>
  </conditionalFormatting>
  <conditionalFormatting sqref="C67">
    <cfRule type="cellIs" dxfId="18" priority="9" operator="equal">
      <formula>0</formula>
    </cfRule>
  </conditionalFormatting>
  <conditionalFormatting sqref="C70:C71">
    <cfRule type="cellIs" dxfId="17" priority="8" operator="equal">
      <formula>0</formula>
    </cfRule>
  </conditionalFormatting>
  <conditionalFormatting sqref="C75">
    <cfRule type="cellIs" dxfId="16" priority="1" operator="equal">
      <formula>0</formula>
    </cfRule>
  </conditionalFormatting>
  <conditionalFormatting sqref="C90">
    <cfRule type="cellIs" dxfId="15" priority="26" operator="equal">
      <formula>0</formula>
    </cfRule>
  </conditionalFormatting>
  <conditionalFormatting sqref="C136">
    <cfRule type="cellIs" dxfId="14" priority="60" operator="equal">
      <formula>0</formula>
    </cfRule>
  </conditionalFormatting>
  <conditionalFormatting sqref="C140">
    <cfRule type="cellIs" dxfId="13" priority="61" operator="equal">
      <formula>0</formula>
    </cfRule>
  </conditionalFormatting>
  <conditionalFormatting sqref="C142">
    <cfRule type="cellIs" dxfId="12" priority="134" operator="equal">
      <formula>0</formula>
    </cfRule>
  </conditionalFormatting>
  <conditionalFormatting sqref="E1:E3 H12:I12 O13 H142:K146 G143:H143 E145:H145 E146:F146">
    <cfRule type="cellIs" dxfId="11" priority="937" stopIfTrue="1" operator="equal">
      <formula>0</formula>
    </cfRule>
  </conditionalFormatting>
  <conditionalFormatting sqref="E5:E101">
    <cfRule type="cellIs" dxfId="10" priority="13" stopIfTrue="1" operator="equal">
      <formula>0</formula>
    </cfRule>
  </conditionalFormatting>
  <conditionalFormatting sqref="E142:G144">
    <cfRule type="cellIs" dxfId="9" priority="133" stopIfTrue="1" operator="equal">
      <formula>0</formula>
    </cfRule>
  </conditionalFormatting>
  <conditionalFormatting sqref="E102:K141">
    <cfRule type="cellIs" dxfId="8" priority="12" stopIfTrue="1" operator="equal">
      <formula>0</formula>
    </cfRule>
  </conditionalFormatting>
  <conditionalFormatting sqref="F19:F95">
    <cfRule type="cellIs" dxfId="7" priority="2" stopIfTrue="1" operator="equal">
      <formula>0</formula>
    </cfRule>
  </conditionalFormatting>
  <conditionalFormatting sqref="F97:F101">
    <cfRule type="cellIs" dxfId="6" priority="16" stopIfTrue="1" operator="equal">
      <formula>0</formula>
    </cfRule>
  </conditionalFormatting>
  <conditionalFormatting sqref="F14:K18">
    <cfRule type="cellIs" dxfId="5" priority="159" stopIfTrue="1" operator="equal">
      <formula>0</formula>
    </cfRule>
  </conditionalFormatting>
  <conditionalFormatting sqref="G1:G13">
    <cfRule type="cellIs" dxfId="4" priority="11" stopIfTrue="1" operator="equal">
      <formula>0</formula>
    </cfRule>
  </conditionalFormatting>
  <conditionalFormatting sqref="G145:G65611 E150:E65611">
    <cfRule type="cellIs" dxfId="3" priority="71" stopIfTrue="1" operator="equal">
      <formula>0</formula>
    </cfRule>
  </conditionalFormatting>
  <conditionalFormatting sqref="G19:K101">
    <cfRule type="cellIs" dxfId="2" priority="15" stopIfTrue="1" operator="equal">
      <formula>0</formula>
    </cfRule>
  </conditionalFormatting>
  <conditionalFormatting sqref="S14:V108">
    <cfRule type="cellIs" dxfId="1" priority="14" stopIfTrue="1" operator="equal">
      <formula>0</formula>
    </cfRule>
  </conditionalFormatting>
  <conditionalFormatting sqref="S117:V127">
    <cfRule type="cellIs" dxfId="0" priority="2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2:F95 H14:K146 F98:F111 F141 F114:F115 F16:F83 C21:C23 F89 F85:F87 F117:F130 F133:F13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7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D3911-F906-4886-881D-9E4081EDA49A}">
  <dimension ref="B1:AQ54"/>
  <sheetViews>
    <sheetView showGridLines="0" view="pageBreakPreview" topLeftCell="A4" zoomScaleNormal="40" zoomScaleSheetLayoutView="100" workbookViewId="0">
      <selection activeCell="R20" sqref="R20"/>
    </sheetView>
  </sheetViews>
  <sheetFormatPr baseColWidth="10" defaultColWidth="9.1640625" defaultRowHeight="12"/>
  <cols>
    <col min="1" max="1" width="1.5" style="478" customWidth="1"/>
    <col min="2" max="22" width="5.6640625" style="478" customWidth="1"/>
    <col min="23" max="23" width="7.1640625" style="478" customWidth="1"/>
    <col min="24" max="117" width="5.6640625" style="478" customWidth="1"/>
    <col min="118" max="16384" width="9.1640625" style="478"/>
  </cols>
  <sheetData>
    <row r="1" spans="2:29" ht="13" thickBot="1"/>
    <row r="2" spans="2:29" ht="12.75" customHeight="1">
      <c r="B2" s="479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  <c r="P2" s="480"/>
      <c r="Q2" s="480"/>
      <c r="R2" s="480"/>
      <c r="S2" s="480"/>
      <c r="T2" s="480"/>
      <c r="U2" s="480"/>
      <c r="V2" s="688" t="str">
        <f>"PT. PLN (PERSERO) "&amp;'[87]DETAIL USULAN'!D5&amp;""</f>
        <v>PT. PLN (PERSERO) AREA DEMAK</v>
      </c>
      <c r="W2" s="689"/>
      <c r="X2" s="689"/>
      <c r="Y2" s="689"/>
      <c r="Z2" s="689"/>
      <c r="AA2" s="689"/>
      <c r="AB2" s="689"/>
      <c r="AC2" s="690"/>
    </row>
    <row r="3" spans="2:29">
      <c r="B3" s="481"/>
      <c r="V3" s="691"/>
      <c r="W3" s="692"/>
      <c r="X3" s="692"/>
      <c r="Y3" s="692"/>
      <c r="Z3" s="692"/>
      <c r="AA3" s="692"/>
      <c r="AB3" s="692"/>
      <c r="AC3" s="693"/>
    </row>
    <row r="4" spans="2:29">
      <c r="B4" s="481"/>
      <c r="E4" s="475" t="s">
        <v>1628</v>
      </c>
      <c r="F4" s="475"/>
      <c r="G4" s="476"/>
      <c r="H4" s="475"/>
      <c r="I4" s="475"/>
      <c r="J4" s="475"/>
      <c r="K4" s="475"/>
      <c r="L4" s="476"/>
      <c r="M4" s="476"/>
      <c r="V4" s="405" t="s">
        <v>1586</v>
      </c>
      <c r="AC4" s="482"/>
    </row>
    <row r="5" spans="2:29">
      <c r="B5" s="481"/>
      <c r="E5" s="683"/>
      <c r="F5" s="683"/>
      <c r="G5" s="477" t="s">
        <v>1582</v>
      </c>
      <c r="H5" s="684" t="s">
        <v>1583</v>
      </c>
      <c r="I5" s="685"/>
      <c r="J5" s="684" t="s">
        <v>1584</v>
      </c>
      <c r="K5" s="685"/>
      <c r="L5" s="686" t="s">
        <v>1585</v>
      </c>
      <c r="M5" s="687"/>
      <c r="V5" s="407" t="s">
        <v>1588</v>
      </c>
      <c r="W5" s="650" t="s">
        <v>1589</v>
      </c>
      <c r="X5" s="650"/>
      <c r="Y5" s="650"/>
      <c r="Z5" s="650" t="s">
        <v>1590</v>
      </c>
      <c r="AA5" s="650"/>
      <c r="AB5" s="650" t="s">
        <v>1591</v>
      </c>
      <c r="AC5" s="651"/>
    </row>
    <row r="6" spans="2:29">
      <c r="B6" s="481"/>
      <c r="E6" s="683" t="s">
        <v>1587</v>
      </c>
      <c r="F6" s="683"/>
      <c r="G6" s="477"/>
      <c r="H6" s="684"/>
      <c r="I6" s="685"/>
      <c r="J6" s="684"/>
      <c r="K6" s="685"/>
      <c r="L6" s="686"/>
      <c r="M6" s="687"/>
      <c r="V6" s="407">
        <v>1</v>
      </c>
      <c r="W6" s="650" t="s">
        <v>1593</v>
      </c>
      <c r="X6" s="650"/>
      <c r="Y6" s="650"/>
      <c r="Z6" s="650"/>
      <c r="AA6" s="650"/>
      <c r="AB6" s="650"/>
      <c r="AC6" s="651"/>
    </row>
    <row r="7" spans="2:29">
      <c r="B7" s="481"/>
      <c r="E7" s="683" t="s">
        <v>1592</v>
      </c>
      <c r="F7" s="683"/>
      <c r="G7" s="477">
        <v>10</v>
      </c>
      <c r="H7" s="684">
        <v>112</v>
      </c>
      <c r="I7" s="685"/>
      <c r="J7" s="684">
        <v>110</v>
      </c>
      <c r="K7" s="685"/>
      <c r="L7" s="686"/>
      <c r="M7" s="687"/>
      <c r="O7" s="460"/>
      <c r="V7" s="407">
        <v>2</v>
      </c>
      <c r="W7" s="650" t="s">
        <v>1594</v>
      </c>
      <c r="X7" s="650"/>
      <c r="Y7" s="650"/>
      <c r="Z7" s="650"/>
      <c r="AA7" s="650"/>
      <c r="AB7" s="650"/>
      <c r="AC7" s="651"/>
    </row>
    <row r="8" spans="2:29">
      <c r="B8" s="481"/>
      <c r="V8" s="407">
        <v>3</v>
      </c>
      <c r="W8" s="650" t="s">
        <v>1595</v>
      </c>
      <c r="X8" s="650"/>
      <c r="Y8" s="650"/>
      <c r="Z8" s="650"/>
      <c r="AA8" s="650"/>
      <c r="AB8" s="650"/>
      <c r="AC8" s="651"/>
    </row>
    <row r="9" spans="2:29">
      <c r="B9" s="481"/>
      <c r="V9" s="407">
        <v>4</v>
      </c>
      <c r="W9" s="650" t="s">
        <v>1596</v>
      </c>
      <c r="X9" s="650"/>
      <c r="Y9" s="650"/>
      <c r="Z9" s="650"/>
      <c r="AA9" s="650"/>
      <c r="AB9" s="650"/>
      <c r="AC9" s="651"/>
    </row>
    <row r="10" spans="2:29">
      <c r="B10" s="481"/>
      <c r="V10" s="407">
        <v>5</v>
      </c>
      <c r="W10" s="650" t="s">
        <v>1597</v>
      </c>
      <c r="X10" s="650"/>
      <c r="Y10" s="650"/>
      <c r="Z10" s="650"/>
      <c r="AA10" s="650"/>
      <c r="AB10" s="650"/>
      <c r="AC10" s="651"/>
    </row>
    <row r="11" spans="2:29">
      <c r="B11" s="481"/>
      <c r="V11" s="407">
        <v>6</v>
      </c>
      <c r="W11" s="650" t="s">
        <v>1598</v>
      </c>
      <c r="X11" s="650"/>
      <c r="Y11" s="650"/>
      <c r="Z11" s="650"/>
      <c r="AA11" s="650"/>
      <c r="AB11" s="650"/>
      <c r="AC11" s="651"/>
    </row>
    <row r="12" spans="2:29">
      <c r="B12" s="481"/>
      <c r="V12" s="407">
        <v>7</v>
      </c>
      <c r="W12" s="650" t="s">
        <v>1599</v>
      </c>
      <c r="X12" s="650"/>
      <c r="Y12" s="650"/>
      <c r="Z12" s="650"/>
      <c r="AA12" s="650"/>
      <c r="AB12" s="650"/>
      <c r="AC12" s="651"/>
    </row>
    <row r="13" spans="2:29" ht="12.75" customHeight="1">
      <c r="B13" s="481"/>
      <c r="V13" s="407">
        <v>8</v>
      </c>
      <c r="W13" s="650" t="s">
        <v>1600</v>
      </c>
      <c r="X13" s="650"/>
      <c r="Y13" s="650"/>
      <c r="Z13" s="650"/>
      <c r="AA13" s="650"/>
      <c r="AB13" s="650"/>
      <c r="AC13" s="651"/>
    </row>
    <row r="14" spans="2:29">
      <c r="B14" s="481"/>
      <c r="V14" s="407">
        <v>9</v>
      </c>
      <c r="W14" s="650" t="s">
        <v>1601</v>
      </c>
      <c r="X14" s="650"/>
      <c r="Y14" s="650"/>
      <c r="Z14" s="650"/>
      <c r="AA14" s="650"/>
      <c r="AB14" s="650"/>
      <c r="AC14" s="651"/>
    </row>
    <row r="15" spans="2:29">
      <c r="B15" s="481"/>
      <c r="V15" s="407">
        <v>10</v>
      </c>
      <c r="W15" s="650" t="s">
        <v>1602</v>
      </c>
      <c r="X15" s="650"/>
      <c r="Y15" s="650"/>
      <c r="Z15" s="650"/>
      <c r="AA15" s="650"/>
      <c r="AB15" s="650"/>
      <c r="AC15" s="651"/>
    </row>
    <row r="16" spans="2:29">
      <c r="B16" s="481"/>
      <c r="V16" s="407">
        <v>11</v>
      </c>
      <c r="W16" s="650" t="s">
        <v>1603</v>
      </c>
      <c r="X16" s="650"/>
      <c r="Y16" s="650"/>
      <c r="Z16" s="650"/>
      <c r="AA16" s="650"/>
      <c r="AB16" s="650"/>
      <c r="AC16" s="651"/>
    </row>
    <row r="17" spans="2:43">
      <c r="B17" s="481"/>
      <c r="V17" s="407">
        <v>12</v>
      </c>
      <c r="W17" s="650" t="s">
        <v>1604</v>
      </c>
      <c r="X17" s="650"/>
      <c r="Y17" s="650"/>
      <c r="Z17" s="650"/>
      <c r="AA17" s="650"/>
      <c r="AB17" s="650"/>
      <c r="AC17" s="651"/>
    </row>
    <row r="18" spans="2:43">
      <c r="B18" s="483"/>
      <c r="C18" s="484"/>
      <c r="D18" s="484"/>
      <c r="V18" s="407">
        <v>13</v>
      </c>
      <c r="W18" s="650"/>
      <c r="X18" s="650"/>
      <c r="Y18" s="650"/>
      <c r="Z18" s="650"/>
      <c r="AA18" s="650"/>
      <c r="AB18" s="650"/>
      <c r="AC18" s="651"/>
    </row>
    <row r="19" spans="2:43">
      <c r="B19" s="481"/>
      <c r="V19" s="485"/>
      <c r="W19" s="681"/>
      <c r="X19" s="681"/>
      <c r="Y19" s="681"/>
      <c r="Z19" s="681"/>
      <c r="AA19" s="681"/>
      <c r="AB19" s="681"/>
      <c r="AC19" s="682"/>
    </row>
    <row r="20" spans="2:43">
      <c r="B20" s="481"/>
      <c r="V20" s="673" t="s">
        <v>1605</v>
      </c>
      <c r="W20" s="674"/>
      <c r="X20" s="674"/>
      <c r="Y20" s="674"/>
      <c r="Z20" s="674"/>
      <c r="AA20" s="674"/>
      <c r="AB20" s="674"/>
      <c r="AC20" s="675"/>
    </row>
    <row r="21" spans="2:43">
      <c r="B21" s="481"/>
      <c r="V21" s="676" t="s">
        <v>1606</v>
      </c>
      <c r="W21" s="677"/>
      <c r="X21" s="677"/>
      <c r="Y21" s="678"/>
      <c r="Z21" s="668" t="s">
        <v>1607</v>
      </c>
      <c r="AA21" s="669"/>
      <c r="AB21" s="669"/>
      <c r="AC21" s="670"/>
    </row>
    <row r="22" spans="2:43">
      <c r="B22" s="481"/>
      <c r="V22" s="658"/>
      <c r="W22" s="659"/>
      <c r="X22" s="486"/>
      <c r="Y22" s="487"/>
      <c r="Z22" s="679"/>
      <c r="AA22" s="680"/>
      <c r="AB22" s="488"/>
      <c r="AC22" s="489"/>
      <c r="AQ22" s="478">
        <f>43+54+60</f>
        <v>157</v>
      </c>
    </row>
    <row r="23" spans="2:43">
      <c r="B23" s="481"/>
      <c r="V23" s="658"/>
      <c r="W23" s="659"/>
      <c r="X23" s="486"/>
      <c r="Y23" s="487"/>
      <c r="Z23" s="666"/>
      <c r="AA23" s="667"/>
      <c r="AB23" s="488"/>
      <c r="AC23" s="489"/>
    </row>
    <row r="24" spans="2:43">
      <c r="B24" s="481"/>
      <c r="V24" s="658" t="s">
        <v>1629</v>
      </c>
      <c r="W24" s="659"/>
      <c r="X24" s="486" t="s">
        <v>1029</v>
      </c>
      <c r="Y24" s="487">
        <v>1</v>
      </c>
      <c r="Z24" s="671"/>
      <c r="AA24" s="672"/>
      <c r="AB24" s="488"/>
      <c r="AC24" s="489"/>
    </row>
    <row r="25" spans="2:43">
      <c r="B25" s="481"/>
      <c r="V25" s="658" t="s">
        <v>1630</v>
      </c>
      <c r="W25" s="659"/>
      <c r="X25" s="486" t="s">
        <v>8</v>
      </c>
      <c r="Y25" s="487">
        <v>1</v>
      </c>
      <c r="Z25" s="666"/>
      <c r="AA25" s="667"/>
      <c r="AB25" s="488"/>
      <c r="AC25" s="489"/>
    </row>
    <row r="26" spans="2:43">
      <c r="B26" s="481"/>
      <c r="N26" s="513"/>
      <c r="V26" s="658" t="s">
        <v>1515</v>
      </c>
      <c r="W26" s="659"/>
      <c r="X26" s="486" t="s">
        <v>1029</v>
      </c>
      <c r="Y26" s="487">
        <v>1</v>
      </c>
      <c r="Z26" s="666"/>
      <c r="AA26" s="667"/>
      <c r="AB26" s="488"/>
      <c r="AC26" s="489"/>
    </row>
    <row r="27" spans="2:43">
      <c r="B27" s="481"/>
      <c r="V27" s="658"/>
      <c r="W27" s="659"/>
      <c r="X27" s="486"/>
      <c r="Y27" s="487"/>
      <c r="Z27" s="666"/>
      <c r="AA27" s="667"/>
      <c r="AB27" s="488"/>
      <c r="AC27" s="489"/>
    </row>
    <row r="28" spans="2:43">
      <c r="B28" s="481"/>
      <c r="V28" s="658"/>
      <c r="W28" s="659"/>
      <c r="X28" s="486"/>
      <c r="Y28" s="487"/>
      <c r="Z28" s="666"/>
      <c r="AA28" s="667"/>
      <c r="AB28" s="488"/>
      <c r="AC28" s="489"/>
    </row>
    <row r="29" spans="2:43">
      <c r="B29" s="481"/>
      <c r="V29" s="658"/>
      <c r="W29" s="659"/>
      <c r="X29" s="486"/>
      <c r="Y29" s="487"/>
      <c r="Z29" s="668" t="s">
        <v>1631</v>
      </c>
      <c r="AA29" s="669"/>
      <c r="AB29" s="669"/>
      <c r="AC29" s="670"/>
    </row>
    <row r="30" spans="2:43">
      <c r="B30" s="481"/>
      <c r="V30" s="658"/>
      <c r="W30" s="659"/>
      <c r="X30" s="486"/>
      <c r="Y30" s="487"/>
      <c r="Z30" s="666"/>
      <c r="AA30" s="667"/>
      <c r="AB30" s="488"/>
      <c r="AC30" s="489"/>
    </row>
    <row r="31" spans="2:43">
      <c r="B31" s="481"/>
      <c r="T31" s="490"/>
      <c r="V31" s="658"/>
      <c r="W31" s="659"/>
      <c r="X31" s="486"/>
      <c r="Y31" s="487"/>
      <c r="Z31" s="666"/>
      <c r="AA31" s="667"/>
      <c r="AB31" s="488"/>
      <c r="AC31" s="489"/>
    </row>
    <row r="32" spans="2:43">
      <c r="B32" s="481"/>
      <c r="T32" s="490"/>
      <c r="V32" s="664"/>
      <c r="W32" s="665"/>
      <c r="X32" s="486"/>
      <c r="Y32" s="487"/>
      <c r="Z32" s="666"/>
      <c r="AA32" s="667"/>
      <c r="AB32" s="488"/>
      <c r="AC32" s="489"/>
    </row>
    <row r="33" spans="2:29">
      <c r="B33" s="481"/>
      <c r="V33" s="664"/>
      <c r="W33" s="665"/>
      <c r="X33" s="486"/>
      <c r="Y33" s="487"/>
      <c r="Z33" s="666"/>
      <c r="AA33" s="667"/>
      <c r="AB33" s="488"/>
      <c r="AC33" s="489"/>
    </row>
    <row r="34" spans="2:29">
      <c r="B34" s="481"/>
      <c r="V34" s="664"/>
      <c r="W34" s="665"/>
      <c r="X34" s="486"/>
      <c r="Y34" s="487"/>
      <c r="Z34" s="666"/>
      <c r="AA34" s="667"/>
      <c r="AB34" s="488"/>
      <c r="AC34" s="489"/>
    </row>
    <row r="35" spans="2:29">
      <c r="B35" s="481"/>
      <c r="V35" s="664"/>
      <c r="W35" s="665"/>
      <c r="X35" s="486"/>
      <c r="Y35" s="487"/>
      <c r="Z35" s="666"/>
      <c r="AA35" s="667"/>
      <c r="AB35" s="488"/>
      <c r="AC35" s="489"/>
    </row>
    <row r="36" spans="2:29">
      <c r="B36" s="481"/>
      <c r="V36" s="664"/>
      <c r="W36" s="665"/>
      <c r="X36" s="486"/>
      <c r="Y36" s="487"/>
      <c r="Z36" s="666"/>
      <c r="AA36" s="667"/>
      <c r="AB36" s="488"/>
      <c r="AC36" s="489"/>
    </row>
    <row r="37" spans="2:29" ht="12.75" customHeight="1">
      <c r="B37" s="481"/>
      <c r="V37" s="664"/>
      <c r="W37" s="665"/>
      <c r="X37" s="491"/>
      <c r="Y37" s="487"/>
      <c r="Z37" s="666"/>
      <c r="AA37" s="667"/>
      <c r="AB37" s="492"/>
      <c r="AC37" s="493"/>
    </row>
    <row r="38" spans="2:29" ht="12.75" customHeight="1">
      <c r="B38" s="481"/>
      <c r="V38" s="664"/>
      <c r="W38" s="665"/>
      <c r="X38" s="486"/>
      <c r="Y38" s="487"/>
      <c r="Z38" s="666"/>
      <c r="AA38" s="667"/>
      <c r="AB38" s="492"/>
      <c r="AC38" s="493"/>
    </row>
    <row r="39" spans="2:29" ht="12" customHeight="1">
      <c r="B39" s="481"/>
      <c r="V39" s="658"/>
      <c r="W39" s="659"/>
      <c r="X39" s="491"/>
      <c r="Y39" s="494"/>
      <c r="Z39" s="660"/>
      <c r="AA39" s="661"/>
      <c r="AB39" s="492"/>
      <c r="AC39" s="493"/>
    </row>
    <row r="40" spans="2:29" ht="12" customHeight="1">
      <c r="B40" s="481"/>
      <c r="V40" s="658"/>
      <c r="W40" s="659"/>
      <c r="X40" s="491"/>
      <c r="Y40" s="494"/>
      <c r="Z40" s="404"/>
      <c r="AA40" s="403"/>
      <c r="AB40" s="492"/>
      <c r="AC40" s="493"/>
    </row>
    <row r="41" spans="2:29" ht="12" customHeight="1">
      <c r="B41" s="481"/>
      <c r="V41" s="658"/>
      <c r="W41" s="659"/>
      <c r="X41" s="491"/>
      <c r="Y41" s="494"/>
      <c r="Z41" s="660"/>
      <c r="AA41" s="661"/>
      <c r="AB41" s="492"/>
      <c r="AC41" s="493"/>
    </row>
    <row r="42" spans="2:29" ht="12" customHeight="1">
      <c r="B42" s="481"/>
      <c r="V42" s="662" t="s">
        <v>1632</v>
      </c>
      <c r="W42" s="663"/>
      <c r="X42" s="663"/>
      <c r="Y42" s="663"/>
      <c r="Z42" s="495" t="s">
        <v>1633</v>
      </c>
      <c r="AA42" s="496"/>
      <c r="AB42" s="496"/>
      <c r="AC42" s="497"/>
    </row>
    <row r="43" spans="2:29" ht="12" customHeight="1">
      <c r="B43" s="481"/>
      <c r="U43" s="498"/>
      <c r="V43" s="499"/>
      <c r="W43" s="500"/>
      <c r="X43" s="500"/>
      <c r="Y43" s="500"/>
      <c r="Z43" s="500"/>
      <c r="AA43" s="500"/>
      <c r="AB43" s="500"/>
      <c r="AC43" s="501"/>
    </row>
    <row r="44" spans="2:29">
      <c r="B44" s="502"/>
      <c r="C44" s="503"/>
      <c r="D44" s="503"/>
      <c r="E44" s="503"/>
      <c r="F44" s="503"/>
      <c r="G44" s="503"/>
      <c r="H44" s="503"/>
      <c r="I44" s="503"/>
      <c r="J44" s="503"/>
      <c r="K44" s="503"/>
      <c r="L44" s="503"/>
      <c r="M44" s="503"/>
      <c r="N44" s="503"/>
      <c r="O44" s="503"/>
      <c r="P44" s="503"/>
      <c r="Q44" s="503"/>
      <c r="R44" s="503"/>
      <c r="S44" s="503"/>
      <c r="T44" s="503"/>
      <c r="U44" s="498"/>
      <c r="V44" s="648" t="s">
        <v>1608</v>
      </c>
      <c r="W44" s="649"/>
      <c r="X44" s="650" t="s">
        <v>1634</v>
      </c>
      <c r="Y44" s="650"/>
      <c r="Z44" s="650"/>
      <c r="AA44" s="650"/>
      <c r="AB44" s="650"/>
      <c r="AC44" s="651"/>
    </row>
    <row r="45" spans="2:29">
      <c r="B45" s="502"/>
      <c r="C45" s="503"/>
      <c r="D45" s="503"/>
      <c r="E45" s="503"/>
      <c r="F45" s="503"/>
      <c r="G45" s="503"/>
      <c r="H45" s="503"/>
      <c r="I45" s="503"/>
      <c r="J45" s="503"/>
      <c r="K45" s="503"/>
      <c r="L45" s="503"/>
      <c r="M45" s="503"/>
      <c r="N45" s="503"/>
      <c r="O45" s="503"/>
      <c r="P45" s="503"/>
      <c r="Q45" s="503"/>
      <c r="R45" s="503"/>
      <c r="S45" s="503"/>
      <c r="T45" s="503"/>
      <c r="U45" s="498"/>
      <c r="V45" s="648" t="s">
        <v>1609</v>
      </c>
      <c r="W45" s="649"/>
      <c r="X45" s="650">
        <v>1</v>
      </c>
      <c r="Y45" s="650"/>
      <c r="Z45" s="650"/>
      <c r="AA45" s="650" t="s">
        <v>1610</v>
      </c>
      <c r="AB45" s="650"/>
      <c r="AC45" s="406" t="s">
        <v>1611</v>
      </c>
    </row>
    <row r="46" spans="2:29">
      <c r="B46" s="502"/>
      <c r="C46" s="503"/>
      <c r="D46" s="503"/>
      <c r="E46" s="503"/>
      <c r="F46" s="503"/>
      <c r="G46" s="503"/>
      <c r="H46" s="503"/>
      <c r="I46" s="503"/>
      <c r="J46" s="503"/>
      <c r="K46" s="503"/>
      <c r="L46" s="503"/>
      <c r="M46" s="503"/>
      <c r="N46" s="503"/>
      <c r="O46" s="503"/>
      <c r="P46" s="503"/>
      <c r="Q46" s="503"/>
      <c r="R46" s="503"/>
      <c r="S46" s="503"/>
      <c r="T46" s="503"/>
      <c r="U46" s="498"/>
      <c r="V46" s="648" t="s">
        <v>1612</v>
      </c>
      <c r="W46" s="649"/>
      <c r="X46" s="657"/>
      <c r="Y46" s="657"/>
      <c r="Z46" s="657"/>
      <c r="AA46" s="650" t="s">
        <v>1613</v>
      </c>
      <c r="AB46" s="650"/>
      <c r="AC46" s="504"/>
    </row>
    <row r="47" spans="2:29">
      <c r="B47" s="502"/>
      <c r="C47" s="503"/>
      <c r="D47" s="503"/>
      <c r="E47" s="503"/>
      <c r="F47" s="503"/>
      <c r="G47" s="503"/>
      <c r="H47" s="503"/>
      <c r="I47" s="503"/>
      <c r="J47" s="503"/>
      <c r="K47" s="503"/>
      <c r="L47" s="503"/>
      <c r="M47" s="503"/>
      <c r="N47" s="503"/>
      <c r="O47" s="503"/>
      <c r="P47" s="503"/>
      <c r="Q47" s="503"/>
      <c r="R47" s="503"/>
      <c r="S47" s="503"/>
      <c r="T47" s="503"/>
      <c r="U47" s="498"/>
      <c r="V47" s="652" t="s">
        <v>1614</v>
      </c>
      <c r="W47" s="652"/>
      <c r="X47" s="652"/>
      <c r="Y47" s="652"/>
      <c r="Z47" s="652"/>
      <c r="AA47" s="652"/>
      <c r="AB47" s="652"/>
      <c r="AC47" s="653"/>
    </row>
    <row r="48" spans="2:29" ht="12.75" customHeight="1">
      <c r="B48" s="502"/>
      <c r="C48" s="503"/>
      <c r="D48" s="503"/>
      <c r="E48" s="503"/>
      <c r="F48" s="503"/>
      <c r="G48" s="503"/>
      <c r="H48" s="503"/>
      <c r="I48" s="503"/>
      <c r="J48" s="503"/>
      <c r="K48" s="503"/>
      <c r="L48" s="503"/>
      <c r="M48" s="503"/>
      <c r="N48" s="503"/>
      <c r="O48" s="503"/>
      <c r="P48" s="503"/>
      <c r="Q48" s="503"/>
      <c r="R48" s="503"/>
      <c r="S48" s="503"/>
      <c r="T48" s="503"/>
      <c r="U48" s="498"/>
      <c r="V48" s="654" t="s">
        <v>1622</v>
      </c>
      <c r="W48" s="655"/>
      <c r="X48" s="655"/>
      <c r="Y48" s="655"/>
      <c r="Z48" s="655"/>
      <c r="AA48" s="655"/>
      <c r="AB48" s="655"/>
      <c r="AC48" s="656"/>
    </row>
    <row r="49" spans="2:29" ht="12.75" customHeight="1">
      <c r="B49" s="502"/>
      <c r="C49" s="503"/>
      <c r="D49" s="503"/>
      <c r="E49" s="503"/>
      <c r="F49" s="503"/>
      <c r="G49" s="503"/>
      <c r="H49" s="503"/>
      <c r="I49" s="503"/>
      <c r="J49" s="503"/>
      <c r="K49" s="503"/>
      <c r="L49" s="503"/>
      <c r="M49" s="503"/>
      <c r="N49" s="503"/>
      <c r="O49" s="503"/>
      <c r="P49" s="503"/>
      <c r="Q49" s="503"/>
      <c r="R49" s="503"/>
      <c r="S49" s="503"/>
      <c r="T49" s="503"/>
      <c r="U49" s="498"/>
      <c r="V49" s="654" t="s">
        <v>1623</v>
      </c>
      <c r="W49" s="655"/>
      <c r="X49" s="655"/>
      <c r="Y49" s="655"/>
      <c r="Z49" s="655"/>
      <c r="AA49" s="655"/>
      <c r="AB49" s="655"/>
      <c r="AC49" s="656"/>
    </row>
    <row r="50" spans="2:29">
      <c r="B50" s="502"/>
      <c r="C50" s="503"/>
      <c r="D50" s="503"/>
      <c r="E50" s="503"/>
      <c r="F50" s="503"/>
      <c r="G50" s="503"/>
      <c r="H50" s="503"/>
      <c r="I50" s="503"/>
      <c r="J50" s="503"/>
      <c r="K50" s="503"/>
      <c r="L50" s="503"/>
      <c r="M50" s="503"/>
      <c r="N50" s="503"/>
      <c r="O50" s="503"/>
      <c r="P50" s="503"/>
      <c r="Q50" s="503"/>
      <c r="R50" s="503"/>
      <c r="S50" s="503"/>
      <c r="T50" s="503"/>
      <c r="U50" s="505"/>
      <c r="V50" s="506"/>
      <c r="W50" s="506"/>
      <c r="X50" s="506"/>
      <c r="Y50" s="506"/>
      <c r="Z50" s="506"/>
      <c r="AA50" s="506"/>
      <c r="AB50" s="506"/>
      <c r="AC50" s="507"/>
    </row>
    <row r="51" spans="2:29">
      <c r="B51" s="502"/>
      <c r="C51" s="503"/>
      <c r="D51" s="503"/>
      <c r="E51" s="503"/>
      <c r="F51" s="503"/>
      <c r="G51" s="503"/>
      <c r="H51" s="503"/>
      <c r="I51" s="503"/>
      <c r="J51" s="503"/>
      <c r="K51" s="503"/>
      <c r="L51" s="503"/>
      <c r="M51" s="503"/>
      <c r="N51" s="503"/>
      <c r="O51" s="503"/>
      <c r="P51" s="503"/>
      <c r="Q51" s="503"/>
      <c r="R51" s="503"/>
      <c r="S51" s="503"/>
      <c r="T51" s="503"/>
      <c r="U51" s="498"/>
      <c r="V51" s="648" t="s">
        <v>1615</v>
      </c>
      <c r="W51" s="649"/>
      <c r="X51" s="650" t="s">
        <v>1635</v>
      </c>
      <c r="Y51" s="650"/>
      <c r="Z51" s="650"/>
      <c r="AA51" s="650"/>
      <c r="AB51" s="650"/>
      <c r="AC51" s="651"/>
    </row>
    <row r="52" spans="2:29">
      <c r="B52" s="502"/>
      <c r="C52" s="503"/>
      <c r="D52" s="503"/>
      <c r="E52" s="503"/>
      <c r="F52" s="503"/>
      <c r="G52" s="503"/>
      <c r="H52" s="503"/>
      <c r="I52" s="503"/>
      <c r="J52" s="503"/>
      <c r="K52" s="503"/>
      <c r="L52" s="503"/>
      <c r="M52" s="503"/>
      <c r="N52" s="503"/>
      <c r="O52" s="503"/>
      <c r="P52" s="503"/>
      <c r="Q52" s="503"/>
      <c r="R52" s="503"/>
      <c r="S52" s="503"/>
      <c r="U52" s="498"/>
      <c r="V52" s="648" t="s">
        <v>1616</v>
      </c>
      <c r="W52" s="649"/>
      <c r="X52" s="650" t="s">
        <v>1636</v>
      </c>
      <c r="Y52" s="650"/>
      <c r="Z52" s="650"/>
      <c r="AA52" s="650"/>
      <c r="AB52" s="650"/>
      <c r="AC52" s="651"/>
    </row>
    <row r="53" spans="2:29">
      <c r="B53" s="502"/>
      <c r="C53" s="503"/>
      <c r="D53" s="503"/>
      <c r="E53" s="503"/>
      <c r="F53" s="503"/>
      <c r="G53" s="503"/>
      <c r="H53" s="503"/>
      <c r="I53" s="503"/>
      <c r="J53" s="503"/>
      <c r="K53" s="503"/>
      <c r="L53" s="503"/>
      <c r="M53" s="503"/>
      <c r="N53" s="503"/>
      <c r="O53" s="503"/>
      <c r="P53" s="503"/>
      <c r="Q53" s="503"/>
      <c r="R53" s="503"/>
      <c r="S53" s="503"/>
      <c r="U53" s="498"/>
      <c r="V53" s="648" t="s">
        <v>1617</v>
      </c>
      <c r="W53" s="649"/>
      <c r="X53" s="650" t="s">
        <v>1637</v>
      </c>
      <c r="Y53" s="650"/>
      <c r="Z53" s="650"/>
      <c r="AA53" s="650"/>
      <c r="AB53" s="650"/>
      <c r="AC53" s="651"/>
    </row>
    <row r="54" spans="2:29" ht="13" thickBot="1">
      <c r="B54" s="508"/>
      <c r="C54" s="509"/>
      <c r="D54" s="509"/>
      <c r="E54" s="509"/>
      <c r="F54" s="509"/>
      <c r="G54" s="509"/>
      <c r="H54" s="509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10"/>
      <c r="U54" s="511"/>
      <c r="V54" s="644" t="s">
        <v>1618</v>
      </c>
      <c r="W54" s="645"/>
      <c r="X54" s="646" t="s">
        <v>1638</v>
      </c>
      <c r="Y54" s="646"/>
      <c r="Z54" s="646"/>
      <c r="AA54" s="646"/>
      <c r="AB54" s="646"/>
      <c r="AC54" s="647"/>
    </row>
  </sheetData>
  <mergeCells count="124">
    <mergeCell ref="V2:AC3"/>
    <mergeCell ref="E5:F5"/>
    <mergeCell ref="H5:I5"/>
    <mergeCell ref="J5:K5"/>
    <mergeCell ref="L5:M5"/>
    <mergeCell ref="W5:Y5"/>
    <mergeCell ref="Z5:AA5"/>
    <mergeCell ref="AB5:AC5"/>
    <mergeCell ref="W8:Y8"/>
    <mergeCell ref="Z8:AA8"/>
    <mergeCell ref="AB8:AC8"/>
    <mergeCell ref="W9:Y9"/>
    <mergeCell ref="Z9:AA9"/>
    <mergeCell ref="AB9:AC9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V27:W27"/>
    <mergeCell ref="Z27:AA27"/>
    <mergeCell ref="V28:W28"/>
    <mergeCell ref="Z28:AA28"/>
    <mergeCell ref="V29:W29"/>
    <mergeCell ref="Z29:AC29"/>
    <mergeCell ref="V24:W24"/>
    <mergeCell ref="Z24:AA24"/>
    <mergeCell ref="V25:W25"/>
    <mergeCell ref="Z25:AA25"/>
    <mergeCell ref="V26:W26"/>
    <mergeCell ref="Z26:AA26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39:W39"/>
    <mergeCell ref="Z39:AA39"/>
    <mergeCell ref="V40:W40"/>
    <mergeCell ref="V41:W41"/>
    <mergeCell ref="Z41:AA41"/>
    <mergeCell ref="V42:Y42"/>
    <mergeCell ref="V36:W36"/>
    <mergeCell ref="Z36:AA36"/>
    <mergeCell ref="V37:W37"/>
    <mergeCell ref="Z37:AA37"/>
    <mergeCell ref="V38:W38"/>
    <mergeCell ref="Z38:AA38"/>
    <mergeCell ref="V47:AC47"/>
    <mergeCell ref="V48:AC48"/>
    <mergeCell ref="V49:AC49"/>
    <mergeCell ref="V51:W51"/>
    <mergeCell ref="X51:Z51"/>
    <mergeCell ref="AA51:AC51"/>
    <mergeCell ref="V44:W44"/>
    <mergeCell ref="X44:AC44"/>
    <mergeCell ref="V45:W45"/>
    <mergeCell ref="X45:Z45"/>
    <mergeCell ref="AA45:AB45"/>
    <mergeCell ref="V46:W46"/>
    <mergeCell ref="X46:Z46"/>
    <mergeCell ref="AA46:AB46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FDD4-2266-412F-B6DE-FB0135104A34}">
  <sheetPr>
    <tabColor rgb="FF92D050"/>
  </sheetPr>
  <dimension ref="A1:AD120"/>
  <sheetViews>
    <sheetView view="pageBreakPreview" zoomScale="55" zoomScaleNormal="40" zoomScaleSheetLayoutView="55" workbookViewId="0">
      <selection activeCell="Q7" sqref="Q7"/>
    </sheetView>
  </sheetViews>
  <sheetFormatPr baseColWidth="10" defaultColWidth="9.1640625" defaultRowHeight="14"/>
  <cols>
    <col min="1" max="1" width="1.6640625" style="461" customWidth="1"/>
    <col min="2" max="2" width="10.6640625" style="461" customWidth="1"/>
    <col min="3" max="3" width="2.5" style="461" customWidth="1"/>
    <col min="4" max="20" width="9.1640625" style="461"/>
    <col min="21" max="21" width="14.5" style="461" customWidth="1"/>
    <col min="22" max="22" width="3.1640625" style="461" customWidth="1"/>
    <col min="23" max="26" width="9.1640625" style="461"/>
    <col min="27" max="27" width="2.83203125" style="461" customWidth="1"/>
    <col min="28" max="30" width="4.6640625" style="461" customWidth="1"/>
    <col min="31" max="31" width="1.6640625" style="461" customWidth="1"/>
    <col min="32" max="16384" width="9.1640625" style="461"/>
  </cols>
  <sheetData>
    <row r="1" spans="1:29">
      <c r="A1" s="425"/>
      <c r="B1" s="426"/>
      <c r="C1" s="426"/>
      <c r="D1" s="426"/>
      <c r="E1" s="426"/>
      <c r="F1" s="426"/>
      <c r="G1" s="426"/>
      <c r="H1" s="426"/>
      <c r="I1" s="426"/>
      <c r="J1" s="426"/>
      <c r="K1" s="426"/>
      <c r="L1" s="426"/>
      <c r="M1" s="426"/>
      <c r="N1" s="426"/>
      <c r="O1" s="426"/>
      <c r="P1" s="426"/>
      <c r="Q1" s="426"/>
      <c r="R1" s="426"/>
      <c r="S1" s="426"/>
      <c r="T1" s="426"/>
      <c r="U1" s="426"/>
      <c r="V1" s="426"/>
      <c r="W1" s="427"/>
    </row>
    <row r="2" spans="1:29">
      <c r="A2" s="428"/>
      <c r="W2" s="429"/>
    </row>
    <row r="3" spans="1:29" ht="12.75" customHeight="1">
      <c r="A3" s="428"/>
      <c r="C3" s="694" t="s">
        <v>1619</v>
      </c>
      <c r="D3" s="694"/>
      <c r="E3" s="694"/>
      <c r="F3" s="694"/>
      <c r="G3" s="694"/>
      <c r="H3" s="694"/>
      <c r="I3" s="694"/>
      <c r="J3" s="694"/>
      <c r="K3" s="694"/>
      <c r="L3" s="694"/>
      <c r="M3" s="694"/>
      <c r="N3" s="694"/>
      <c r="O3" s="694"/>
      <c r="P3" s="694"/>
      <c r="Q3" s="694"/>
      <c r="R3" s="694"/>
      <c r="S3" s="694"/>
      <c r="T3" s="694"/>
      <c r="U3" s="694"/>
      <c r="V3" s="694"/>
      <c r="W3" s="429"/>
      <c r="X3" s="472"/>
      <c r="Y3" s="472"/>
      <c r="Z3" s="472"/>
      <c r="AA3" s="472"/>
      <c r="AB3" s="472"/>
      <c r="AC3" s="462"/>
    </row>
    <row r="4" spans="1:29" ht="18.75" customHeight="1">
      <c r="A4" s="428"/>
      <c r="C4" s="694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429"/>
      <c r="X4" s="472"/>
      <c r="Y4" s="472"/>
      <c r="Z4" s="472"/>
      <c r="AA4" s="472"/>
      <c r="AB4" s="472"/>
      <c r="AC4" s="462"/>
    </row>
    <row r="5" spans="1:29" ht="12.75" customHeight="1">
      <c r="A5" s="428"/>
      <c r="C5" s="463"/>
      <c r="W5" s="429"/>
    </row>
    <row r="6" spans="1:29" ht="12.75" customHeight="1">
      <c r="A6" s="428"/>
      <c r="C6" s="695" t="s">
        <v>1639</v>
      </c>
      <c r="D6" s="695"/>
      <c r="E6" s="695"/>
      <c r="F6" s="695"/>
      <c r="G6" s="695"/>
      <c r="H6" s="695"/>
      <c r="I6" s="695"/>
      <c r="J6" s="695"/>
      <c r="K6" s="695"/>
      <c r="L6" s="695"/>
      <c r="M6" s="695"/>
      <c r="W6" s="429"/>
      <c r="Y6" s="464"/>
      <c r="Z6" s="464"/>
      <c r="AA6" s="464"/>
      <c r="AB6" s="465"/>
      <c r="AC6" s="465"/>
    </row>
    <row r="7" spans="1:29" ht="18" customHeight="1">
      <c r="A7" s="428"/>
      <c r="C7" s="695"/>
      <c r="D7" s="695"/>
      <c r="E7" s="695"/>
      <c r="F7" s="695"/>
      <c r="G7" s="695"/>
      <c r="H7" s="695"/>
      <c r="I7" s="695"/>
      <c r="J7" s="695"/>
      <c r="K7" s="695"/>
      <c r="L7" s="695"/>
      <c r="M7" s="695"/>
      <c r="W7" s="429"/>
      <c r="Y7" s="464"/>
      <c r="Z7" s="464"/>
      <c r="AA7" s="464"/>
      <c r="AB7" s="465"/>
      <c r="AC7" s="465"/>
    </row>
    <row r="8" spans="1:29">
      <c r="A8" s="428"/>
      <c r="W8" s="429"/>
    </row>
    <row r="9" spans="1:29">
      <c r="A9" s="428"/>
      <c r="W9" s="429"/>
    </row>
    <row r="10" spans="1:29">
      <c r="A10" s="428"/>
      <c r="W10" s="429"/>
    </row>
    <row r="11" spans="1:29">
      <c r="A11" s="428"/>
      <c r="W11" s="429"/>
    </row>
    <row r="12" spans="1:29">
      <c r="A12" s="428"/>
      <c r="D12" s="466"/>
      <c r="W12" s="429"/>
    </row>
    <row r="13" spans="1:29">
      <c r="A13" s="428"/>
      <c r="W13" s="429"/>
    </row>
    <row r="14" spans="1:29">
      <c r="A14" s="428"/>
      <c r="W14" s="429"/>
    </row>
    <row r="15" spans="1:29">
      <c r="A15" s="428"/>
      <c r="W15" s="429"/>
    </row>
    <row r="16" spans="1:29">
      <c r="A16" s="428"/>
      <c r="W16" s="429"/>
    </row>
    <row r="17" spans="1:23">
      <c r="A17" s="428"/>
      <c r="W17" s="429"/>
    </row>
    <row r="18" spans="1:23">
      <c r="A18" s="428"/>
      <c r="W18" s="429"/>
    </row>
    <row r="19" spans="1:23">
      <c r="A19" s="428"/>
      <c r="W19" s="429"/>
    </row>
    <row r="20" spans="1:23">
      <c r="A20" s="428"/>
      <c r="W20" s="429"/>
    </row>
    <row r="21" spans="1:23">
      <c r="A21" s="428"/>
      <c r="W21" s="429"/>
    </row>
    <row r="22" spans="1:23">
      <c r="A22" s="428"/>
      <c r="W22" s="429"/>
    </row>
    <row r="23" spans="1:23">
      <c r="A23" s="428"/>
      <c r="W23" s="429"/>
    </row>
    <row r="24" spans="1:23">
      <c r="A24" s="428"/>
      <c r="W24" s="429"/>
    </row>
    <row r="25" spans="1:23">
      <c r="A25" s="428"/>
      <c r="W25" s="429"/>
    </row>
    <row r="26" spans="1:23">
      <c r="A26" s="428"/>
      <c r="W26" s="429"/>
    </row>
    <row r="27" spans="1:23">
      <c r="A27" s="428"/>
      <c r="W27" s="429"/>
    </row>
    <row r="28" spans="1:23">
      <c r="A28" s="428"/>
      <c r="W28" s="429"/>
    </row>
    <row r="29" spans="1:23">
      <c r="A29" s="428"/>
      <c r="W29" s="429"/>
    </row>
    <row r="30" spans="1:23">
      <c r="A30" s="428"/>
      <c r="W30" s="429"/>
    </row>
    <row r="31" spans="1:23">
      <c r="A31" s="428"/>
      <c r="W31" s="429"/>
    </row>
    <row r="32" spans="1:23">
      <c r="A32" s="428"/>
      <c r="W32" s="429"/>
    </row>
    <row r="33" spans="1:23">
      <c r="A33" s="428"/>
      <c r="W33" s="429"/>
    </row>
    <row r="34" spans="1:23">
      <c r="A34" s="428"/>
      <c r="W34" s="429"/>
    </row>
    <row r="35" spans="1:23">
      <c r="A35" s="428"/>
      <c r="W35" s="429"/>
    </row>
    <row r="36" spans="1:23">
      <c r="A36" s="428"/>
      <c r="W36" s="429"/>
    </row>
    <row r="37" spans="1:23">
      <c r="A37" s="428"/>
      <c r="W37" s="429"/>
    </row>
    <row r="38" spans="1:23">
      <c r="A38" s="428"/>
      <c r="W38" s="429"/>
    </row>
    <row r="39" spans="1:23">
      <c r="A39" s="428"/>
      <c r="W39" s="429"/>
    </row>
    <row r="40" spans="1:23">
      <c r="A40" s="428"/>
      <c r="W40" s="429"/>
    </row>
    <row r="41" spans="1:23">
      <c r="A41" s="428"/>
      <c r="W41" s="429"/>
    </row>
    <row r="42" spans="1:23">
      <c r="A42" s="428"/>
      <c r="W42" s="429"/>
    </row>
    <row r="43" spans="1:23">
      <c r="A43" s="428"/>
      <c r="W43" s="429"/>
    </row>
    <row r="44" spans="1:23">
      <c r="A44" s="428"/>
      <c r="W44" s="429"/>
    </row>
    <row r="45" spans="1:23">
      <c r="A45" s="428"/>
      <c r="W45" s="429"/>
    </row>
    <row r="46" spans="1:23">
      <c r="A46" s="428"/>
      <c r="W46" s="429"/>
    </row>
    <row r="47" spans="1:23">
      <c r="A47" s="428"/>
      <c r="W47" s="429"/>
    </row>
    <row r="48" spans="1:23">
      <c r="A48" s="428"/>
      <c r="W48" s="429"/>
    </row>
    <row r="49" spans="1:30">
      <c r="A49" s="428"/>
      <c r="W49" s="429"/>
    </row>
    <row r="50" spans="1:30">
      <c r="A50" s="428"/>
      <c r="W50" s="429"/>
    </row>
    <row r="51" spans="1:30">
      <c r="A51" s="428"/>
      <c r="W51" s="429"/>
    </row>
    <row r="52" spans="1:30">
      <c r="A52" s="428"/>
      <c r="W52" s="429"/>
    </row>
    <row r="53" spans="1:30">
      <c r="A53" s="428"/>
      <c r="W53" s="429"/>
    </row>
    <row r="54" spans="1:30">
      <c r="A54" s="428"/>
      <c r="R54" s="467"/>
      <c r="S54" s="467"/>
      <c r="T54" s="467"/>
      <c r="U54" s="468"/>
      <c r="V54" s="468"/>
      <c r="W54" s="430"/>
      <c r="X54" s="468"/>
      <c r="Y54" s="468"/>
      <c r="Z54" s="468"/>
      <c r="AA54" s="468"/>
      <c r="AB54" s="468"/>
      <c r="AC54" s="468"/>
      <c r="AD54" s="468"/>
    </row>
    <row r="55" spans="1:30" ht="15" thickBot="1">
      <c r="A55" s="431"/>
      <c r="B55" s="432"/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  <c r="N55" s="432"/>
      <c r="O55" s="432"/>
      <c r="P55" s="432"/>
      <c r="Q55" s="432"/>
      <c r="R55" s="473"/>
      <c r="S55" s="474"/>
      <c r="T55" s="474"/>
      <c r="U55" s="433"/>
      <c r="V55" s="434"/>
      <c r="W55" s="435"/>
      <c r="X55" s="468"/>
      <c r="Y55" s="468"/>
      <c r="Z55" s="468"/>
      <c r="AA55" s="469"/>
      <c r="AB55" s="469"/>
      <c r="AC55" s="469"/>
      <c r="AD55" s="469"/>
    </row>
    <row r="56" spans="1:30">
      <c r="U56" s="468"/>
      <c r="V56" s="469"/>
      <c r="W56" s="468"/>
      <c r="X56" s="468"/>
      <c r="Y56" s="468"/>
      <c r="Z56" s="468"/>
      <c r="AA56" s="469"/>
      <c r="AB56" s="468"/>
      <c r="AC56" s="468"/>
      <c r="AD56" s="468"/>
    </row>
    <row r="57" spans="1:30">
      <c r="U57" s="468"/>
      <c r="V57" s="469"/>
      <c r="W57" s="468"/>
      <c r="X57" s="468"/>
      <c r="Y57" s="468"/>
      <c r="Z57" s="468"/>
      <c r="AA57" s="468"/>
      <c r="AB57" s="468"/>
      <c r="AC57" s="468"/>
      <c r="AD57" s="468"/>
    </row>
    <row r="58" spans="1:30">
      <c r="U58" s="468"/>
      <c r="V58" s="469"/>
      <c r="W58" s="468"/>
      <c r="X58" s="468"/>
      <c r="Y58" s="468"/>
      <c r="Z58" s="468"/>
      <c r="AA58" s="468"/>
      <c r="AB58" s="468"/>
      <c r="AC58" s="468"/>
      <c r="AD58" s="468"/>
    </row>
    <row r="59" spans="1:30">
      <c r="U59" s="468"/>
      <c r="V59" s="469"/>
      <c r="W59" s="468"/>
      <c r="X59" s="468"/>
      <c r="Y59" s="468"/>
      <c r="Z59" s="468"/>
      <c r="AA59" s="468"/>
      <c r="AB59" s="468"/>
      <c r="AC59" s="468"/>
      <c r="AD59" s="468"/>
    </row>
    <row r="60" spans="1:30">
      <c r="U60" s="468"/>
      <c r="V60" s="469"/>
      <c r="W60" s="468"/>
      <c r="X60" s="468"/>
      <c r="Y60" s="468"/>
      <c r="Z60" s="468"/>
      <c r="AA60" s="469"/>
      <c r="AB60" s="468"/>
      <c r="AC60" s="468"/>
      <c r="AD60" s="468"/>
    </row>
    <row r="61" spans="1:30">
      <c r="U61" s="468"/>
      <c r="V61" s="469"/>
      <c r="W61" s="468"/>
      <c r="X61" s="468"/>
      <c r="Y61" s="468"/>
      <c r="Z61" s="468"/>
      <c r="AA61" s="468"/>
      <c r="AB61" s="468"/>
      <c r="AC61" s="468"/>
      <c r="AD61" s="468"/>
    </row>
    <row r="62" spans="1:30">
      <c r="U62" s="468"/>
      <c r="V62" s="469"/>
      <c r="W62" s="468"/>
      <c r="X62" s="468"/>
      <c r="Y62" s="468"/>
      <c r="Z62" s="468"/>
      <c r="AA62" s="468"/>
      <c r="AB62" s="468"/>
      <c r="AC62" s="468"/>
      <c r="AD62" s="468"/>
    </row>
    <row r="63" spans="1:30">
      <c r="U63" s="468"/>
      <c r="V63" s="469"/>
      <c r="W63" s="468"/>
      <c r="X63" s="468"/>
      <c r="Y63" s="468"/>
      <c r="Z63" s="468"/>
      <c r="AA63" s="468"/>
      <c r="AB63" s="468"/>
      <c r="AC63" s="468"/>
      <c r="AD63" s="468"/>
    </row>
    <row r="64" spans="1:30">
      <c r="U64" s="468"/>
      <c r="V64" s="469"/>
      <c r="W64" s="468"/>
      <c r="X64" s="468"/>
      <c r="Y64" s="468"/>
      <c r="Z64" s="468"/>
      <c r="AA64" s="468"/>
      <c r="AB64" s="468"/>
      <c r="AC64" s="468"/>
      <c r="AD64" s="468"/>
    </row>
    <row r="65" spans="5:30">
      <c r="U65" s="468"/>
      <c r="V65" s="469"/>
      <c r="W65" s="468"/>
      <c r="X65" s="468"/>
      <c r="Y65" s="468"/>
      <c r="Z65" s="468"/>
      <c r="AA65" s="468"/>
      <c r="AB65" s="468"/>
      <c r="AC65" s="468"/>
      <c r="AD65" s="468"/>
    </row>
    <row r="66" spans="5:30" ht="6" customHeight="1"/>
    <row r="73" spans="5:30">
      <c r="M73" s="470"/>
    </row>
    <row r="74" spans="5:30" ht="15" customHeight="1">
      <c r="E74" s="471"/>
      <c r="M74" s="470"/>
    </row>
    <row r="75" spans="5:30" ht="15" customHeight="1">
      <c r="E75" s="471"/>
      <c r="M75" s="470"/>
    </row>
    <row r="76" spans="5:30" ht="15" customHeight="1">
      <c r="E76" s="471"/>
      <c r="M76" s="470"/>
    </row>
    <row r="77" spans="5:30" ht="15" customHeight="1">
      <c r="E77" s="471"/>
      <c r="M77" s="470"/>
    </row>
    <row r="78" spans="5:30" ht="15" customHeight="1">
      <c r="E78" s="471"/>
      <c r="M78" s="470"/>
    </row>
    <row r="79" spans="5:30" ht="15" customHeight="1">
      <c r="E79" s="471"/>
      <c r="M79" s="470"/>
    </row>
    <row r="80" spans="5:30" ht="15" customHeight="1">
      <c r="E80" s="471"/>
      <c r="M80" s="470"/>
    </row>
    <row r="81" spans="5:13" ht="15" customHeight="1">
      <c r="E81" s="471"/>
      <c r="M81" s="470"/>
    </row>
    <row r="82" spans="5:13" ht="15" customHeight="1">
      <c r="E82" s="471"/>
      <c r="M82" s="470"/>
    </row>
    <row r="83" spans="5:13" ht="15" customHeight="1">
      <c r="E83" s="471"/>
      <c r="M83" s="470"/>
    </row>
    <row r="84" spans="5:13" ht="15" customHeight="1">
      <c r="E84" s="471"/>
      <c r="M84" s="470"/>
    </row>
    <row r="85" spans="5:13" ht="15" customHeight="1">
      <c r="E85" s="471"/>
      <c r="M85" s="470"/>
    </row>
    <row r="86" spans="5:13" ht="15" customHeight="1">
      <c r="E86" s="471"/>
      <c r="M86" s="470"/>
    </row>
    <row r="87" spans="5:13" ht="15" customHeight="1">
      <c r="E87" s="471"/>
      <c r="M87" s="470"/>
    </row>
    <row r="88" spans="5:13" ht="15" customHeight="1">
      <c r="E88" s="471"/>
      <c r="M88" s="470"/>
    </row>
    <row r="89" spans="5:13" ht="15" customHeight="1">
      <c r="E89" s="471"/>
      <c r="M89" s="470"/>
    </row>
    <row r="90" spans="5:13" ht="15" customHeight="1">
      <c r="E90" s="471"/>
      <c r="M90" s="470"/>
    </row>
    <row r="91" spans="5:13" ht="15" customHeight="1">
      <c r="E91" s="471"/>
      <c r="M91" s="470"/>
    </row>
    <row r="92" spans="5:13" ht="15" customHeight="1">
      <c r="E92" s="471"/>
      <c r="M92" s="470"/>
    </row>
    <row r="93" spans="5:13" ht="15" customHeight="1">
      <c r="E93" s="471"/>
      <c r="M93" s="470"/>
    </row>
    <row r="94" spans="5:13" ht="15" customHeight="1">
      <c r="E94" s="471"/>
      <c r="M94" s="470"/>
    </row>
    <row r="95" spans="5:13" ht="15" customHeight="1">
      <c r="E95" s="471"/>
      <c r="M95" s="470"/>
    </row>
    <row r="96" spans="5:13" ht="15" customHeight="1">
      <c r="E96" s="471"/>
    </row>
    <row r="97" spans="5:5" ht="15" customHeight="1">
      <c r="E97" s="471"/>
    </row>
    <row r="98" spans="5:5" ht="15" customHeight="1">
      <c r="E98" s="471"/>
    </row>
    <row r="99" spans="5:5" ht="15" customHeight="1">
      <c r="E99" s="471"/>
    </row>
    <row r="100" spans="5:5" ht="15" customHeight="1">
      <c r="E100" s="471"/>
    </row>
    <row r="101" spans="5:5" ht="15" customHeight="1">
      <c r="E101" s="471"/>
    </row>
    <row r="102" spans="5:5" ht="15" customHeight="1">
      <c r="E102" s="471"/>
    </row>
    <row r="103" spans="5:5" ht="15" customHeight="1">
      <c r="E103" s="471"/>
    </row>
    <row r="104" spans="5:5" ht="15" customHeight="1">
      <c r="E104" s="471"/>
    </row>
    <row r="105" spans="5:5" ht="15" customHeight="1">
      <c r="E105" s="471"/>
    </row>
    <row r="106" spans="5:5" ht="15" customHeight="1">
      <c r="E106" s="471"/>
    </row>
    <row r="107" spans="5:5" ht="15" customHeight="1">
      <c r="E107" s="471"/>
    </row>
    <row r="108" spans="5:5" ht="15" customHeight="1">
      <c r="E108" s="471"/>
    </row>
    <row r="109" spans="5:5" ht="15" customHeight="1">
      <c r="E109" s="471"/>
    </row>
    <row r="110" spans="5:5" ht="15" customHeight="1">
      <c r="E110" s="471"/>
    </row>
    <row r="111" spans="5:5" ht="15" customHeight="1">
      <c r="E111" s="471"/>
    </row>
    <row r="112" spans="5:5" ht="15" customHeight="1">
      <c r="E112" s="471"/>
    </row>
    <row r="113" spans="5:5" ht="15" customHeight="1">
      <c r="E113" s="471"/>
    </row>
    <row r="114" spans="5:5" ht="15" customHeight="1">
      <c r="E114" s="471"/>
    </row>
    <row r="115" spans="5:5" ht="15" customHeight="1">
      <c r="E115" s="471"/>
    </row>
    <row r="116" spans="5:5" ht="15" customHeight="1">
      <c r="E116" s="471"/>
    </row>
    <row r="117" spans="5:5" ht="15" customHeight="1">
      <c r="E117" s="471"/>
    </row>
    <row r="118" spans="5:5" ht="15" customHeight="1">
      <c r="E118" s="471"/>
    </row>
    <row r="119" spans="5:5" ht="15" customHeight="1">
      <c r="E119" s="471"/>
    </row>
    <row r="120" spans="5:5">
      <c r="E120" s="47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5AA87-70E8-44AD-AA94-27E575149BAC}">
  <sheetPr>
    <tabColor rgb="FF92D050"/>
  </sheetPr>
  <dimension ref="B1:AF68"/>
  <sheetViews>
    <sheetView view="pageBreakPreview" topLeftCell="A2" zoomScale="55" zoomScaleNormal="55" zoomScaleSheetLayoutView="55" workbookViewId="0">
      <selection activeCell="AC40" sqref="AC40"/>
    </sheetView>
  </sheetViews>
  <sheetFormatPr baseColWidth="10" defaultColWidth="9.1640625" defaultRowHeight="14"/>
  <cols>
    <col min="1" max="1" width="1.6640625" style="436" customWidth="1"/>
    <col min="2" max="2" width="1.5" style="436" customWidth="1"/>
    <col min="3" max="3" width="10.6640625" style="436" customWidth="1"/>
    <col min="4" max="4" width="2.5" style="436" customWidth="1"/>
    <col min="5" max="21" width="9.1640625" style="436"/>
    <col min="22" max="22" width="14.5" style="436" customWidth="1"/>
    <col min="23" max="23" width="3.1640625" style="436" customWidth="1"/>
    <col min="24" max="27" width="9.1640625" style="436"/>
    <col min="28" max="28" width="2.83203125" style="436" customWidth="1"/>
    <col min="29" max="31" width="4.6640625" style="436" customWidth="1"/>
    <col min="32" max="32" width="1.6640625" style="436" customWidth="1"/>
    <col min="33" max="16384" width="9.1640625" style="436"/>
  </cols>
  <sheetData>
    <row r="1" spans="2:32" ht="15" thickBot="1"/>
    <row r="2" spans="2:32" ht="6" customHeight="1" thickBot="1">
      <c r="B2" s="437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9"/>
    </row>
    <row r="3" spans="2:32" ht="15" thickBot="1">
      <c r="B3" s="440"/>
      <c r="C3" s="437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8"/>
      <c r="AD3" s="438"/>
      <c r="AE3" s="439"/>
      <c r="AF3" s="441"/>
    </row>
    <row r="4" spans="2:32" ht="12.75" customHeight="1">
      <c r="B4" s="440"/>
      <c r="C4" s="440"/>
      <c r="D4" s="696" t="s">
        <v>1620</v>
      </c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8"/>
      <c r="AD4" s="442"/>
      <c r="AE4" s="441"/>
      <c r="AF4" s="441"/>
    </row>
    <row r="5" spans="2:32" ht="13.5" customHeight="1">
      <c r="B5" s="440"/>
      <c r="C5" s="440"/>
      <c r="D5" s="699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4"/>
      <c r="X5" s="694"/>
      <c r="Y5" s="694"/>
      <c r="Z5" s="694"/>
      <c r="AA5" s="694"/>
      <c r="AB5" s="694"/>
      <c r="AC5" s="700"/>
      <c r="AD5" s="442"/>
      <c r="AE5" s="441"/>
      <c r="AF5" s="441"/>
    </row>
    <row r="6" spans="2:32" ht="12.75" customHeight="1">
      <c r="B6" s="440"/>
      <c r="C6" s="440"/>
      <c r="D6" s="699"/>
      <c r="E6" s="694"/>
      <c r="F6" s="694"/>
      <c r="G6" s="694"/>
      <c r="H6" s="694"/>
      <c r="I6" s="694"/>
      <c r="J6" s="694"/>
      <c r="K6" s="694"/>
      <c r="L6" s="694"/>
      <c r="M6" s="694"/>
      <c r="N6" s="694"/>
      <c r="O6" s="694"/>
      <c r="P6" s="694"/>
      <c r="Q6" s="694"/>
      <c r="R6" s="694"/>
      <c r="S6" s="694"/>
      <c r="T6" s="694"/>
      <c r="U6" s="694"/>
      <c r="V6" s="694"/>
      <c r="W6" s="694"/>
      <c r="X6" s="694"/>
      <c r="Y6" s="694"/>
      <c r="Z6" s="694"/>
      <c r="AA6" s="694"/>
      <c r="AB6" s="694"/>
      <c r="AC6" s="700"/>
      <c r="AE6" s="441"/>
      <c r="AF6" s="441"/>
    </row>
    <row r="7" spans="2:32" ht="12.75" customHeight="1" thickBot="1">
      <c r="B7" s="440"/>
      <c r="C7" s="440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444"/>
      <c r="AE7" s="441"/>
      <c r="AF7" s="441"/>
    </row>
    <row r="8" spans="2:32" ht="12.75" customHeight="1">
      <c r="B8" s="440"/>
      <c r="C8" s="440"/>
      <c r="Z8" s="443"/>
      <c r="AA8" s="443"/>
      <c r="AB8" s="443"/>
      <c r="AC8" s="444"/>
      <c r="AD8" s="444"/>
      <c r="AE8" s="441"/>
      <c r="AF8" s="441"/>
    </row>
    <row r="9" spans="2:32" ht="12.75" customHeight="1">
      <c r="B9" s="440"/>
      <c r="C9" s="440"/>
      <c r="AE9" s="441"/>
      <c r="AF9" s="441"/>
    </row>
    <row r="10" spans="2:32" ht="12.75" customHeight="1">
      <c r="B10" s="440"/>
      <c r="C10" s="440"/>
      <c r="AE10" s="441"/>
      <c r="AF10" s="441"/>
    </row>
    <row r="11" spans="2:32">
      <c r="B11" s="440"/>
      <c r="C11" s="440"/>
      <c r="AE11" s="441"/>
      <c r="AF11" s="441"/>
    </row>
    <row r="12" spans="2:32">
      <c r="B12" s="440"/>
      <c r="C12" s="440"/>
      <c r="AE12" s="441"/>
      <c r="AF12" s="441"/>
    </row>
    <row r="13" spans="2:32">
      <c r="B13" s="440"/>
      <c r="C13" s="440"/>
      <c r="AE13" s="441"/>
      <c r="AF13" s="441"/>
    </row>
    <row r="14" spans="2:32">
      <c r="B14" s="440"/>
      <c r="C14" s="440"/>
      <c r="AE14" s="441"/>
      <c r="AF14" s="441"/>
    </row>
    <row r="15" spans="2:32">
      <c r="B15" s="440"/>
      <c r="C15" s="440"/>
      <c r="E15" s="445"/>
      <c r="AE15" s="441"/>
      <c r="AF15" s="441"/>
    </row>
    <row r="16" spans="2:32">
      <c r="B16" s="440"/>
      <c r="C16" s="440"/>
      <c r="AE16" s="441"/>
      <c r="AF16" s="441"/>
    </row>
    <row r="17" spans="2:32">
      <c r="B17" s="440"/>
      <c r="C17" s="440"/>
      <c r="AE17" s="441"/>
      <c r="AF17" s="441"/>
    </row>
    <row r="18" spans="2:32">
      <c r="B18" s="440"/>
      <c r="C18" s="440"/>
      <c r="AE18" s="441"/>
      <c r="AF18" s="441"/>
    </row>
    <row r="19" spans="2:32">
      <c r="B19" s="440"/>
      <c r="C19" s="440"/>
      <c r="AE19" s="441"/>
      <c r="AF19" s="441"/>
    </row>
    <row r="20" spans="2:32">
      <c r="B20" s="440"/>
      <c r="C20" s="440"/>
      <c r="AE20" s="441"/>
      <c r="AF20" s="441"/>
    </row>
    <row r="21" spans="2:32">
      <c r="B21" s="440"/>
      <c r="C21" s="440"/>
      <c r="AE21" s="441"/>
      <c r="AF21" s="441"/>
    </row>
    <row r="22" spans="2:32">
      <c r="B22" s="440"/>
      <c r="C22" s="440"/>
      <c r="AE22" s="441"/>
      <c r="AF22" s="441"/>
    </row>
    <row r="23" spans="2:32">
      <c r="B23" s="440"/>
      <c r="C23" s="440"/>
      <c r="AE23" s="441"/>
      <c r="AF23" s="441"/>
    </row>
    <row r="24" spans="2:32">
      <c r="B24" s="440"/>
      <c r="C24" s="440"/>
      <c r="AE24" s="441"/>
      <c r="AF24" s="441"/>
    </row>
    <row r="25" spans="2:32">
      <c r="B25" s="440"/>
      <c r="C25" s="440"/>
      <c r="AE25" s="441"/>
      <c r="AF25" s="441"/>
    </row>
    <row r="26" spans="2:32">
      <c r="B26" s="440"/>
      <c r="C26" s="440"/>
      <c r="AE26" s="441"/>
      <c r="AF26" s="441"/>
    </row>
    <row r="27" spans="2:32">
      <c r="B27" s="440"/>
      <c r="C27" s="440"/>
      <c r="AE27" s="441"/>
      <c r="AF27" s="441"/>
    </row>
    <row r="28" spans="2:32">
      <c r="B28" s="440"/>
      <c r="C28" s="440"/>
      <c r="AE28" s="441"/>
      <c r="AF28" s="441"/>
    </row>
    <row r="29" spans="2:32">
      <c r="B29" s="440"/>
      <c r="C29" s="440"/>
      <c r="AE29" s="441"/>
      <c r="AF29" s="441"/>
    </row>
    <row r="30" spans="2:32">
      <c r="B30" s="440"/>
      <c r="C30" s="440"/>
      <c r="AE30" s="441"/>
      <c r="AF30" s="441"/>
    </row>
    <row r="31" spans="2:32">
      <c r="B31" s="440"/>
      <c r="C31" s="440"/>
      <c r="AE31" s="441"/>
      <c r="AF31" s="441"/>
    </row>
    <row r="32" spans="2:32">
      <c r="B32" s="440"/>
      <c r="C32" s="440"/>
      <c r="AE32" s="441"/>
      <c r="AF32" s="441"/>
    </row>
    <row r="33" spans="2:32">
      <c r="B33" s="440"/>
      <c r="C33" s="440"/>
      <c r="AE33" s="441"/>
      <c r="AF33" s="441"/>
    </row>
    <row r="34" spans="2:32">
      <c r="B34" s="440"/>
      <c r="C34" s="440"/>
      <c r="AE34" s="441"/>
      <c r="AF34" s="441"/>
    </row>
    <row r="35" spans="2:32">
      <c r="B35" s="440"/>
      <c r="C35" s="440"/>
      <c r="AE35" s="441"/>
      <c r="AF35" s="441"/>
    </row>
    <row r="36" spans="2:32">
      <c r="B36" s="440"/>
      <c r="C36" s="440"/>
      <c r="AE36" s="441"/>
      <c r="AF36" s="441"/>
    </row>
    <row r="37" spans="2:32">
      <c r="B37" s="440"/>
      <c r="C37" s="440"/>
      <c r="AE37" s="441"/>
      <c r="AF37" s="441"/>
    </row>
    <row r="38" spans="2:32">
      <c r="B38" s="440"/>
      <c r="C38" s="440"/>
      <c r="AE38" s="441"/>
      <c r="AF38" s="441"/>
    </row>
    <row r="39" spans="2:32">
      <c r="B39" s="440"/>
      <c r="C39" s="440"/>
      <c r="AE39" s="441"/>
      <c r="AF39" s="441"/>
    </row>
    <row r="40" spans="2:32">
      <c r="B40" s="440"/>
      <c r="C40" s="440"/>
      <c r="AE40" s="441"/>
      <c r="AF40" s="441"/>
    </row>
    <row r="41" spans="2:32">
      <c r="B41" s="440"/>
      <c r="C41" s="440"/>
      <c r="AE41" s="441"/>
      <c r="AF41" s="441"/>
    </row>
    <row r="42" spans="2:32">
      <c r="B42" s="440"/>
      <c r="C42" s="440"/>
      <c r="AE42" s="441"/>
      <c r="AF42" s="441"/>
    </row>
    <row r="43" spans="2:32">
      <c r="B43" s="440"/>
      <c r="C43" s="440"/>
      <c r="AE43" s="441"/>
      <c r="AF43" s="441"/>
    </row>
    <row r="44" spans="2:32">
      <c r="B44" s="440"/>
      <c r="C44" s="440"/>
      <c r="AE44" s="441"/>
      <c r="AF44" s="441"/>
    </row>
    <row r="45" spans="2:32">
      <c r="B45" s="440"/>
      <c r="C45" s="440"/>
      <c r="AE45" s="441"/>
      <c r="AF45" s="441"/>
    </row>
    <row r="46" spans="2:32">
      <c r="B46" s="440"/>
      <c r="C46" s="440"/>
      <c r="AE46" s="441"/>
      <c r="AF46" s="441"/>
    </row>
    <row r="47" spans="2:32">
      <c r="B47" s="440"/>
      <c r="C47" s="440"/>
      <c r="AE47" s="441"/>
      <c r="AF47" s="441"/>
    </row>
    <row r="48" spans="2:32">
      <c r="B48" s="440"/>
      <c r="C48" s="440"/>
      <c r="AE48" s="441"/>
      <c r="AF48" s="441"/>
    </row>
    <row r="49" spans="2:32">
      <c r="B49" s="440"/>
      <c r="C49" s="440"/>
      <c r="AE49" s="441"/>
      <c r="AF49" s="441"/>
    </row>
    <row r="50" spans="2:32">
      <c r="B50" s="440"/>
      <c r="C50" s="440"/>
      <c r="AE50" s="441"/>
      <c r="AF50" s="441"/>
    </row>
    <row r="51" spans="2:32">
      <c r="B51" s="440"/>
      <c r="C51" s="440"/>
      <c r="AE51" s="441"/>
      <c r="AF51" s="441"/>
    </row>
    <row r="52" spans="2:32">
      <c r="B52" s="440"/>
      <c r="C52" s="440"/>
      <c r="AE52" s="441"/>
      <c r="AF52" s="441"/>
    </row>
    <row r="53" spans="2:32">
      <c r="B53" s="440"/>
      <c r="C53" s="440"/>
      <c r="AE53" s="441"/>
      <c r="AF53" s="441"/>
    </row>
    <row r="54" spans="2:32">
      <c r="B54" s="440"/>
      <c r="C54" s="440"/>
      <c r="AE54" s="441"/>
      <c r="AF54" s="441"/>
    </row>
    <row r="55" spans="2:32">
      <c r="B55" s="440"/>
      <c r="C55" s="440"/>
      <c r="AE55" s="441"/>
      <c r="AF55" s="441"/>
    </row>
    <row r="56" spans="2:32">
      <c r="B56" s="440"/>
      <c r="C56" s="440"/>
      <c r="AE56" s="441"/>
      <c r="AF56" s="441"/>
    </row>
    <row r="57" spans="2:32">
      <c r="B57" s="440"/>
      <c r="C57" s="440"/>
      <c r="S57" s="446"/>
      <c r="T57" s="446"/>
      <c r="U57" s="446"/>
      <c r="V57" s="447"/>
      <c r="W57" s="447"/>
      <c r="X57" s="447"/>
      <c r="Y57" s="447"/>
      <c r="Z57" s="447"/>
      <c r="AA57" s="447"/>
      <c r="AB57" s="447"/>
      <c r="AC57" s="447"/>
      <c r="AD57" s="447"/>
      <c r="AE57" s="448"/>
      <c r="AF57" s="441"/>
    </row>
    <row r="58" spans="2:32">
      <c r="B58" s="440"/>
      <c r="C58" s="440"/>
      <c r="S58" s="449"/>
      <c r="T58" s="446"/>
      <c r="U58" s="446"/>
      <c r="V58" s="447"/>
      <c r="W58" s="450"/>
      <c r="X58" s="447"/>
      <c r="Y58" s="447"/>
      <c r="Z58" s="447"/>
      <c r="AA58" s="447"/>
      <c r="AB58" s="450"/>
      <c r="AC58" s="450"/>
      <c r="AD58" s="450"/>
      <c r="AE58" s="451"/>
      <c r="AF58" s="441"/>
    </row>
    <row r="59" spans="2:32">
      <c r="B59" s="440"/>
      <c r="C59" s="440"/>
      <c r="V59" s="447"/>
      <c r="W59" s="450"/>
      <c r="X59" s="447"/>
      <c r="Y59" s="447"/>
      <c r="Z59" s="447"/>
      <c r="AA59" s="447"/>
      <c r="AB59" s="450"/>
      <c r="AC59" s="447"/>
      <c r="AD59" s="447"/>
      <c r="AE59" s="448"/>
      <c r="AF59" s="441"/>
    </row>
    <row r="60" spans="2:32">
      <c r="B60" s="440"/>
      <c r="C60" s="440"/>
      <c r="V60" s="447"/>
      <c r="W60" s="450"/>
      <c r="X60" s="447"/>
      <c r="Y60" s="447"/>
      <c r="Z60" s="447"/>
      <c r="AA60" s="447"/>
      <c r="AB60" s="447"/>
      <c r="AC60" s="447"/>
      <c r="AD60" s="447"/>
      <c r="AE60" s="448"/>
      <c r="AF60" s="441"/>
    </row>
    <row r="61" spans="2:32">
      <c r="B61" s="440"/>
      <c r="C61" s="440"/>
      <c r="V61" s="452"/>
      <c r="W61" s="452"/>
      <c r="X61" s="452"/>
      <c r="Y61" s="452"/>
      <c r="Z61" s="452"/>
      <c r="AA61" s="452"/>
      <c r="AB61" s="452"/>
      <c r="AC61" s="452"/>
      <c r="AD61" s="452"/>
      <c r="AE61" s="453"/>
      <c r="AF61" s="441"/>
    </row>
    <row r="62" spans="2:32">
      <c r="B62" s="440"/>
      <c r="C62" s="440"/>
      <c r="V62" s="447"/>
      <c r="W62" s="447"/>
      <c r="X62" s="447"/>
      <c r="Y62" s="447"/>
      <c r="Z62" s="447"/>
      <c r="AA62" s="447"/>
      <c r="AB62" s="447"/>
      <c r="AC62" s="447"/>
      <c r="AD62" s="447"/>
      <c r="AE62" s="448"/>
      <c r="AF62" s="441"/>
    </row>
    <row r="63" spans="2:32">
      <c r="B63" s="440"/>
      <c r="C63" s="440"/>
      <c r="V63" s="447"/>
      <c r="W63" s="450"/>
      <c r="X63" s="447"/>
      <c r="Y63" s="447"/>
      <c r="Z63" s="447"/>
      <c r="AA63" s="447"/>
      <c r="AB63" s="447"/>
      <c r="AC63" s="447"/>
      <c r="AD63" s="447"/>
      <c r="AE63" s="448"/>
      <c r="AF63" s="441"/>
    </row>
    <row r="64" spans="2:32">
      <c r="B64" s="440"/>
      <c r="C64" s="440"/>
      <c r="V64" s="447"/>
      <c r="W64" s="450"/>
      <c r="X64" s="447"/>
      <c r="Y64" s="447"/>
      <c r="Z64" s="447"/>
      <c r="AA64" s="447"/>
      <c r="AB64" s="447"/>
      <c r="AC64" s="447"/>
      <c r="AD64" s="447"/>
      <c r="AE64" s="448"/>
      <c r="AF64" s="441"/>
    </row>
    <row r="65" spans="2:32">
      <c r="B65" s="440"/>
      <c r="C65" s="440"/>
      <c r="V65" s="447"/>
      <c r="W65" s="450"/>
      <c r="X65" s="447"/>
      <c r="Y65" s="447"/>
      <c r="Z65" s="447"/>
      <c r="AA65" s="447"/>
      <c r="AB65" s="447"/>
      <c r="AC65" s="447"/>
      <c r="AD65" s="447"/>
      <c r="AE65" s="448"/>
      <c r="AF65" s="441"/>
    </row>
    <row r="66" spans="2:32">
      <c r="B66" s="440"/>
      <c r="C66" s="440"/>
      <c r="V66" s="447"/>
      <c r="W66" s="450"/>
      <c r="X66" s="447"/>
      <c r="Y66" s="447"/>
      <c r="Z66" s="447"/>
      <c r="AA66" s="447"/>
      <c r="AB66" s="447"/>
      <c r="AC66" s="447"/>
      <c r="AD66" s="447"/>
      <c r="AE66" s="448"/>
      <c r="AF66" s="441"/>
    </row>
    <row r="67" spans="2:32" ht="15" thickBot="1">
      <c r="B67" s="440"/>
      <c r="C67" s="454"/>
      <c r="D67" s="455"/>
      <c r="E67" s="455"/>
      <c r="F67" s="455"/>
      <c r="G67" s="455"/>
      <c r="H67" s="455"/>
      <c r="I67" s="455"/>
      <c r="J67" s="455"/>
      <c r="K67" s="455"/>
      <c r="L67" s="455"/>
      <c r="M67" s="455"/>
      <c r="N67" s="455"/>
      <c r="O67" s="455"/>
      <c r="P67" s="455"/>
      <c r="Q67" s="455"/>
      <c r="R67" s="455"/>
      <c r="S67" s="455"/>
      <c r="T67" s="455"/>
      <c r="U67" s="455"/>
      <c r="V67" s="456"/>
      <c r="W67" s="457"/>
      <c r="X67" s="456"/>
      <c r="Y67" s="456"/>
      <c r="Z67" s="456"/>
      <c r="AA67" s="456"/>
      <c r="AB67" s="456"/>
      <c r="AC67" s="456"/>
      <c r="AD67" s="456"/>
      <c r="AE67" s="458"/>
      <c r="AF67" s="441"/>
    </row>
    <row r="68" spans="2:32" ht="6" customHeight="1" thickBot="1">
      <c r="B68" s="454"/>
      <c r="C68" s="455"/>
      <c r="D68" s="455"/>
      <c r="E68" s="455"/>
      <c r="F68" s="455"/>
      <c r="G68" s="455"/>
      <c r="H68" s="455"/>
      <c r="I68" s="455"/>
      <c r="J68" s="455"/>
      <c r="K68" s="455"/>
      <c r="L68" s="455"/>
      <c r="M68" s="455"/>
      <c r="N68" s="455"/>
      <c r="O68" s="455"/>
      <c r="P68" s="455"/>
      <c r="Q68" s="455"/>
      <c r="R68" s="455"/>
      <c r="S68" s="455"/>
      <c r="T68" s="455"/>
      <c r="U68" s="455"/>
      <c r="V68" s="455"/>
      <c r="W68" s="455"/>
      <c r="X68" s="455"/>
      <c r="Y68" s="455"/>
      <c r="Z68" s="455"/>
      <c r="AA68" s="455"/>
      <c r="AB68" s="455"/>
      <c r="AC68" s="455"/>
      <c r="AD68" s="455"/>
      <c r="AE68" s="455"/>
      <c r="AF68" s="459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  <col min="18" max="18" width="12.5" customWidth="1"/>
    <col min="20" max="20" width="12.5" customWidth="1"/>
    <col min="22" max="22" width="12.5" customWidth="1"/>
  </cols>
  <sheetData>
    <row r="1" spans="1:11" ht="48" customHeight="1">
      <c r="A1" s="367">
        <v>1</v>
      </c>
    </row>
    <row r="2" spans="1:11" ht="48" customHeight="1">
      <c r="A2" s="367">
        <v>3</v>
      </c>
    </row>
    <row r="4" spans="1:11" ht="48" customHeight="1">
      <c r="C4" s="367">
        <v>1</v>
      </c>
    </row>
    <row r="5" spans="1:11" ht="48" customHeight="1">
      <c r="C5" s="367">
        <v>3</v>
      </c>
    </row>
    <row r="7" spans="1:11" ht="48" customHeight="1">
      <c r="E7" s="367">
        <v>1</v>
      </c>
    </row>
    <row r="8" spans="1:11" ht="48" customHeight="1">
      <c r="E8" s="367">
        <v>3</v>
      </c>
    </row>
    <row r="10" spans="1:11" ht="48" customHeight="1">
      <c r="G10" s="367">
        <v>3</v>
      </c>
    </row>
    <row r="11" spans="1:11" ht="48" customHeight="1">
      <c r="G11" s="367">
        <v>1</v>
      </c>
    </row>
    <row r="13" spans="1:11" ht="48" customHeight="1">
      <c r="I13" s="367">
        <v>3</v>
      </c>
    </row>
    <row r="14" spans="1:11" ht="48" customHeight="1">
      <c r="I14" s="367">
        <v>1</v>
      </c>
    </row>
    <row r="16" spans="1:11" ht="48" customHeight="1">
      <c r="K16" s="367">
        <v>3</v>
      </c>
    </row>
    <row r="17" spans="11:21" ht="48" customHeight="1">
      <c r="K17" s="367">
        <v>1</v>
      </c>
    </row>
    <row r="19" spans="11:21" ht="48" customHeight="1">
      <c r="M19" s="367">
        <v>3</v>
      </c>
    </row>
    <row r="20" spans="11:21" ht="48" customHeight="1">
      <c r="M20" s="367">
        <v>1</v>
      </c>
    </row>
    <row r="22" spans="11:21" ht="48" customHeight="1">
      <c r="O22" s="367">
        <v>3</v>
      </c>
    </row>
    <row r="23" spans="11:21" ht="48" customHeight="1">
      <c r="O23" s="367">
        <v>1</v>
      </c>
    </row>
    <row r="25" spans="11:21" ht="57" customHeight="1">
      <c r="Q25" s="367">
        <v>3</v>
      </c>
    </row>
    <row r="26" spans="11:21" ht="57" customHeight="1">
      <c r="Q26" s="367">
        <v>1</v>
      </c>
    </row>
    <row r="28" spans="11:21" ht="57" customHeight="1">
      <c r="S28" s="367">
        <v>3</v>
      </c>
    </row>
    <row r="29" spans="11:21" ht="57" customHeight="1">
      <c r="S29" s="367">
        <v>1</v>
      </c>
    </row>
    <row r="31" spans="11:21" ht="57" customHeight="1">
      <c r="U31" s="367">
        <v>3</v>
      </c>
    </row>
    <row r="32" spans="11:21" ht="57" customHeight="1">
      <c r="U32" s="36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2023-09-15T07:30:57Z</dcterms:modified>
</cp:coreProperties>
</file>