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wnloads/"/>
    </mc:Choice>
  </mc:AlternateContent>
  <xr:revisionPtr revIDLastSave="0" documentId="13_ncr:1_{75DA0FAE-6F2D-1D41-839E-052C4D9438CC}" xr6:coauthVersionLast="47" xr6:coauthVersionMax="47" xr10:uidLastSave="{00000000-0000-0000-0000-000000000000}"/>
  <bookViews>
    <workbookView xWindow="0" yWindow="500" windowWidth="20740" windowHeight="1116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RAB!$A$1:$K$164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0" i="11" l="1"/>
  <c r="F78" i="11"/>
  <c r="F76" i="11"/>
  <c r="F72" i="11"/>
  <c r="F67" i="11"/>
  <c r="F66" i="11"/>
  <c r="F65" i="11"/>
  <c r="F64" i="11"/>
  <c r="F63" i="11"/>
  <c r="F57" i="11"/>
  <c r="F56" i="11"/>
  <c r="F55" i="11"/>
  <c r="F54" i="11"/>
  <c r="F53" i="11"/>
  <c r="F52" i="11"/>
  <c r="F51" i="11"/>
  <c r="F50" i="11"/>
  <c r="F49" i="11"/>
  <c r="F39" i="11"/>
  <c r="F21" i="11"/>
  <c r="G116" i="11" l="1"/>
  <c r="E116" i="11"/>
  <c r="D116" i="11"/>
  <c r="J116" i="11" s="1"/>
  <c r="G115" i="11"/>
  <c r="E115" i="11"/>
  <c r="D115" i="11"/>
  <c r="J115" i="11" s="1"/>
  <c r="G114" i="11"/>
  <c r="E114" i="11"/>
  <c r="D114" i="11"/>
  <c r="G112" i="11"/>
  <c r="E112" i="11"/>
  <c r="D112" i="11"/>
  <c r="H112" i="11" s="1"/>
  <c r="G111" i="11"/>
  <c r="E111" i="11"/>
  <c r="D111" i="11"/>
  <c r="J111" i="11" s="1"/>
  <c r="G110" i="11"/>
  <c r="E110" i="11"/>
  <c r="D110" i="11"/>
  <c r="G109" i="11"/>
  <c r="E109" i="11"/>
  <c r="D109" i="11"/>
  <c r="G108" i="11"/>
  <c r="E108" i="11"/>
  <c r="D108" i="11"/>
  <c r="J108" i="11" s="1"/>
  <c r="A108" i="11"/>
  <c r="G107" i="11"/>
  <c r="E107" i="11"/>
  <c r="D107" i="11"/>
  <c r="J107" i="11" s="1"/>
  <c r="A107" i="11"/>
  <c r="G106" i="11"/>
  <c r="E106" i="11"/>
  <c r="D106" i="11"/>
  <c r="J106" i="11" s="1"/>
  <c r="A106" i="11"/>
  <c r="G105" i="11"/>
  <c r="E105" i="11"/>
  <c r="D105" i="11"/>
  <c r="J105" i="11" s="1"/>
  <c r="G104" i="11"/>
  <c r="E104" i="11"/>
  <c r="D104" i="11"/>
  <c r="J104" i="11" s="1"/>
  <c r="A104" i="11"/>
  <c r="G103" i="11"/>
  <c r="E103" i="11"/>
  <c r="D103" i="11"/>
  <c r="A103" i="11"/>
  <c r="D102" i="11"/>
  <c r="G101" i="11"/>
  <c r="E101" i="11"/>
  <c r="D101" i="11"/>
  <c r="J101" i="11" s="1"/>
  <c r="A101" i="11"/>
  <c r="G100" i="11"/>
  <c r="E100" i="11"/>
  <c r="D100" i="11"/>
  <c r="J100" i="11" s="1"/>
  <c r="G99" i="11"/>
  <c r="E99" i="11"/>
  <c r="D99" i="11"/>
  <c r="J99" i="11" s="1"/>
  <c r="A99" i="11"/>
  <c r="G98" i="11"/>
  <c r="E98" i="11"/>
  <c r="D98" i="11"/>
  <c r="J98" i="11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E131" i="11"/>
  <c r="D131" i="11"/>
  <c r="I131" i="11" s="1"/>
  <c r="G130" i="11"/>
  <c r="E130" i="11"/>
  <c r="D130" i="11"/>
  <c r="H130" i="11" s="1"/>
  <c r="G129" i="11"/>
  <c r="E129" i="11"/>
  <c r="D129" i="11"/>
  <c r="I129" i="11" s="1"/>
  <c r="G90" i="11"/>
  <c r="E90" i="11"/>
  <c r="D90" i="11"/>
  <c r="J90" i="11" s="1"/>
  <c r="A90" i="11"/>
  <c r="E89" i="11"/>
  <c r="D89" i="1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A85" i="11"/>
  <c r="E83" i="11"/>
  <c r="D83" i="11"/>
  <c r="A83" i="11"/>
  <c r="E82" i="11"/>
  <c r="D82" i="11"/>
  <c r="J82" i="11" s="1"/>
  <c r="A82" i="11"/>
  <c r="E81" i="11"/>
  <c r="D81" i="11"/>
  <c r="E80" i="11"/>
  <c r="D80" i="11"/>
  <c r="A80" i="11"/>
  <c r="E79" i="11"/>
  <c r="D79" i="11"/>
  <c r="E78" i="11"/>
  <c r="D78" i="11"/>
  <c r="J78" i="11" s="1"/>
  <c r="A78" i="11"/>
  <c r="G77" i="11"/>
  <c r="E77" i="11"/>
  <c r="D77" i="11"/>
  <c r="G36" i="1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A33" i="11"/>
  <c r="E32" i="11"/>
  <c r="D32" i="11"/>
  <c r="H32" i="11" s="1"/>
  <c r="A32" i="11"/>
  <c r="E31" i="11"/>
  <c r="D31" i="11"/>
  <c r="H31" i="11" s="1"/>
  <c r="A31" i="11"/>
  <c r="E30" i="11"/>
  <c r="D30" i="11"/>
  <c r="A30" i="11"/>
  <c r="E29" i="11"/>
  <c r="D29" i="11"/>
  <c r="H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J26" i="11" s="1"/>
  <c r="A26" i="11"/>
  <c r="E25" i="11"/>
  <c r="D25" i="11"/>
  <c r="A25" i="11"/>
  <c r="E24" i="11"/>
  <c r="D24" i="11"/>
  <c r="A24" i="11"/>
  <c r="G23" i="11"/>
  <c r="E23" i="11"/>
  <c r="D23" i="11"/>
  <c r="I23" i="11" s="1"/>
  <c r="G22" i="11"/>
  <c r="E22" i="11"/>
  <c r="D22" i="11"/>
  <c r="A22" i="11"/>
  <c r="G21" i="11"/>
  <c r="E21" i="11"/>
  <c r="D21" i="11"/>
  <c r="I21" i="11" s="1"/>
  <c r="A21" i="11"/>
  <c r="G76" i="11"/>
  <c r="E76" i="11"/>
  <c r="D76" i="11"/>
  <c r="J76" i="11" s="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J71" i="11" s="1"/>
  <c r="A71" i="11"/>
  <c r="G70" i="11"/>
  <c r="E70" i="11"/>
  <c r="D70" i="11"/>
  <c r="J70" i="11" s="1"/>
  <c r="G122" i="11"/>
  <c r="G128" i="11"/>
  <c r="G133" i="11"/>
  <c r="G134" i="11"/>
  <c r="G141" i="11"/>
  <c r="E122" i="11"/>
  <c r="E123" i="11"/>
  <c r="E124" i="11"/>
  <c r="E125" i="11"/>
  <c r="E126" i="11"/>
  <c r="E127" i="11"/>
  <c r="E128" i="11"/>
  <c r="E133" i="11"/>
  <c r="E134" i="11"/>
  <c r="E135" i="11"/>
  <c r="E136" i="11"/>
  <c r="E137" i="11"/>
  <c r="E138" i="11"/>
  <c r="E139" i="11"/>
  <c r="E140" i="11"/>
  <c r="E141" i="11"/>
  <c r="D142" i="11"/>
  <c r="J142" i="11" s="1"/>
  <c r="D121" i="11"/>
  <c r="D122" i="11"/>
  <c r="H122" i="11" s="1"/>
  <c r="D123" i="11"/>
  <c r="H123" i="11" s="1"/>
  <c r="D124" i="11"/>
  <c r="J124" i="11" s="1"/>
  <c r="D125" i="11"/>
  <c r="D126" i="11"/>
  <c r="H126" i="11" s="1"/>
  <c r="D127" i="11"/>
  <c r="H127" i="11" s="1"/>
  <c r="D128" i="11"/>
  <c r="I128" i="11" s="1"/>
  <c r="D133" i="11"/>
  <c r="H133" i="11" s="1"/>
  <c r="D134" i="11"/>
  <c r="J134" i="11" s="1"/>
  <c r="D135" i="11"/>
  <c r="D136" i="11"/>
  <c r="J136" i="11" s="1"/>
  <c r="D137" i="11"/>
  <c r="J137" i="11" s="1"/>
  <c r="D138" i="11"/>
  <c r="D139" i="11"/>
  <c r="H139" i="11" s="1"/>
  <c r="D140" i="11"/>
  <c r="J140" i="11" s="1"/>
  <c r="D141" i="11"/>
  <c r="H141" i="11" s="1"/>
  <c r="E97" i="11"/>
  <c r="E117" i="11"/>
  <c r="D93" i="11"/>
  <c r="H93" i="11" s="1"/>
  <c r="D37" i="11"/>
  <c r="D51" i="11"/>
  <c r="D52" i="11"/>
  <c r="A44" i="11"/>
  <c r="D44" i="11"/>
  <c r="E44" i="1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A49" i="11"/>
  <c r="E48" i="11"/>
  <c r="D48" i="11"/>
  <c r="H48" i="11" s="1"/>
  <c r="A48" i="11"/>
  <c r="E47" i="11"/>
  <c r="D47" i="11"/>
  <c r="A47" i="11"/>
  <c r="E46" i="11"/>
  <c r="D46" i="11"/>
  <c r="A46" i="11"/>
  <c r="E45" i="11"/>
  <c r="D45" i="11"/>
  <c r="A45" i="11"/>
  <c r="E43" i="11"/>
  <c r="D43" i="11"/>
  <c r="A43" i="11"/>
  <c r="E42" i="11"/>
  <c r="D42" i="11"/>
  <c r="E41" i="11"/>
  <c r="D41" i="11"/>
  <c r="A41" i="11"/>
  <c r="E40" i="11"/>
  <c r="D40" i="11"/>
  <c r="A40" i="11"/>
  <c r="E39" i="11"/>
  <c r="D39" i="11"/>
  <c r="A39" i="11"/>
  <c r="E38" i="11"/>
  <c r="A38" i="11"/>
  <c r="G37" i="11"/>
  <c r="E37" i="11"/>
  <c r="A37" i="11"/>
  <c r="E93" i="11"/>
  <c r="A93" i="11"/>
  <c r="E92" i="11"/>
  <c r="D92" i="11"/>
  <c r="A92" i="11"/>
  <c r="G91" i="11"/>
  <c r="E91" i="11"/>
  <c r="D91" i="11"/>
  <c r="E69" i="11"/>
  <c r="D69" i="11"/>
  <c r="H69" i="11" s="1"/>
  <c r="A69" i="11"/>
  <c r="E68" i="11"/>
  <c r="D68" i="11"/>
  <c r="H68" i="11" s="1"/>
  <c r="A68" i="11"/>
  <c r="E67" i="11"/>
  <c r="D67" i="11"/>
  <c r="E66" i="11"/>
  <c r="D66" i="11"/>
  <c r="H66" i="11" s="1"/>
  <c r="A66" i="11"/>
  <c r="E65" i="11"/>
  <c r="D65" i="11"/>
  <c r="A65" i="11"/>
  <c r="E64" i="11"/>
  <c r="D64" i="11"/>
  <c r="A64" i="11"/>
  <c r="E63" i="11"/>
  <c r="D63" i="11"/>
  <c r="A63" i="11"/>
  <c r="E62" i="11"/>
  <c r="D62" i="11"/>
  <c r="H62" i="11" s="1"/>
  <c r="A62" i="11"/>
  <c r="E61" i="11"/>
  <c r="D61" i="11"/>
  <c r="A61" i="11"/>
  <c r="E60" i="11"/>
  <c r="D60" i="11"/>
  <c r="A60" i="11"/>
  <c r="E59" i="11"/>
  <c r="D59" i="11"/>
  <c r="H59" i="11" s="1"/>
  <c r="A59" i="11"/>
  <c r="E58" i="11"/>
  <c r="D58" i="11"/>
  <c r="A58" i="11"/>
  <c r="E57" i="11"/>
  <c r="D57" i="11"/>
  <c r="A57" i="11"/>
  <c r="E56" i="11"/>
  <c r="D56" i="11"/>
  <c r="E55" i="11"/>
  <c r="D55" i="11"/>
  <c r="J55" i="11" s="1"/>
  <c r="A55" i="11"/>
  <c r="E54" i="11"/>
  <c r="D54" i="11"/>
  <c r="J54" i="11" s="1"/>
  <c r="A54" i="11"/>
  <c r="E53" i="11"/>
  <c r="D53" i="11"/>
  <c r="J53" i="11" s="1"/>
  <c r="A53" i="11"/>
  <c r="E52" i="11"/>
  <c r="A52" i="11"/>
  <c r="G51" i="11"/>
  <c r="A50" i="11" s="1"/>
  <c r="E51" i="11"/>
  <c r="A51" i="11"/>
  <c r="G142" i="11"/>
  <c r="E142" i="11"/>
  <c r="A123" i="11"/>
  <c r="A122" i="11"/>
  <c r="E120" i="11"/>
  <c r="D120" i="11"/>
  <c r="A120" i="11"/>
  <c r="E119" i="11"/>
  <c r="D119" i="11"/>
  <c r="H119" i="11" s="1"/>
  <c r="E118" i="11"/>
  <c r="D118" i="11"/>
  <c r="A118" i="11"/>
  <c r="D117" i="11"/>
  <c r="E96" i="11"/>
  <c r="D96" i="11"/>
  <c r="J96" i="11" s="1"/>
  <c r="A96" i="11"/>
  <c r="E95" i="11"/>
  <c r="D95" i="11"/>
  <c r="A95" i="11"/>
  <c r="E94" i="11"/>
  <c r="D94" i="11"/>
  <c r="A94" i="11"/>
  <c r="E16" i="11"/>
  <c r="D16" i="11"/>
  <c r="J16" i="11" s="1"/>
  <c r="A16" i="11"/>
  <c r="G20" i="11"/>
  <c r="E20" i="11"/>
  <c r="D20" i="11"/>
  <c r="J20" i="11" s="1"/>
  <c r="A20" i="11"/>
  <c r="G19" i="11"/>
  <c r="E19" i="11"/>
  <c r="D19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G97" i="11"/>
  <c r="D97" i="11"/>
  <c r="J97" i="11" s="1"/>
  <c r="D18" i="11"/>
  <c r="H18" i="11" s="1"/>
  <c r="E18" i="11"/>
  <c r="D144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25" i="11"/>
  <c r="A126" i="11"/>
  <c r="A127" i="11"/>
  <c r="G143" i="11"/>
  <c r="E143" i="11"/>
  <c r="D143" i="11"/>
  <c r="H143" i="11" s="1"/>
  <c r="E144" i="11"/>
  <c r="D145" i="11"/>
  <c r="H145" i="11" s="1"/>
  <c r="E145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4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139" i="1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23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19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G140" i="11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31" i="1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24" i="11"/>
  <c r="I578" i="10"/>
  <c r="I670" i="10"/>
  <c r="G127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G138" i="11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52" i="11"/>
  <c r="I1220" i="10"/>
  <c r="I1219" i="10"/>
  <c r="I9" i="10"/>
  <c r="G135" i="11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37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25" i="11"/>
  <c r="G72" i="11"/>
  <c r="G24" i="11"/>
  <c r="G78" i="11"/>
  <c r="N1362" i="10"/>
  <c r="N1357" i="10"/>
  <c r="N1349" i="10"/>
  <c r="N1332" i="10"/>
  <c r="N1316" i="10"/>
  <c r="N1309" i="10"/>
  <c r="N1258" i="10"/>
  <c r="G144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26" i="11"/>
  <c r="G73" i="11"/>
  <c r="N1430" i="10"/>
  <c r="N1390" i="10"/>
  <c r="N1352" i="10"/>
  <c r="N1344" i="10"/>
  <c r="N1337" i="10"/>
  <c r="N1307" i="10"/>
  <c r="N146" i="10"/>
  <c r="G120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G136" i="11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137" i="11"/>
  <c r="G92" i="11"/>
  <c r="A91" i="11" s="1"/>
  <c r="G117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118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J57" i="11" l="1"/>
  <c r="J64" i="11"/>
  <c r="J77" i="11"/>
  <c r="H81" i="11"/>
  <c r="J47" i="11"/>
  <c r="H43" i="11"/>
  <c r="H60" i="11"/>
  <c r="H85" i="11"/>
  <c r="J58" i="11"/>
  <c r="J79" i="11"/>
  <c r="H75" i="11"/>
  <c r="K9" i="60"/>
  <c r="K16" i="60" s="1"/>
  <c r="K20" i="60" s="1"/>
  <c r="C8" i="54"/>
  <c r="I8" i="54" s="1"/>
  <c r="C7" i="54"/>
  <c r="I7" i="54" s="1"/>
  <c r="D9" i="60"/>
  <c r="E858" i="41"/>
  <c r="I114" i="11"/>
  <c r="H125" i="11"/>
  <c r="I110" i="11"/>
  <c r="E241" i="29"/>
  <c r="H82" i="11"/>
  <c r="E862" i="41"/>
  <c r="E831" i="41"/>
  <c r="F58" i="39"/>
  <c r="E761" i="41"/>
  <c r="E751" i="41"/>
  <c r="E757" i="41"/>
  <c r="I81" i="11"/>
  <c r="I65" i="11"/>
  <c r="I68" i="11"/>
  <c r="E717" i="41"/>
  <c r="E866" i="41"/>
  <c r="I88" i="11"/>
  <c r="J85" i="11"/>
  <c r="J88" i="11"/>
  <c r="I85" i="11"/>
  <c r="F811" i="41"/>
  <c r="E842" i="41"/>
  <c r="I79" i="11"/>
  <c r="H78" i="11"/>
  <c r="H77" i="11"/>
  <c r="J103" i="11"/>
  <c r="H109" i="11"/>
  <c r="I78" i="11"/>
  <c r="I31" i="11"/>
  <c r="F834" i="41"/>
  <c r="J52" i="11"/>
  <c r="E269" i="29"/>
  <c r="I26" i="11"/>
  <c r="I36" i="11"/>
  <c r="I97" i="11"/>
  <c r="H36" i="11"/>
  <c r="H97" i="11"/>
  <c r="F352" i="29"/>
  <c r="J36" i="39"/>
  <c r="E748" i="41"/>
  <c r="I41" i="11"/>
  <c r="I38" i="11"/>
  <c r="E351" i="29"/>
  <c r="J39" i="11"/>
  <c r="F806" i="41"/>
  <c r="F826" i="41"/>
  <c r="I74" i="11"/>
  <c r="F824" i="41"/>
  <c r="J65" i="11"/>
  <c r="J45" i="11"/>
  <c r="I124" i="11"/>
  <c r="H23" i="11"/>
  <c r="H24" i="11"/>
  <c r="I82" i="11"/>
  <c r="J118" i="11"/>
  <c r="H79" i="11"/>
  <c r="I109" i="11"/>
  <c r="I28" i="11"/>
  <c r="I95" i="11"/>
  <c r="I91" i="11"/>
  <c r="J51" i="11"/>
  <c r="I37" i="11"/>
  <c r="H25" i="11"/>
  <c r="J109" i="11"/>
  <c r="H111" i="11"/>
  <c r="J114" i="11"/>
  <c r="J110" i="11"/>
  <c r="I112" i="11"/>
  <c r="J23" i="11"/>
  <c r="E743" i="41"/>
  <c r="H110" i="11"/>
  <c r="I111" i="11"/>
  <c r="J112" i="11"/>
  <c r="H100" i="11"/>
  <c r="H101" i="11"/>
  <c r="H105" i="11"/>
  <c r="H106" i="11"/>
  <c r="H107" i="11"/>
  <c r="H108" i="11"/>
  <c r="I43" i="11"/>
  <c r="H98" i="11"/>
  <c r="H99" i="11"/>
  <c r="I100" i="11"/>
  <c r="I101" i="11"/>
  <c r="H103" i="11"/>
  <c r="H104" i="11"/>
  <c r="I105" i="11"/>
  <c r="I106" i="11"/>
  <c r="I107" i="11"/>
  <c r="I108" i="11"/>
  <c r="H116" i="11"/>
  <c r="F304" i="29"/>
  <c r="I98" i="11"/>
  <c r="I99" i="11"/>
  <c r="I103" i="11"/>
  <c r="I104" i="11"/>
  <c r="H115" i="11"/>
  <c r="I116" i="11"/>
  <c r="I80" i="11"/>
  <c r="H142" i="11"/>
  <c r="H114" i="11"/>
  <c r="I115" i="11"/>
  <c r="I118" i="11"/>
  <c r="F762" i="41"/>
  <c r="E766" i="41"/>
  <c r="E823" i="41"/>
  <c r="H118" i="11"/>
  <c r="E845" i="41"/>
  <c r="E840" i="41"/>
  <c r="F744" i="41"/>
  <c r="F827" i="41"/>
  <c r="E732" i="41"/>
  <c r="E795" i="41"/>
  <c r="I32" i="11"/>
  <c r="I35" i="11"/>
  <c r="F289" i="29"/>
  <c r="I53" i="11"/>
  <c r="J35" i="11"/>
  <c r="J32" i="11"/>
  <c r="I90" i="11"/>
  <c r="H90" i="11"/>
  <c r="E796" i="41"/>
  <c r="H53" i="11"/>
  <c r="I67" i="11"/>
  <c r="I48" i="11"/>
  <c r="J87" i="11"/>
  <c r="F752" i="41"/>
  <c r="I64" i="11"/>
  <c r="I24" i="11"/>
  <c r="F237" i="29"/>
  <c r="I87" i="11"/>
  <c r="H76" i="11"/>
  <c r="F353" i="29"/>
  <c r="J131" i="11"/>
  <c r="E319" i="29"/>
  <c r="F225" i="29"/>
  <c r="E1227" i="41"/>
  <c r="I145" i="11"/>
  <c r="E1244" i="41"/>
  <c r="E985" i="41"/>
  <c r="E895" i="41"/>
  <c r="F789" i="41"/>
  <c r="F248" i="29"/>
  <c r="E949" i="41"/>
  <c r="E955" i="41"/>
  <c r="F764" i="41"/>
  <c r="E897" i="41"/>
  <c r="I47" i="11"/>
  <c r="I62" i="11"/>
  <c r="E1115" i="41"/>
  <c r="E998" i="41"/>
  <c r="E902" i="41"/>
  <c r="E1099" i="41"/>
  <c r="F727" i="41"/>
  <c r="I96" i="11"/>
  <c r="E346" i="29"/>
  <c r="I86" i="11"/>
  <c r="I27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73" i="11"/>
  <c r="I29" i="11"/>
  <c r="E1047" i="41"/>
  <c r="E1272" i="41"/>
  <c r="E818" i="41"/>
  <c r="E1317" i="41"/>
  <c r="I39" i="11"/>
  <c r="F846" i="41"/>
  <c r="I59" i="11"/>
  <c r="E932" i="41"/>
  <c r="H39" i="11"/>
  <c r="E1265" i="41"/>
  <c r="E1085" i="41"/>
  <c r="F857" i="41"/>
  <c r="J43" i="11"/>
  <c r="E1306" i="41"/>
  <c r="E1112" i="41"/>
  <c r="I92" i="11"/>
  <c r="E981" i="41"/>
  <c r="F768" i="41"/>
  <c r="E890" i="41"/>
  <c r="E841" i="41"/>
  <c r="E1068" i="41"/>
  <c r="E749" i="41"/>
  <c r="H21" i="11"/>
  <c r="E1082" i="41"/>
  <c r="E868" i="41"/>
  <c r="E734" i="41"/>
  <c r="E872" i="41"/>
  <c r="E1103" i="41"/>
  <c r="H137" i="11"/>
  <c r="J95" i="11"/>
  <c r="J92" i="11"/>
  <c r="I125" i="11"/>
  <c r="H50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I93" i="11"/>
  <c r="J120" i="11"/>
  <c r="J28" i="11"/>
  <c r="E1008" i="41"/>
  <c r="E758" i="41"/>
  <c r="F736" i="41"/>
  <c r="E763" i="41"/>
  <c r="H65" i="11"/>
  <c r="I75" i="11"/>
  <c r="J86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H95" i="1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I58" i="11"/>
  <c r="J18" i="11"/>
  <c r="H16" i="11"/>
  <c r="J41" i="11"/>
  <c r="I137" i="11"/>
  <c r="F242" i="29"/>
  <c r="F298" i="29"/>
  <c r="I77" i="11"/>
  <c r="E276" i="29"/>
  <c r="J145" i="11"/>
  <c r="I126" i="11"/>
  <c r="H58" i="11"/>
  <c r="F798" i="41"/>
  <c r="E1235" i="41"/>
  <c r="E1289" i="41"/>
  <c r="E1045" i="41"/>
  <c r="F737" i="41"/>
  <c r="F305" i="29"/>
  <c r="I55" i="11"/>
  <c r="J62" i="11"/>
  <c r="H92" i="11"/>
  <c r="J27" i="11"/>
  <c r="E851" i="41"/>
  <c r="E1171" i="41"/>
  <c r="E794" i="41"/>
  <c r="E740" i="41"/>
  <c r="E1216" i="41"/>
  <c r="E819" i="41"/>
  <c r="H41" i="1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81" i="11"/>
  <c r="J130" i="11"/>
  <c r="F769" i="41"/>
  <c r="E1101" i="41"/>
  <c r="E1079" i="41"/>
  <c r="E1249" i="41"/>
  <c r="F745" i="41"/>
  <c r="F801" i="41"/>
  <c r="F782" i="41"/>
  <c r="I71" i="11"/>
  <c r="H64" i="11"/>
  <c r="E861" i="41"/>
  <c r="E1150" i="41"/>
  <c r="E1040" i="41"/>
  <c r="F812" i="41"/>
  <c r="F730" i="41"/>
  <c r="F61" i="39"/>
  <c r="I54" i="11"/>
  <c r="E315" i="29"/>
  <c r="H54" i="11"/>
  <c r="H26" i="11"/>
  <c r="F738" i="41"/>
  <c r="E1064" i="41"/>
  <c r="E332" i="29"/>
  <c r="H52" i="11"/>
  <c r="F324" i="29"/>
  <c r="E278" i="29"/>
  <c r="I50" i="11"/>
  <c r="F843" i="41"/>
  <c r="E1030" i="41"/>
  <c r="F821" i="41"/>
  <c r="F847" i="41"/>
  <c r="E776" i="41"/>
  <c r="E1066" i="41"/>
  <c r="E1168" i="41"/>
  <c r="E790" i="41"/>
  <c r="F772" i="41"/>
  <c r="E735" i="41"/>
  <c r="E971" i="41"/>
  <c r="J73" i="11"/>
  <c r="E249" i="29"/>
  <c r="H124" i="11"/>
  <c r="J31" i="11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J119" i="11"/>
  <c r="I69" i="11"/>
  <c r="H129" i="11"/>
  <c r="H96" i="11"/>
  <c r="J59" i="11"/>
  <c r="J24" i="11"/>
  <c r="E64" i="39"/>
  <c r="J69" i="11"/>
  <c r="I140" i="11"/>
  <c r="J66" i="11"/>
  <c r="I70" i="11"/>
  <c r="I72" i="11"/>
  <c r="I141" i="11"/>
  <c r="J128" i="11"/>
  <c r="H71" i="11"/>
  <c r="J29" i="11"/>
  <c r="F240" i="29"/>
  <c r="I52" i="11"/>
  <c r="I66" i="11"/>
  <c r="J48" i="11"/>
  <c r="J125" i="11"/>
  <c r="H70" i="11"/>
  <c r="E263" i="29"/>
  <c r="F277" i="29"/>
  <c r="I94" i="11"/>
  <c r="J93" i="11"/>
  <c r="H140" i="11"/>
  <c r="I130" i="11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J46" i="11"/>
  <c r="H46" i="11"/>
  <c r="I46" i="11"/>
  <c r="E72" i="39"/>
  <c r="E73" i="39"/>
  <c r="H19" i="11"/>
  <c r="J19" i="11"/>
  <c r="I19" i="11"/>
  <c r="J40" i="11"/>
  <c r="I40" i="11"/>
  <c r="H40" i="11"/>
  <c r="F339" i="29"/>
  <c r="E255" i="29"/>
  <c r="E74" i="39"/>
  <c r="E364" i="29"/>
  <c r="F318" i="29"/>
  <c r="F243" i="29"/>
  <c r="E243" i="29"/>
  <c r="F245" i="29"/>
  <c r="E245" i="29"/>
  <c r="J63" i="11"/>
  <c r="H63" i="11"/>
  <c r="I63" i="11"/>
  <c r="F335" i="29"/>
  <c r="E335" i="29"/>
  <c r="E331" i="29"/>
  <c r="F331" i="29"/>
  <c r="E258" i="29"/>
  <c r="F258" i="29"/>
  <c r="E290" i="29"/>
  <c r="H89" i="11"/>
  <c r="I89" i="11"/>
  <c r="E373" i="29"/>
  <c r="E297" i="29"/>
  <c r="F297" i="29"/>
  <c r="F302" i="29"/>
  <c r="E302" i="29"/>
  <c r="F309" i="29"/>
  <c r="E309" i="29"/>
  <c r="J17" i="11"/>
  <c r="H17" i="11"/>
  <c r="I83" i="11"/>
  <c r="H83" i="11"/>
  <c r="E328" i="29"/>
  <c r="F328" i="29"/>
  <c r="H134" i="11"/>
  <c r="I134" i="11"/>
  <c r="J33" i="11"/>
  <c r="H33" i="11"/>
  <c r="E226" i="29"/>
  <c r="E295" i="29"/>
  <c r="F295" i="29"/>
  <c r="H44" i="11"/>
  <c r="J44" i="11"/>
  <c r="I44" i="11"/>
  <c r="I22" i="11"/>
  <c r="J22" i="11"/>
  <c r="H22" i="11"/>
  <c r="E340" i="29"/>
  <c r="E252" i="29"/>
  <c r="F270" i="29"/>
  <c r="E280" i="29"/>
  <c r="I60" i="11"/>
  <c r="J89" i="11"/>
  <c r="H47" i="11"/>
  <c r="J139" i="11"/>
  <c r="I76" i="11"/>
  <c r="F286" i="29"/>
  <c r="E246" i="29"/>
  <c r="I119" i="11"/>
  <c r="I122" i="11"/>
  <c r="H128" i="11"/>
  <c r="J129" i="11"/>
  <c r="E66" i="39"/>
  <c r="F266" i="29"/>
  <c r="F60" i="39"/>
  <c r="J83" i="11"/>
  <c r="I139" i="11"/>
  <c r="H20" i="11"/>
  <c r="H91" i="11"/>
  <c r="I133" i="11"/>
  <c r="E327" i="29"/>
  <c r="E342" i="29"/>
  <c r="J60" i="11"/>
  <c r="F321" i="29"/>
  <c r="I33" i="11"/>
  <c r="H15" i="11"/>
  <c r="H37" i="11"/>
  <c r="I17" i="11"/>
  <c r="J72" i="11"/>
  <c r="J21" i="11"/>
  <c r="E239" i="29"/>
  <c r="I36" i="39"/>
  <c r="J68" i="11"/>
  <c r="J37" i="11"/>
  <c r="J122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H56" i="11"/>
  <c r="I56" i="11"/>
  <c r="J56" i="11"/>
  <c r="I61" i="11"/>
  <c r="H61" i="11"/>
  <c r="J61" i="11"/>
  <c r="F62" i="39"/>
  <c r="E70" i="39"/>
  <c r="E287" i="29"/>
  <c r="F287" i="29"/>
  <c r="F260" i="29"/>
  <c r="E260" i="29"/>
  <c r="E300" i="29"/>
  <c r="E232" i="29"/>
  <c r="F232" i="29"/>
  <c r="H117" i="11"/>
  <c r="J117" i="11"/>
  <c r="I117" i="11"/>
  <c r="F357" i="29"/>
  <c r="E325" i="29"/>
  <c r="F325" i="29"/>
  <c r="E372" i="29"/>
  <c r="E65" i="39"/>
  <c r="E323" i="29"/>
  <c r="F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H138" i="11"/>
  <c r="J138" i="11"/>
  <c r="I138" i="11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J38" i="11"/>
  <c r="H38" i="11"/>
  <c r="E310" i="29"/>
  <c r="F310" i="29"/>
  <c r="I15" i="11"/>
  <c r="I123" i="11"/>
  <c r="J123" i="11"/>
  <c r="J94" i="11"/>
  <c r="H94" i="11"/>
  <c r="H49" i="11"/>
  <c r="I49" i="11"/>
  <c r="J127" i="11"/>
  <c r="I127" i="11"/>
  <c r="J30" i="11"/>
  <c r="H30" i="11"/>
  <c r="I30" i="11"/>
  <c r="E283" i="29"/>
  <c r="F283" i="29"/>
  <c r="K15" i="29"/>
  <c r="J141" i="11"/>
  <c r="I136" i="11"/>
  <c r="H136" i="11"/>
  <c r="E288" i="29"/>
  <c r="F288" i="29"/>
  <c r="H57" i="11"/>
  <c r="I57" i="11"/>
  <c r="H67" i="11"/>
  <c r="J67" i="11"/>
  <c r="H45" i="11"/>
  <c r="I45" i="11"/>
  <c r="J135" i="11"/>
  <c r="H135" i="11"/>
  <c r="I135" i="11"/>
  <c r="E281" i="29"/>
  <c r="F253" i="29"/>
  <c r="E293" i="29"/>
  <c r="F261" i="29"/>
  <c r="E256" i="29"/>
  <c r="E294" i="29"/>
  <c r="J49" i="11"/>
  <c r="H42" i="11"/>
  <c r="I42" i="11"/>
  <c r="J42" i="11"/>
  <c r="H51" i="11"/>
  <c r="I51" i="11"/>
  <c r="J25" i="11"/>
  <c r="I25" i="11"/>
  <c r="E268" i="29"/>
  <c r="F268" i="29"/>
  <c r="J143" i="11"/>
  <c r="I143" i="11"/>
  <c r="I120" i="11"/>
  <c r="H120" i="11"/>
  <c r="H80" i="11"/>
  <c r="J80" i="11"/>
  <c r="E313" i="29"/>
  <c r="J75" i="11"/>
  <c r="I20" i="11"/>
  <c r="I142" i="11"/>
  <c r="H55" i="11"/>
  <c r="J126" i="11"/>
  <c r="J74" i="11"/>
  <c r="J91" i="11"/>
  <c r="J133" i="11"/>
  <c r="H131" i="11"/>
  <c r="F809" i="41" l="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81" i="11"/>
  <c r="H7" i="54"/>
  <c r="D7" i="54"/>
  <c r="H8" i="54"/>
  <c r="D8" i="54"/>
  <c r="E8" i="54" s="1"/>
  <c r="C9" i="54"/>
  <c r="K82" i="11"/>
  <c r="F373" i="29"/>
  <c r="F1089" i="41"/>
  <c r="F65" i="39"/>
  <c r="F69" i="39"/>
  <c r="F372" i="29"/>
  <c r="F1158" i="41"/>
  <c r="F1052" i="41"/>
  <c r="F371" i="29"/>
  <c r="F940" i="41"/>
  <c r="F369" i="29"/>
  <c r="K68" i="11"/>
  <c r="K85" i="11"/>
  <c r="K88" i="11"/>
  <c r="K79" i="11"/>
  <c r="K124" i="11"/>
  <c r="K77" i="11"/>
  <c r="K78" i="11"/>
  <c r="K36" i="39"/>
  <c r="K65" i="11"/>
  <c r="K96" i="11"/>
  <c r="K126" i="11"/>
  <c r="K31" i="11"/>
  <c r="K36" i="11"/>
  <c r="K131" i="11"/>
  <c r="K26" i="11"/>
  <c r="F852" i="41"/>
  <c r="K137" i="11"/>
  <c r="K29" i="11"/>
  <c r="K21" i="1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97" i="11"/>
  <c r="K109" i="11"/>
  <c r="K110" i="11"/>
  <c r="K112" i="11"/>
  <c r="K28" i="11"/>
  <c r="K114" i="11"/>
  <c r="K103" i="11"/>
  <c r="K106" i="11"/>
  <c r="K23" i="11"/>
  <c r="K53" i="11"/>
  <c r="K74" i="11"/>
  <c r="K55" i="11"/>
  <c r="K43" i="11"/>
  <c r="K142" i="11"/>
  <c r="K50" i="11"/>
  <c r="K76" i="11"/>
  <c r="K116" i="11"/>
  <c r="K101" i="11"/>
  <c r="K111" i="11"/>
  <c r="K99" i="11"/>
  <c r="K104" i="11"/>
  <c r="K107" i="11"/>
  <c r="K100" i="11"/>
  <c r="K115" i="11"/>
  <c r="K98" i="11"/>
  <c r="K128" i="11"/>
  <c r="K48" i="11"/>
  <c r="K90" i="11"/>
  <c r="K118" i="11"/>
  <c r="K108" i="11"/>
  <c r="K87" i="11"/>
  <c r="K35" i="11"/>
  <c r="K69" i="11"/>
  <c r="K105" i="11"/>
  <c r="K27" i="11"/>
  <c r="K39" i="11"/>
  <c r="K24" i="11"/>
  <c r="K95" i="11"/>
  <c r="K62" i="11"/>
  <c r="K86" i="11"/>
  <c r="K32" i="11"/>
  <c r="K52" i="11"/>
  <c r="K16" i="11"/>
  <c r="K71" i="11"/>
  <c r="K75" i="11"/>
  <c r="K64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145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73" i="11"/>
  <c r="K47" i="11"/>
  <c r="K54" i="11"/>
  <c r="K41" i="11"/>
  <c r="K58" i="11"/>
  <c r="K92" i="11"/>
  <c r="K59" i="11"/>
  <c r="K129" i="11"/>
  <c r="K66" i="11"/>
  <c r="K140" i="11"/>
  <c r="K141" i="11"/>
  <c r="K130" i="11"/>
  <c r="K119" i="11"/>
  <c r="K93" i="11"/>
  <c r="K125" i="11"/>
  <c r="K72" i="11"/>
  <c r="K136" i="11"/>
  <c r="K18" i="11"/>
  <c r="K70" i="11"/>
  <c r="K37" i="11"/>
  <c r="K122" i="11"/>
  <c r="K133" i="11"/>
  <c r="K94" i="11"/>
  <c r="K91" i="11"/>
  <c r="K44" i="11"/>
  <c r="K134" i="11"/>
  <c r="K33" i="11"/>
  <c r="K127" i="11"/>
  <c r="K139" i="11"/>
  <c r="F338" i="29"/>
  <c r="K49" i="11"/>
  <c r="F837" i="41"/>
  <c r="K17" i="11"/>
  <c r="K40" i="11"/>
  <c r="K45" i="11"/>
  <c r="K80" i="11"/>
  <c r="K83" i="11"/>
  <c r="K89" i="11"/>
  <c r="K22" i="11"/>
  <c r="K60" i="11"/>
  <c r="K63" i="11"/>
  <c r="K51" i="11"/>
  <c r="K143" i="11"/>
  <c r="K135" i="11"/>
  <c r="K38" i="11"/>
  <c r="F347" i="29"/>
  <c r="K19" i="11"/>
  <c r="K46" i="11"/>
  <c r="K120" i="11"/>
  <c r="K67" i="11"/>
  <c r="K30" i="11"/>
  <c r="K42" i="11"/>
  <c r="K56" i="11"/>
  <c r="K57" i="11"/>
  <c r="K138" i="11"/>
  <c r="K117" i="11"/>
  <c r="H147" i="11"/>
  <c r="F828" i="41"/>
  <c r="F802" i="41"/>
  <c r="K123" i="11"/>
  <c r="K61" i="11"/>
  <c r="F312" i="29"/>
  <c r="F233" i="29"/>
  <c r="I147" i="11"/>
  <c r="K15" i="11"/>
  <c r="K25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D513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148" i="11"/>
  <c r="H149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D380" i="41"/>
  <c r="L495" i="41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G19" i="3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B13" i="41"/>
  <c r="L191" i="41"/>
  <c r="B191" i="41"/>
  <c r="D191" i="41"/>
  <c r="G191" i="41"/>
  <c r="I148" i="11"/>
  <c r="I149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D339" i="41"/>
  <c r="B339" i="41"/>
  <c r="D43" i="29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G20" i="39"/>
  <c r="B412" i="41"/>
  <c r="L412" i="41"/>
  <c r="J144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G25" i="3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G412" i="41" l="1"/>
  <c r="G339" i="41"/>
  <c r="D61" i="29"/>
  <c r="G66" i="29"/>
  <c r="D86" i="29"/>
  <c r="D66" i="29"/>
  <c r="J66" i="29" s="1"/>
  <c r="D599" i="41"/>
  <c r="B19" i="39"/>
  <c r="E19" i="39" s="1"/>
  <c r="L370" i="41"/>
  <c r="D106" i="29"/>
  <c r="G554" i="41"/>
  <c r="D22" i="39"/>
  <c r="H22" i="39" s="1"/>
  <c r="D202" i="41"/>
  <c r="D21" i="39"/>
  <c r="J21" i="39" s="1"/>
  <c r="B495" i="4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J61" i="29"/>
  <c r="H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144" i="11"/>
  <c r="K147" i="11" s="1"/>
  <c r="J147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E202" i="41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E164" i="41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H106" i="29"/>
  <c r="J106" i="29"/>
  <c r="I106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H327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608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H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J412" i="41"/>
  <c r="H412" i="41"/>
  <c r="E412" i="41"/>
  <c r="K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K133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K495" i="41"/>
  <c r="H495" i="41"/>
  <c r="I495" i="41"/>
  <c r="J495" i="41"/>
  <c r="E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J22" i="39" l="1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148" i="11"/>
  <c r="J149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148" i="11"/>
  <c r="K149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K106" i="29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22" i="39" l="1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150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C24" i="54"/>
  <c r="E23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J27" i="54" s="1"/>
  <c r="S17" i="54"/>
  <c r="Q18" i="54"/>
  <c r="T18" i="54" s="1"/>
  <c r="N26" i="54" l="1"/>
  <c r="P26" i="54" s="1"/>
  <c r="N27" i="54"/>
  <c r="P27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<sst xmlns="http://schemas.openxmlformats.org/spreadsheetml/2006/main" count="4788" uniqueCount="1648">
  <si>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</si>
  <si>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</si>
  <si>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</si>
  <si>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</si>
  <si>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</si>
  <si>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</si>
  <si>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</si>
  <si>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</si>
  <si>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</si>
  <si>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</si>
  <si>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</si>
  <si>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</si>
  <si>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</si>
  <si>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</si>
  <si>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</si>
  <si>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</si>
  <si>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</si>
  <si>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</si>
  <si>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</si>
  <si>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</si>
  <si>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</si>
  <si>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</si>
  <si>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</si>
  <si>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</si>
  <si>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</si>
  <si>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</si>
  <si>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</si>
  <si>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</si>
  <si>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</si>
  <si>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</si>
  <si>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</si>
  <si>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</si>
  <si>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</si>
  <si>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</si>
  <si>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</si>
  <si>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</si>
  <si>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</si>
  <si>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</si>
  <si>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</si>
  <si>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</si>
  <si>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</si>
  <si>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</si>
  <si>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</si>
  <si>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</si>
  <si>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</si>
  <si>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</si>
  <si>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</si>
  <si>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</si>
  <si>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</si>
  <si>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</si>
  <si>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</si>
  <si>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</si>
  <si>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</si>
  <si>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</si>
  <si>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</si>
  <si>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</si>
  <si>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</si>
  <si>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</si>
  <si>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</si>
  <si>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</si>
  <si>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</si>
  <si>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</si>
  <si>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</si>
  <si>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</si>
  <si>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</si>
  <si>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</si>
  <si>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</si>
  <si>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</si>
  <si>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</si>
  <si>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</si>
  <si>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</si>
  <si>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</si>
  <si>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</si>
  <si>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</si>
  <si>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</si>
  <si>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</si>
  <si>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</si>
  <si>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</si>
  <si>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</si>
  <si>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</si>
  <si>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</si>
  <si>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</si>
  <si>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</si>
  <si>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</si>
  <si>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</si>
  <si>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</si>
  <si>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</si>
  <si>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</si>
  <si>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</si>
  <si>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</si>
  <si>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</si>
  <si>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</si>
  <si>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</si>
  <si>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</si>
  <si>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</si>
  <si>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</si>
  <si>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</si>
  <si>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</si>
  <si>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</si>
  <si>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</si>
  <si>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</si>
  <si>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</si>
  <si>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</si>
  <si>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</si>
  <si>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</si>
  <si>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</si>
  <si>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</si>
  <si>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</si>
  <si>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</si>
  <si>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</si>
  <si>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</si>
  <si>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</si>
  <si>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</si>
  <si>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</si>
  <si>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</si>
  <si>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</si>
  <si>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</si>
  <si>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</si>
  <si>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</si>
  <si>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</si>
  <si>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</si>
  <si>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</si>
  <si>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</si>
  <si>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</si>
  <si>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</si>
  <si>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</si>
  <si>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</si>
  <si>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</si>
  <si>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</si>
  <si>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</si>
  <si>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</si>
  <si>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</si>
  <si>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</si>
  <si>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</si>
  <si>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</si>
  <si>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</si>
  <si>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</si>
  <si>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</si>
  <si>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</si>
  <si>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</si>
  <si>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</si>
  <si>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</si>
  <si>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</si>
  <si>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</si>
  <si>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</si>
  <si>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</si>
  <si>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</si>
  <si>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</si>
  <si>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</si>
  <si>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</si>
  <si>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</si>
  <si>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</si>
  <si>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</si>
  <si>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</si>
  <si>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</si>
  <si>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</si>
  <si>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</si>
  <si>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</si>
  <si>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</si>
  <si>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</si>
  <si>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</si>
  <si>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</si>
  <si>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</si>
  <si>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</si>
  <si>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</si>
  <si>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</si>
  <si>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</si>
  <si>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</si>
  <si>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</si>
  <si>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</si>
  <si>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</si>
  <si>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</si>
  <si>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</si>
  <si>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</si>
  <si>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</si>
  <si>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</si>
  <si>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</si>
  <si>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</si>
  <si>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</si>
  <si>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</si>
  <si>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</si>
  <si>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</si>
  <si>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</si>
  <si>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</si>
  <si>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</si>
  <si>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</si>
  <si>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</si>
  <si>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</si>
  <si>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</si>
  <si>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</si>
  <si>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</si>
  <si>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</si>
  <si>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</si>
  <si>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</si>
  <si>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</si>
  <si>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</si>
  <si>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</si>
  <si>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</si>
  <si>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</si>
  <si>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</si>
  <si>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</si>
  <si>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</si>
  <si>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</si>
  <si>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</si>
  <si>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</si>
  <si>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</si>
  <si>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</si>
  <si>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</si>
  <si>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</si>
  <si>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</si>
  <si>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</si>
  <si>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</si>
  <si>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</si>
  <si>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</si>
  <si>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</si>
  <si>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</si>
  <si>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</si>
  <si>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</si>
  <si>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</si>
  <si>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</si>
  <si>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</si>
  <si>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</si>
  <si>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</si>
  <si>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</si>
  <si>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</si>
  <si>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</si>
  <si>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</si>
  <si>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</si>
  <si>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</si>
  <si>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</si>
  <si>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</si>
  <si>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</si>
  <si>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</si>
  <si>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</si>
  <si>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</si>
  <si>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</si>
  <si>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</si>
  <si>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</si>
  <si>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</si>
  <si>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</si>
  <si>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</si>
  <si>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</si>
  <si>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</si>
  <si>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</si>
  <si>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</si>
  <si>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</si>
  <si>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</si>
  <si>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</si>
  <si>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</si>
  <si>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</si>
  <si>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</si>
  <si>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</si>
  <si>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</si>
  <si>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</si>
  <si>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</si>
  <si>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</si>
  <si>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</si>
  <si>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</si>
  <si>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</si>
  <si>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</si>
  <si>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</si>
  <si>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</si>
  <si>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</si>
  <si>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</si>
  <si>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</si>
  <si>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</si>
  <si>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</si>
  <si>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</si>
  <si>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</si>
  <si>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</si>
  <si>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</si>
  <si>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</si>
  <si>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</si>
  <si>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</si>
  <si>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</si>
  <si>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</si>
  <si>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</si>
  <si>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</si>
  <si>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</si>
  <si>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</si>
  <si>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</si>
  <si>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</si>
  <si>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</si>
  <si>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</si>
  <si>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</si>
  <si>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</si>
  <si>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</si>
  <si>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</si>
  <si>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</si>
  <si>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</si>
  <si>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</si>
  <si>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</si>
  <si>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</si>
  <si>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</si>
  <si>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</si>
  <si>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</si>
  <si>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</si>
  <si>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</si>
  <si>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</si>
  <si>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</si>
  <si>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</si>
  <si>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</si>
  <si>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</si>
  <si>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</si>
  <si>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</si>
  <si>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</si>
  <si>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</si>
  <si>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</si>
  <si>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</si>
  <si>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</si>
  <si>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</si>
  <si>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</si>
  <si>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</si>
  <si>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</si>
  <si>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</si>
  <si>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</si>
  <si>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</si>
  <si>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</si>
  <si>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</si>
  <si>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</si>
  <si>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</si>
  <si>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</si>
  <si>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</si>
  <si>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</si>
  <si>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</si>
  <si>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</si>
  <si>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</si>
  <si>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</si>
  <si>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</si>
  <si>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</si>
  <si>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</si>
  <si>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</si>
  <si>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</si>
  <si>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</si>
  <si>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</si>
  <si>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</si>
  <si>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</si>
  <si>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</si>
  <si>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</si>
  <si>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</si>
  <si>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</si>
  <si>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</si>
  <si>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</si>
  <si>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</si>
  <si>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</si>
  <si>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</si>
  <si>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</si>
  <si>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</si>
  <si>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</si>
  <si>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</si>
  <si>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</si>
  <si>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</si>
  <si>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</si>
  <si>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</si>
  <si>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</si>
  <si>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</si>
  <si>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</si>
  <si>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</si>
  <si>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</si>
  <si>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</si>
  <si>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</si>
  <si>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</si>
  <si>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</si>
  <si>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</si>
  <si>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</si>
  <si>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</si>
  <si>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</si>
  <si>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</si>
  <si>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</si>
  <si>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</si>
  <si>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</si>
  <si>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</si>
  <si>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</si>
  <si>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</si>
  <si>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</si>
  <si>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</si>
  <si>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</si>
  <si>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</si>
  <si>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</si>
  <si>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</si>
  <si>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</si>
  <si>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</si>
  <si>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</si>
  <si>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</si>
  <si>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</si>
  <si>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</si>
  <si>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</si>
  <si>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</si>
  <si>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</si>
  <si>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</si>
  <si>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</si>
  <si>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</si>
  <si>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</si>
  <si>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</si>
  <si>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</si>
  <si>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</si>
  <si>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</si>
  <si>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</si>
  <si>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</si>
  <si>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</si>
  <si>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</si>
  <si>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</si>
  <si>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</si>
  <si>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</si>
  <si>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</si>
  <si>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</si>
  <si>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</si>
  <si>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</si>
  <si>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</si>
  <si>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</si>
  <si>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</si>
  <si>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</si>
  <si>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</si>
  <si>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</si>
  <si>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</si>
  <si>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</si>
  <si>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</si>
  <si>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</si>
  <si>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</si>
  <si>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</si>
  <si>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</si>
  <si>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</si>
  <si>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</si>
  <si>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</si>
  <si>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</si>
  <si>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</si>
  <si>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</si>
  <si>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</si>
  <si>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</si>
  <si>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</si>
  <si>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</si>
  <si>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</si>
  <si>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</si>
  <si>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</si>
  <si>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</si>
  <si>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</si>
  <si>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</si>
  <si>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</si>
  <si>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</si>
  <si>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</si>
  <si>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</si>
  <si>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</si>
  <si>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</si>
  <si>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</si>
  <si>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</si>
  <si>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</si>
  <si>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</si>
  <si>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</si>
  <si>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</si>
  <si>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</si>
  <si>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</si>
  <si>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</si>
  <si>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</si>
  <si>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</si>
  <si>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</si>
  <si>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</si>
  <si>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</si>
  <si>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</si>
  <si>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</si>
  <si>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</si>
  <si>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</si>
  <si>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</si>
  <si>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</si>
  <si>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</si>
  <si>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</si>
  <si>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</si>
  <si>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</si>
  <si>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</si>
  <si>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</si>
  <si>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</si>
  <si>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</si>
  <si>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</si>
  <si>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</si>
  <si>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</si>
  <si>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</si>
  <si>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</si>
  <si>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</si>
  <si>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</si>
  <si>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</si>
  <si>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</si>
  <si>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</si>
  <si>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</si>
  <si>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</si>
  <si>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</si>
  <si>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</si>
  <si>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</si>
  <si>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</si>
  <si>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</si>
  <si>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</si>
  <si>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</si>
  <si>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</si>
  <si>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</si>
  <si>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</si>
  <si>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</si>
  <si>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</si>
  <si>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</si>
  <si>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</si>
  <si>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</si>
  <si>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</si>
  <si>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</si>
  <si>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</si>
  <si>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</si>
  <si>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</si>
  <si>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</si>
  <si>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</si>
  <si>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</si>
  <si>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</si>
  <si>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</si>
  <si>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</si>
  <si>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</si>
  <si>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</si>
  <si>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</si>
  <si>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</si>
  <si>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</si>
  <si>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</si>
  <si>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</si>
  <si>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</si>
  <si>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</si>
  <si>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</si>
  <si>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</si>
  <si>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</si>
  <si>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</si>
  <si>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</si>
  <si>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</si>
  <si>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</si>
  <si>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</si>
  <si>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</si>
  <si>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</si>
  <si>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</si>
  <si>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</si>
  <si>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</si>
  <si>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</si>
  <si>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</si>
  <si>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</si>
  <si>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</si>
  <si>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</si>
  <si>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</si>
  <si>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</si>
  <si>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</si>
  <si>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</si>
  <si>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</si>
  <si>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</si>
  <si>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</si>
  <si>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</si>
  <si>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</si>
  <si>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</si>
  <si>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</si>
  <si>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</si>
  <si>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</si>
  <si>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</si>
  <si>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</si>
  <si>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</si>
  <si>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</si>
  <si>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</si>
  <si>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</si>
  <si>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</si>
  <si>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</si>
  <si>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</si>
  <si>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</si>
  <si>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</si>
  <si>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</si>
  <si>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</si>
  <si>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</si>
  <si>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</si>
  <si>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</si>
  <si>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</si>
  <si>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</si>
  <si>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</si>
  <si>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</si>
  <si>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</si>
  <si>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</si>
  <si>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</si>
  <si>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</si>
  <si>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</si>
  <si>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</si>
  <si>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</si>
  <si>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</si>
  <si>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</si>
  <si>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</si>
  <si>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</si>
  <si>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</si>
  <si>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</si>
  <si>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</si>
  <si>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</si>
  <si>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</si>
  <si>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</si>
  <si>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</si>
  <si>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</si>
  <si>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</si>
  <si>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</si>
  <si>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</si>
  <si>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</si>
  <si>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</si>
  <si>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</si>
  <si>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</si>
  <si>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</si>
  <si>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</si>
  <si>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</si>
  <si>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</si>
  <si>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</si>
  <si>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</si>
  <si>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</si>
  <si>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</si>
  <si>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</si>
  <si>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</si>
  <si>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</si>
  <si>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</si>
  <si>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</si>
  <si>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</si>
  <si>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</si>
  <si>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</si>
  <si>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</si>
  <si>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</si>
  <si>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</si>
  <si>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</si>
  <si>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</si>
  <si>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</si>
  <si>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</si>
  <si>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</si>
  <si>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</si>
  <si>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</si>
  <si>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</si>
  <si>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</si>
  <si>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</si>
  <si>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</si>
  <si>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</si>
  <si>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</si>
  <si>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</si>
  <si>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</si>
  <si>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</si>
  <si>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</si>
  <si>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</si>
  <si>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</si>
  <si>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</si>
  <si>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</si>
  <si>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</si>
  <si>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</si>
  <si>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</si>
  <si>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</si>
  <si>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</si>
  <si>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</si>
  <si>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</si>
  <si>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</si>
  <si>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</si>
  <si>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</si>
  <si>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</si>
  <si>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</si>
  <si>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</si>
  <si>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</si>
  <si>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</si>
  <si>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</si>
  <si>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</si>
  <si>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</si>
  <si>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</si>
  <si>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</si>
  <si>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</si>
  <si>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</si>
  <si>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</si>
  <si>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</si>
  <si>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</si>
  <si>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</si>
  <si>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</si>
  <si>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</si>
  <si>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</si>
  <si>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</si>
  <si>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</si>
  <si>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</si>
  <si>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</si>
  <si>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</si>
  <si>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</si>
  <si>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</si>
  <si>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</si>
  <si>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</si>
  <si>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</si>
  <si>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</si>
  <si>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</si>
  <si>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</si>
  <si>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</si>
  <si>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</si>
  <si>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</si>
  <si>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</si>
  <si>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</si>
  <si>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</si>
  <si>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</si>
  <si>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</si>
  <si>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</si>
  <si>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</si>
  <si>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</si>
  <si>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</si>
  <si>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</si>
  <si>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</si>
  <si>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</si>
  <si>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</si>
  <si>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</si>
  <si>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</si>
  <si>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</si>
  <si>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</si>
  <si>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</si>
  <si>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</si>
  <si>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</si>
  <si>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</si>
  <si>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</si>
  <si>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</si>
  <si>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</si>
  <si>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</si>
  <si>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</si>
  <si>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</si>
  <si>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</si>
  <si>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</si>
  <si>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</si>
  <si>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</si>
  <si>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</si>
  <si>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</si>
  <si>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</si>
  <si>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</si>
  <si>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</si>
  <si>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</si>
  <si>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</si>
  <si>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</si>
  <si>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</si>
  <si>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</si>
  <si>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</si>
  <si>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</si>
  <si>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</si>
  <si>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</si>
  <si>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</si>
  <si>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</si>
  <si>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</si>
  <si>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</si>
  <si>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</si>
  <si>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</si>
  <si>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</si>
  <si>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</si>
  <si>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</si>
  <si>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</si>
  <si>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</si>
  <si>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</si>
  <si>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</si>
  <si>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</si>
  <si>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</si>
  <si>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</si>
  <si>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</si>
  <si>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</si>
  <si>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</si>
  <si>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</si>
  <si>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</si>
  <si>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</si>
  <si>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</si>
  <si>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</si>
  <si>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</si>
  <si>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</si>
  <si>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</si>
  <si>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</si>
  <si>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</si>
  <si>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</si>
  <si>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</si>
  <si>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</si>
  <si>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</si>
  <si>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</si>
  <si>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</si>
  <si>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</si>
  <si>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</si>
  <si>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</si>
  <si>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</si>
  <si>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</si>
  <si>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</si>
  <si>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</si>
  <si>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</si>
  <si>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</si>
  <si>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</si>
  <si>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</si>
  <si>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</si>
  <si>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</si>
  <si>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</si>
  <si>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</si>
  <si>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</si>
  <si>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</si>
  <si>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</si>
  <si>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</si>
  <si>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</si>
  <si>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</si>
  <si>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</si>
  <si>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</si>
  <si>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</si>
  <si>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</si>
  <si>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</si>
  <si>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</si>
  <si>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</si>
  <si>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</si>
  <si>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</si>
  <si>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</si>
  <si>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</si>
  <si>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</si>
  <si>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</si>
  <si>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</si>
  <si>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</si>
  <si>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</si>
  <si>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</si>
  <si>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</si>
  <si>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</si>
  <si>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</si>
  <si>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</si>
  <si>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</si>
  <si>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</si>
  <si>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</si>
  <si>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</si>
  <si>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</si>
  <si>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</si>
  <si>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</si>
  <si>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</si>
  <si>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</si>
  <si>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</si>
  <si>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</si>
  <si>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</si>
  <si>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</si>
  <si>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</si>
  <si>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</si>
  <si>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</si>
  <si>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</si>
  <si>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</si>
  <si>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</si>
  <si>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</si>
  <si>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</si>
  <si>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</si>
  <si>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</si>
  <si>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</si>
  <si>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</si>
  <si>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</si>
  <si>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</si>
  <si>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</si>
  <si>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</si>
  <si>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</si>
  <si>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</si>
  <si>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</si>
  <si>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</si>
  <si>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</si>
  <si>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</si>
  <si>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</si>
  <si>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</si>
  <si>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</si>
  <si>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</si>
  <si>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</si>
  <si>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</si>
  <si>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</si>
  <si>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</si>
  <si>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</si>
  <si>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</si>
  <si>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</si>
  <si>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</si>
  <si>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</si>
  <si>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</si>
  <si>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</si>
  <si>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</si>
  <si>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</si>
  <si>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</si>
  <si>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</si>
  <si>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</si>
  <si>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</si>
  <si>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</si>
  <si>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</si>
  <si>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</si>
  <si>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</si>
  <si>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</si>
  <si>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</si>
  <si>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</si>
  <si>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</si>
  <si>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</si>
  <si>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</si>
  <si>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</si>
  <si>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</si>
  <si>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</si>
  <si>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</si>
  <si>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</si>
  <si>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</si>
  <si>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</si>
  <si>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</si>
  <si>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</si>
  <si>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</si>
  <si>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</si>
  <si>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</si>
  <si>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</si>
  <si>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</si>
  <si>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</si>
  <si>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</si>
  <si>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</si>
  <si>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</si>
  <si>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</si>
  <si>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</si>
  <si>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</si>
  <si>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</si>
  <si>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</si>
  <si>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</si>
  <si>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</si>
  <si>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</si>
  <si>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</si>
  <si>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</si>
  <si>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</si>
  <si>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</si>
  <si>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</si>
  <si>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</si>
  <si>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</si>
  <si>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</si>
  <si>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</si>
  <si>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</si>
  <si>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</si>
  <si>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</si>
  <si>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</si>
  <si>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</si>
  <si>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</si>
  <si>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</si>
  <si>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</si>
  <si>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</si>
  <si>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</si>
  <si>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</si>
  <si>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</si>
  <si>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</si>
  <si>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</si>
  <si>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</si>
  <si>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</si>
  <si>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</si>
  <si>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</si>
  <si>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</si>
  <si>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</si>
  <si>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</si>
  <si>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</si>
  <si>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</si>
  <si>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</si>
  <si>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</si>
  <si>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</si>
  <si>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</si>
  <si>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</si>
  <si>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</si>
  <si>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</si>
  <si>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</si>
  <si>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</si>
  <si>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</si>
  <si>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</si>
  <si>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</si>
  <si>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</si>
  <si>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</si>
  <si>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</si>
  <si>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</si>
  <si>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</si>
  <si>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</si>
  <si>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</si>
  <si>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</si>
  <si>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</si>
  <si>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</si>
  <si>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</si>
  <si>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</si>
  <si>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</si>
  <si>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</si>
  <si>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</si>
  <si>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</si>
  <si>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</si>
  <si>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</si>
  <si>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</si>
  <si>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</si>
  <si>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</si>
  <si>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</si>
  <si>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</si>
  <si>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</si>
  <si>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</si>
  <si>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</si>
  <si>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</si>
  <si>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</si>
  <si>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</si>
  <si>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</si>
  <si>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</si>
  <si>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</si>
  <si>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</si>
  <si>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</si>
  <si>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</si>
  <si>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</si>
  <si>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</si>
  <si>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</si>
  <si>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</si>
  <si>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</si>
  <si>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</si>
  <si>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</si>
  <si>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</si>
  <si>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</si>
  <si>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</si>
  <si>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</si>
  <si>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</si>
  <si>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</si>
  <si>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</si>
  <si>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</si>
  <si>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</si>
  <si>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</si>
  <si>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</si>
  <si>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</si>
  <si>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</si>
  <si>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</si>
  <si>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</si>
  <si>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</si>
  <si>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</si>
  <si>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</si>
  <si>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</si>
  <si>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</si>
  <si>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</si>
  <si>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</si>
  <si>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</si>
  <si>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</si>
  <si>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</si>
  <si>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</si>
  <si>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</si>
  <si>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</si>
  <si>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</si>
  <si>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</si>
  <si>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</si>
  <si>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</si>
  <si>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</si>
  <si>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</si>
  <si>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</si>
  <si>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</si>
  <si>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</si>
  <si>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</si>
  <si>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</si>
  <si>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</si>
  <si>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</si>
  <si>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</si>
  <si>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</si>
  <si>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</si>
  <si>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</si>
  <si>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</si>
  <si>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</si>
  <si>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</si>
  <si>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</si>
  <si>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</si>
  <si>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</si>
  <si>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</si>
  <si>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</si>
  <si>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</si>
  <si>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</si>
  <si>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</si>
  <si>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</si>
  <si>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</si>
  <si>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</si>
  <si>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</si>
  <si>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</si>
  <si>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</si>
  <si>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</si>
  <si>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</si>
  <si>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</si>
  <si>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</si>
  <si>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</si>
  <si>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</si>
  <si>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</si>
  <si>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</si>
  <si>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</si>
  <si>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</si>
  <si>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</si>
  <si>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</si>
  <si>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</si>
  <si>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</si>
  <si>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</si>
  <si>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</si>
  <si>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</si>
  <si>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</si>
  <si>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</si>
  <si>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</si>
  <si>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</si>
  <si>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</si>
  <si>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</si>
  <si>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</si>
  <si>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</si>
  <si>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</si>
  <si>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</si>
  <si>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</si>
  <si>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</si>
  <si>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</si>
  <si>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</si>
  <si>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</si>
  <si>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</si>
  <si>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</si>
  <si>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</si>
  <si>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</si>
  <si>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</si>
  <si>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</si>
  <si>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</si>
  <si>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</si>
  <si>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</si>
  <si>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</si>
  <si>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</si>
  <si>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</si>
  <si>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</si>
  <si>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</si>
  <si>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</si>
  <si>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</si>
  <si>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</si>
  <si>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</si>
  <si>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</si>
  <si>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</si>
  <si>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</si>
  <si>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</si>
  <si>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</si>
  <si>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</si>
  <si>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</si>
  <si>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</si>
  <si>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</si>
  <si>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</si>
  <si>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</si>
  <si>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</si>
  <si>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</si>
  <si>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</si>
  <si>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</si>
  <si>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</si>
  <si>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</si>
  <si>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</si>
  <si>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</si>
  <si>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</si>
  <si>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</si>
  <si>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</si>
  <si>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</si>
  <si>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</si>
  <si>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</si>
  <si>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</si>
  <si>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</si>
  <si>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</si>
  <si>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</si>
  <si>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</si>
  <si>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</si>
  <si>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</si>
  <si>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</si>
  <si>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</si>
  <si>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</si>
  <si>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</si>
  <si>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</si>
  <si>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</si>
  <si>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</si>
  <si>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</si>
  <si>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</si>
  <si>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</si>
  <si>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</si>
  <si>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</si>
  <si>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</si>
  <si>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</si>
  <si>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</si>
  <si>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</si>
  <si>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</si>
  <si>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</si>
  <si>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</si>
  <si>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</si>
  <si>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</si>
  <si>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</si>
  <si>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</si>
  <si>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</si>
  <si>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</si>
  <si>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</si>
  <si>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</si>
  <si>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</si>
  <si>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</si>
  <si>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</si>
  <si>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</si>
  <si>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</si>
  <si>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</si>
  <si>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</si>
  <si>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</si>
  <si>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</si>
  <si>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</si>
  <si>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</si>
  <si>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</si>
  <si>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</si>
  <si>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</si>
  <si>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</si>
  <si>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</si>
  <si>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</si>
  <si>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</si>
  <si>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</si>
  <si>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</si>
  <si>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</si>
  <si>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</si>
  <si>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</si>
  <si>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</si>
  <si>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</si>
  <si>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</si>
  <si>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</si>
  <si>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</si>
  <si>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</si>
  <si>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</si>
  <si>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</si>
  <si>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</si>
  <si>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</si>
  <si>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</si>
  <si>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</si>
  <si>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</si>
  <si>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</si>
  <si>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</si>
  <si>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</si>
  <si>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</si>
  <si>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</si>
  <si>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</si>
  <si>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</si>
  <si>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</si>
  <si>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</si>
  <si>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</si>
  <si>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</si>
  <si>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</si>
  <si>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</si>
  <si>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</si>
  <si>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</si>
  <si>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</si>
  <si>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</si>
  <si>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</si>
  <si>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</si>
  <si>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</si>
  <si>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</si>
  <si>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</si>
  <si>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</si>
  <si>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</si>
  <si>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</si>
  <si>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</si>
  <si>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</si>
  <si>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</si>
  <si>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</si>
  <si>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</si>
  <si>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</si>
  <si>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</si>
  <si>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</si>
  <si>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</si>
  <si>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</si>
  <si>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</si>
  <si>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</si>
  <si>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</si>
  <si>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</si>
  <si>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</si>
  <si>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</si>
  <si>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</si>
  <si>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</si>
  <si>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</si>
  <si>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</si>
  <si>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</si>
  <si>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</si>
  <si>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</si>
  <si>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</si>
  <si>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</si>
  <si>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</si>
  <si>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</si>
  <si>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</si>
  <si>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</si>
  <si>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</si>
  <si>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</si>
  <si>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</si>
  <si>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</si>
  <si>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</si>
  <si>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</si>
  <si>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</si>
  <si>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</si>
  <si>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</si>
  <si>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</si>
  <si>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</si>
  <si>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</si>
  <si>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</si>
  <si>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</si>
  <si>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</si>
  <si>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</si>
  <si>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</si>
  <si>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</si>
  <si>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</si>
  <si>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</si>
  <si>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</si>
  <si>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</si>
  <si>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</si>
  <si>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</si>
  <si>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</si>
  <si>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</si>
  <si>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</si>
  <si>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</si>
  <si>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</si>
  <si>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</si>
  <si>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</si>
  <si>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</si>
  <si>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</si>
  <si>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</si>
  <si>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</si>
  <si>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</si>
  <si>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</si>
  <si>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</si>
  <si>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</si>
  <si>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</si>
  <si>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</si>
  <si>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</si>
  <si>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</si>
  <si>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</si>
  <si>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</si>
  <si>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</si>
  <si>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</si>
  <si>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</si>
  <si>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</si>
  <si>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</si>
  <si>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</si>
  <si>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</si>
  <si>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</si>
  <si>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</si>
  <si>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</si>
  <si>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</si>
  <si>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</si>
  <si>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</si>
  <si>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</si>
  <si>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</si>
  <si>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</si>
  <si>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</si>
  <si>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</si>
  <si>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</si>
  <si>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</si>
  <si>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</si>
  <si>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</si>
  <si>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</si>
  <si>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</si>
  <si>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</si>
  <si>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</si>
  <si>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</si>
  <si>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</si>
  <si>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</si>
  <si>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</si>
  <si>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</si>
  <si>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</si>
  <si>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</si>
  <si>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</si>
  <si>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</si>
  <si>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</si>
  <si>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</si>
  <si>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</si>
  <si>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</si>
  <si>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</si>
  <si>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</si>
  <si>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</si>
  <si>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</si>
  <si>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</si>
  <si>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</si>
  <si>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</si>
  <si>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</si>
  <si>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</si>
  <si>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</si>
  <si>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</si>
  <si>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</si>
  <si>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</si>
  <si>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</si>
  <si>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</si>
  <si>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</si>
  <si>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</si>
  <si>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</si>
  <si>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</si>
  <si>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</si>
  <si>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</si>
  <si>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</si>
  <si>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</si>
  <si>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</si>
  <si>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</si>
  <si>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</si>
  <si>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</si>
  <si>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</si>
  <si>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</si>
  <si>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</si>
  <si>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</si>
  <si>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</si>
  <si>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</si>
  <si>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</si>
  <si>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</si>
  <si>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</si>
  <si>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</si>
  <si>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</si>
  <si>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</si>
  <si>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</si>
  <si>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</si>
  <si>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</si>
  <si>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</si>
  <si>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</si>
  <si>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</si>
  <si>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</si>
  <si>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</si>
  <si>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</si>
  <si>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</si>
  <si>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</si>
  <si>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</si>
  <si>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</si>
  <si>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</si>
  <si>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</si>
  <si>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</si>
  <si>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</si>
  <si>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</si>
  <si>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</si>
  <si>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</si>
  <si>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</si>
  <si>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</si>
  <si>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</si>
  <si>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</si>
  <si>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</si>
  <si>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</si>
  <si>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</si>
  <si>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</si>
  <si>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</si>
  <si>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</si>
  <si>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</si>
  <si>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</si>
  <si>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</si>
  <si>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</si>
  <si>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</si>
  <si>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</si>
  <si>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</si>
  <si>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</si>
  <si>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</si>
  <si>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</si>
  <si>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</si>
  <si>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</si>
  <si>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</si>
  <si>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</si>
  <si>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</si>
  <si>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</si>
  <si>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</si>
  <si>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</si>
  <si>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</si>
  <si>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</si>
  <si>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</si>
  <si>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</si>
  <si>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</si>
  <si>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</si>
  <si>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</si>
  <si>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</si>
  <si>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</si>
  <si>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</si>
  <si>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</si>
  <si>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</si>
  <si>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</si>
  <si>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</si>
  <si>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</si>
  <si>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</si>
  <si>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</si>
  <si>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</si>
  <si>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</si>
  <si>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</si>
  <si>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</si>
  <si>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</si>
  <si>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</si>
  <si>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</si>
  <si>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</si>
  <si>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</si>
  <si>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</si>
  <si>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</si>
  <si>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</si>
  <si>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</si>
  <si>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</si>
  <si>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</si>
  <si>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</si>
  <si>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</si>
  <si>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</si>
  <si>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</si>
  <si>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</si>
  <si>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</si>
  <si>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</si>
  <si>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</si>
  <si>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</si>
  <si>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</si>
  <si>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</si>
  <si>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</si>
  <si>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</si>
  <si>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</si>
  <si>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</si>
  <si>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</si>
  <si>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</si>
  <si>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</si>
  <si>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</si>
  <si>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</si>
  <si>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</si>
  <si>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</si>
  <si>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</si>
  <si>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</si>
  <si>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</si>
  <si>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</si>
  <si>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</si>
  <si>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</si>
  <si>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</si>
  <si>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</si>
  <si>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</si>
  <si>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</si>
  <si>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</si>
  <si>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</si>
  <si>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</si>
  <si>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</si>
  <si>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</si>
  <si>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</si>
  <si>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</si>
  <si>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</si>
  <si>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</si>
  <si>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</si>
  <si>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</si>
  <si>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</si>
  <si>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</si>
  <si>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</si>
  <si>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</si>
  <si>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</si>
  <si>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</si>
  <si>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</si>
  <si>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</si>
  <si>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</si>
  <si>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</si>
  <si>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</si>
  <si>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</si>
  <si>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</si>
  <si>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</si>
  <si>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</si>
  <si>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</si>
  <si>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</si>
  <si>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</si>
  <si>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</si>
  <si>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</si>
  <si>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</si>
  <si>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</si>
  <si>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</si>
  <si>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</si>
  <si>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</si>
  <si>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</si>
  <si>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</si>
  <si>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</si>
  <si>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</si>
  <si>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</si>
  <si>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</si>
  <si>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</si>
  <si>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</si>
  <si>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</si>
  <si>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</si>
  <si>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</si>
  <si>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</si>
  <si>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</si>
  <si>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</si>
  <si>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</si>
  <si>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</si>
  <si>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</si>
  <si>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</si>
  <si>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</si>
  <si>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</si>
  <si>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</si>
  <si>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</si>
  <si>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</si>
  <si>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</si>
  <si>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</si>
  <si>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</si>
  <si>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</si>
  <si>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</si>
  <si>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</si>
  <si>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</si>
  <si>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</si>
  <si>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</si>
  <si>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</si>
  <si>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</si>
  <si>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</si>
  <si>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</si>
  <si>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</si>
  <si>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</si>
  <si>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</si>
  <si>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</si>
  <si>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</si>
  <si>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</si>
  <si>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</si>
  <si>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</si>
  <si>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</si>
  <si>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</si>
  <si>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</si>
  <si>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</si>
  <si>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</si>
  <si>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</si>
  <si>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</si>
  <si>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</si>
  <si>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</si>
  <si>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</si>
  <si>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</si>
  <si>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</si>
  <si>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</si>
  <si>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</si>
  <si>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</si>
  <si>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</si>
  <si>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</si>
  <si>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</si>
  <si>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</si>
  <si>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</si>
  <si>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</si>
  <si>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</si>
  <si>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</si>
  <si>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NFA2X-T 3 x 70 + N 50 mm²</t>
  </si>
  <si>
    <t>PEKERJAAN PEMASANGAN KONDUKTOR</t>
  </si>
  <si>
    <t>PEKERJAAN PEMASANGAN APP</t>
  </si>
  <si>
    <t>PEMBONGKARAN</t>
  </si>
  <si>
    <t>B2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</si>
  <si>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</si>
  <si>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</si>
  <si>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</si>
  <si>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</si>
  <si>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</si>
  <si>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</si>
  <si>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</si>
  <si>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</si>
  <si>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</si>
  <si>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</si>
  <si>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</si>
  <si>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</si>
  <si>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</si>
  <si>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</si>
  <si>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</si>
  <si>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</si>
  <si>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</si>
  <si>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</si>
  <si>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</si>
  <si>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</si>
  <si>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</si>
  <si>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</si>
  <si>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</si>
  <si>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</si>
  <si>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</si>
  <si>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</si>
  <si>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</si>
  <si>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</si>
  <si>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</si>
  <si>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</si>
  <si>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</si>
  <si>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</si>
  <si>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</si>
  <si>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</si>
  <si>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</si>
  <si>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</si>
  <si>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</si>
  <si>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</si>
  <si>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</si>
  <si>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</si>
  <si>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</si>
  <si>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</si>
  <si>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</si>
  <si>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</si>
  <si>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CJ6-T</t>
  </si>
  <si>
    <t>G312-A 50KVA</t>
  </si>
  <si>
    <t>GUNAWAN</t>
  </si>
  <si>
    <t>DS BANDUNGREJO</t>
  </si>
  <si>
    <t>Trafo 3 Fasa 100 KVA 1 Tiang (G312-A)</t>
  </si>
  <si>
    <t>Daya 53.000 VA</t>
  </si>
  <si>
    <t>G312 100KVA</t>
  </si>
  <si>
    <t>APP 53KVA</t>
  </si>
  <si>
    <t>APP 41,5KVA</t>
  </si>
  <si>
    <t>LVTC 3X35+35</t>
  </si>
  <si>
    <t>MTR</t>
  </si>
  <si>
    <t>LVTC 3X70+70</t>
  </si>
  <si>
    <t xml:space="preserve">Keterangan Tambahan : '-7.022808, 110.504830 </t>
  </si>
  <si>
    <t>PD 41,5-53KVA GUNAWAN DS BANDUNGREJO</t>
  </si>
  <si>
    <t>KOORDINAT LOKASI :  '-7.022808, 110.504830</t>
  </si>
  <si>
    <t>MGN05-67</t>
  </si>
  <si>
    <t>MGN02</t>
  </si>
  <si>
    <t>Tegowanu, September 2023</t>
  </si>
  <si>
    <t>MANAGER ULP TEGOWANU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</si>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</sst>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(* #,##0_);_(* \(#,##0\);_(* &quot;-&quot;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_(&quot;$&quot;* #,##0_);_(&quot;$&quot;* \(#,##0\);_(&quot;$&quot;* &quot;-&quot;_);_(@_)"/>
    <numFmt numFmtId="168" formatCode="_(&quot;$&quot;* #,##0.00_);_(&quot;$&quot;* \(#,##0.00\);_(&quot;$&quot;* &quot;-&quot;??_);_(@_)"/>
    <numFmt numFmtId="169" formatCode="&quot;Rp&quot;#,##0.00_);\(&quot;Rp&quot;#,##0.00\)"/>
    <numFmt numFmtId="170" formatCode="_(* #,##0_);_(* \(#,##0\);_(* &quot;-&quot;??_);_(@_)"/>
    <numFmt numFmtId="171" formatCode="_(&quot;Rp&quot;* #,##0_);_(&quot;Rp&quot;* \(#,##0\);_(&quot;Rp&quot;* &quot;-&quot;???_);_(@_)"/>
    <numFmt numFmtId="172" formatCode="_([$Rp-421]* #,##0_);_([$Rp-421]* \(#,##0\);_([$Rp-421]* &quot;-&quot;??_);_(@_)"/>
    <numFmt numFmtId="173" formatCode="General_)"/>
    <numFmt numFmtId="174" formatCode="0.000000%"/>
    <numFmt numFmtId="175" formatCode="_(&quot;$&quot;* #,##0.0_);_(&quot;$&quot;* \(#,##0.0\);_(&quot;$&quot;* &quot;-&quot;?_);_(@_)"/>
    <numFmt numFmtId="176" formatCode="00000"/>
    <numFmt numFmtId="177" formatCode="m/d"/>
    <numFmt numFmtId="178" formatCode="0.0000000000"/>
    <numFmt numFmtId="179" formatCode="d\ayy"/>
    <numFmt numFmtId="180" formatCode="dd/mm/yy;@"/>
    <numFmt numFmtId="181" formatCode="_-* #,##0.000_-;\-* #,##0.000_-;_-* &quot;-&quot;_-;_-@_-"/>
    <numFmt numFmtId="182" formatCode="0.000"/>
    <numFmt numFmtId="183" formatCode="_(* #,##0.000_);_(* \(#,##0.000\);_(* &quot;-&quot;??_);_(@_)"/>
    <numFmt numFmtId="184" formatCode="[$-409]d\-mmm\-yy;@"/>
    <numFmt numFmtId="185" formatCode="0.0"/>
    <numFmt numFmtId="186" formatCode="_(* #,##0.000_);_(* \(#,##0.000\);_(* &quot;-&quot;_);_(@_)"/>
    <numFmt numFmtId="187" formatCode="&quot;IR£&quot;#,##0.00;[Red]\-&quot;IR£&quot;#,##0.00"/>
    <numFmt numFmtId="188" formatCode="&quot;$&quot;#,##0\ ;\(&quot;$&quot;#,##0\)"/>
    <numFmt numFmtId="189" formatCode="m\o\n\th\ \D\,\ \y\y\y\y"/>
    <numFmt numFmtId="190" formatCode="#."/>
    <numFmt numFmtId="191" formatCode="#,#00"/>
    <numFmt numFmtId="192" formatCode="#,"/>
    <numFmt numFmtId="193" formatCode="_-* #,##0\ _€_-;\-* #,##0\ _€_-;_-* &quot;-&quot;\ _€_-;_-@_-"/>
    <numFmt numFmtId="194" formatCode="&quot;Rp.&quot;#,##0.00;&quot;Rp.&quot;\-#,##0.00"/>
    <numFmt numFmtId="195" formatCode="0.00_)"/>
    <numFmt numFmtId="196" formatCode="[$-421]dd\ mmmm\ yyyy;@"/>
    <numFmt numFmtId="197" formatCode="_([$Rp-421]* #,##0.00_);_([$Rp-421]* \(#,##0.00\);_([$Rp-421]* &quot;-&quot;??_);_(@_)"/>
    <numFmt numFmtId="198" formatCode="_-&quot;£&quot;* #,##0_-;\-&quot;£&quot;* #,##0_-;_-&quot;£&quot;* &quot;-&quot;_-;_-@_-"/>
    <numFmt numFmtId="199" formatCode="_(* #,##0.0000_);_(* \(#,##0.0000\);_(* &quot;-&quot;??_);_(@_)"/>
    <numFmt numFmtId="200" formatCode="[$-409]d\-mmm\-yyyy;@"/>
    <numFmt numFmtId="201" formatCode="#,##0&quot;NT$&quot;;[Red]\-#,##0&quot;NT$&quot;"/>
    <numFmt numFmtId="202" formatCode="mm/dd/yy"/>
    <numFmt numFmtId="203" formatCode="dddd"/>
    <numFmt numFmtId="204" formatCode="ddd"/>
    <numFmt numFmtId="205" formatCode="#.##0_);\(#.##\)"/>
    <numFmt numFmtId="206" formatCode="_(* #,##0.0_);_(* \(#,##0.0\);_(* &quot;-&quot;_);_(@_)"/>
    <numFmt numFmtId="207" formatCode="0.E+00"/>
    <numFmt numFmtId="208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3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9" fontId="33" fillId="0" borderId="0" applyFill="0" applyBorder="0" applyAlignment="0"/>
    <xf numFmtId="179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1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72" fontId="33" fillId="0" borderId="0" applyFont="0" applyFill="0" applyBorder="0" applyAlignment="0" applyProtection="0"/>
    <xf numFmtId="172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2" fontId="33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33" fillId="0" borderId="0" applyFont="0" applyFill="0" applyBorder="0" applyAlignment="0" applyProtection="0"/>
    <xf numFmtId="172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82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3" fontId="19" fillId="0" borderId="0" applyFont="0" applyFill="0" applyBorder="0" applyAlignment="0" applyProtection="0"/>
    <xf numFmtId="172" fontId="33" fillId="0" borderId="0" applyFont="0" applyFill="0" applyBorder="0" applyAlignment="0" applyProtection="0"/>
    <xf numFmtId="17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5" fontId="33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33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33" fillId="0" borderId="0" applyFont="0" applyFill="0" applyBorder="0" applyAlignment="0" applyProtection="0"/>
    <xf numFmtId="185" fontId="19" fillId="0" borderId="0" applyFont="0" applyFill="0" applyBorder="0" applyAlignment="0" applyProtection="0"/>
    <xf numFmtId="18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6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7" fontId="33" fillId="0" borderId="3"/>
    <xf numFmtId="187" fontId="19" fillId="0" borderId="3"/>
    <xf numFmtId="167" fontId="20" fillId="0" borderId="0" applyFont="0" applyFill="0" applyBorder="0" applyAlignment="0" applyProtection="0"/>
    <xf numFmtId="167" fontId="45" fillId="0" borderId="0" applyFont="0" applyFill="0" applyBorder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67" fillId="0" borderId="0" applyFont="0" applyFill="0" applyBorder="0" applyAlignment="0" applyProtection="0"/>
    <xf numFmtId="189" fontId="69" fillId="0" borderId="0">
      <protection locked="0"/>
    </xf>
    <xf numFmtId="14" fontId="61" fillId="0" borderId="0" applyFill="0" applyBorder="0" applyAlignment="0"/>
    <xf numFmtId="190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8" fontId="33" fillId="0" borderId="0" applyFill="0" applyBorder="0" applyAlignment="0"/>
    <xf numFmtId="178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9" fontId="33" fillId="0" borderId="0" applyFill="0" applyBorder="0" applyAlignment="0"/>
    <xf numFmtId="179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1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2" fontId="74" fillId="0" borderId="0">
      <protection locked="0"/>
    </xf>
    <xf numFmtId="192" fontId="74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8" fontId="33" fillId="0" borderId="0" applyFill="0" applyBorder="0" applyAlignment="0"/>
    <xf numFmtId="178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9" fontId="33" fillId="0" borderId="0" applyFill="0" applyBorder="0" applyAlignment="0"/>
    <xf numFmtId="179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3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4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4" fontId="33" fillId="0" borderId="0"/>
    <xf numFmtId="194" fontId="19" fillId="0" borderId="0"/>
    <xf numFmtId="194" fontId="33" fillId="0" borderId="0"/>
    <xf numFmtId="194" fontId="19" fillId="0" borderId="0"/>
    <xf numFmtId="194" fontId="33" fillId="0" borderId="0"/>
    <xf numFmtId="194" fontId="19" fillId="0" borderId="0"/>
    <xf numFmtId="194" fontId="19" fillId="0" borderId="0"/>
    <xf numFmtId="194" fontId="33" fillId="0" borderId="0"/>
    <xf numFmtId="173" fontId="80" fillId="0" borderId="0"/>
    <xf numFmtId="173" fontId="81" fillId="0" borderId="0"/>
    <xf numFmtId="173" fontId="81" fillId="0" borderId="0"/>
    <xf numFmtId="0" fontId="63" fillId="0" borderId="0"/>
    <xf numFmtId="0" fontId="108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66" fillId="0" borderId="0"/>
    <xf numFmtId="0" fontId="33" fillId="0" borderId="0"/>
    <xf numFmtId="0" fontId="108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5" fontId="40" fillId="0" borderId="0"/>
    <xf numFmtId="0" fontId="108" fillId="0" borderId="0"/>
    <xf numFmtId="0" fontId="10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8" fillId="0" borderId="0"/>
    <xf numFmtId="183" fontId="81" fillId="0" borderId="0"/>
    <xf numFmtId="0" fontId="81" fillId="0" borderId="0"/>
    <xf numFmtId="196" fontId="81" fillId="0" borderId="0"/>
    <xf numFmtId="197" fontId="81" fillId="0" borderId="0"/>
    <xf numFmtId="0" fontId="81" fillId="0" borderId="0"/>
    <xf numFmtId="198" fontId="81" fillId="0" borderId="0"/>
    <xf numFmtId="198" fontId="81" fillId="0" borderId="0"/>
    <xf numFmtId="198" fontId="81" fillId="0" borderId="0"/>
    <xf numFmtId="196" fontId="81" fillId="0" borderId="0"/>
    <xf numFmtId="0" fontId="81" fillId="0" borderId="0"/>
    <xf numFmtId="0" fontId="33" fillId="0" borderId="0"/>
    <xf numFmtId="0" fontId="19" fillId="0" borderId="0"/>
    <xf numFmtId="183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8" fontId="81" fillId="0" borderId="0"/>
    <xf numFmtId="198" fontId="81" fillId="0" borderId="0"/>
    <xf numFmtId="198" fontId="81" fillId="0" borderId="0"/>
    <xf numFmtId="198" fontId="81" fillId="0" borderId="0"/>
    <xf numFmtId="200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5" fontId="40" fillId="0" borderId="0"/>
    <xf numFmtId="0" fontId="19" fillId="0" borderId="0"/>
    <xf numFmtId="0" fontId="19" fillId="0" borderId="0" applyProtection="0"/>
    <xf numFmtId="0" fontId="108" fillId="0" borderId="0"/>
    <xf numFmtId="0" fontId="108" fillId="0" borderId="0"/>
    <xf numFmtId="0" fontId="108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8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10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20" fillId="0" borderId="0"/>
    <xf numFmtId="0" fontId="109" fillId="0" borderId="0"/>
    <xf numFmtId="0" fontId="64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5" fontId="40" fillId="0" borderId="0"/>
    <xf numFmtId="195" fontId="40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20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33" fillId="27" borderId="12" applyNumberFormat="0" applyFont="0" applyAlignment="0" applyProtection="0"/>
    <xf numFmtId="195" fontId="40" fillId="28" borderId="12" applyAlignment="0" applyProtection="0"/>
    <xf numFmtId="195" fontId="40" fillId="28" borderId="12" applyAlignment="0" applyProtection="0"/>
    <xf numFmtId="0" fontId="19" fillId="27" borderId="12" applyNumberFormat="0" applyFont="0" applyAlignment="0" applyProtection="0"/>
    <xf numFmtId="195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201" fontId="33" fillId="0" borderId="0" applyFont="0" applyFill="0" applyBorder="0" applyAlignment="0" applyProtection="0"/>
    <xf numFmtId="201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8" fontId="33" fillId="0" borderId="0" applyFill="0" applyBorder="0" applyAlignment="0"/>
    <xf numFmtId="178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9" fontId="33" fillId="0" borderId="0" applyFill="0" applyBorder="0" applyAlignment="0"/>
    <xf numFmtId="179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0" fontId="71" fillId="0" borderId="0"/>
    <xf numFmtId="202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33" fillId="0" borderId="0" applyFill="0" applyBorder="0" applyAlignment="0"/>
    <xf numFmtId="204" fontId="19" fillId="0" borderId="0" applyFill="0" applyBorder="0" applyAlignment="0"/>
    <xf numFmtId="205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5" fontId="19" fillId="0" borderId="0" applyFont="0" applyFill="0" applyBorder="0" applyAlignment="0" applyProtection="0"/>
    <xf numFmtId="9" fontId="140" fillId="0" borderId="0" applyFont="0" applyFill="0" applyBorder="0" applyAlignment="0" applyProtection="0"/>
    <xf numFmtId="165" fontId="15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66" fillId="0" borderId="0" applyFont="0" applyFill="0" applyBorder="0" applyAlignment="0" applyProtection="0"/>
    <xf numFmtId="166" fontId="66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6" fontId="19" fillId="0" borderId="0" applyFont="0" applyFill="0" applyBorder="0" applyAlignment="0" applyProtection="0"/>
    <xf numFmtId="0" fontId="3" fillId="0" borderId="0"/>
    <xf numFmtId="0" fontId="3" fillId="0" borderId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3" fillId="0" borderId="0"/>
    <xf numFmtId="0" fontId="1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3" fillId="0" borderId="0"/>
    <xf numFmtId="166" fontId="8" fillId="0" borderId="0" applyFont="0" applyFill="0" applyBorder="0" applyAlignment="0" applyProtection="0"/>
    <xf numFmtId="0" fontId="3" fillId="0" borderId="0"/>
    <xf numFmtId="165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" fillId="0" borderId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2" fillId="0" borderId="0"/>
    <xf numFmtId="0" fontId="2" fillId="0" borderId="0"/>
    <xf numFmtId="165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725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8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70" fontId="42" fillId="0" borderId="0" xfId="714" applyFont="1" applyFill="1" applyAlignment="1">
      <alignment horizontal="center" wrapText="1"/>
    </xf>
    <xf numFmtId="170" fontId="41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70" fontId="42" fillId="0" borderId="21" xfId="715" applyNumberFormat="1" applyFont="1" applyFill="1" applyBorder="1" applyAlignment="1">
      <alignment horizontal="center" vertical="center" wrapText="1"/>
    </xf>
    <xf numFmtId="170" fontId="42" fillId="0" borderId="21" xfId="714" applyFont="1" applyFill="1" applyBorder="1" applyAlignment="1">
      <alignment horizontal="center" vertical="center" wrapText="1"/>
    </xf>
    <xf numFmtId="170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8" fontId="42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41" fontId="92" fillId="0" borderId="0" xfId="1448" applyNumberFormat="1" applyFont="1" applyAlignment="1">
      <alignment wrapText="1"/>
    </xf>
    <xf numFmtId="41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70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70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70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70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70" fontId="41" fillId="0" borderId="3" xfId="715" applyNumberFormat="1" applyFont="1" applyFill="1" applyBorder="1" applyAlignment="1">
      <alignment horizontal="center" vertical="center" wrapText="1"/>
    </xf>
    <xf numFmtId="3" fontId="114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17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43" fontId="113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15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5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27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17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23" fillId="36" borderId="0" xfId="2670" applyFont="1" applyFill="1" applyAlignment="1">
      <alignment horizontal="left" vertical="center"/>
    </xf>
    <xf numFmtId="0" fontId="123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right" vertical="center"/>
    </xf>
    <xf numFmtId="9" fontId="126" fillId="36" borderId="0" xfId="2671" applyFont="1" applyFill="1" applyBorder="1" applyAlignment="1" applyProtection="1">
      <alignment horizontal="right" vertical="center"/>
    </xf>
    <xf numFmtId="43" fontId="125" fillId="36" borderId="0" xfId="2672" applyFont="1" applyFill="1" applyBorder="1" applyAlignment="1" applyProtection="1">
      <alignment horizontal="right" vertical="center"/>
    </xf>
    <xf numFmtId="43" fontId="126" fillId="36" borderId="0" xfId="2672" applyFont="1" applyFill="1" applyBorder="1" applyAlignment="1" applyProtection="1">
      <alignment horizontal="right" vertical="center"/>
    </xf>
    <xf numFmtId="10" fontId="126" fillId="36" borderId="0" xfId="2671" applyNumberFormat="1" applyFont="1" applyFill="1" applyBorder="1" applyAlignment="1" applyProtection="1">
      <alignment horizontal="right" vertical="center"/>
    </xf>
    <xf numFmtId="170" fontId="125" fillId="36" borderId="0" xfId="2672" applyNumberFormat="1" applyFont="1" applyFill="1" applyBorder="1" applyAlignment="1" applyProtection="1">
      <alignment horizontal="right" vertical="center"/>
    </xf>
    <xf numFmtId="0" fontId="119" fillId="0" borderId="0" xfId="2670" applyFont="1" applyAlignment="1">
      <alignment horizontal="left" vertical="center"/>
    </xf>
    <xf numFmtId="0" fontId="12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9" fillId="0" borderId="0" xfId="1538"/>
    <xf numFmtId="43" fontId="109" fillId="0" borderId="0" xfId="1538" applyNumberFormat="1"/>
    <xf numFmtId="0" fontId="59" fillId="0" borderId="0" xfId="1538" applyFont="1"/>
    <xf numFmtId="0" fontId="112" fillId="0" borderId="0" xfId="1538" applyFont="1"/>
    <xf numFmtId="0" fontId="50" fillId="0" borderId="42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9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43" fontId="0" fillId="0" borderId="3" xfId="1026" applyFont="1" applyFill="1" applyBorder="1" applyProtection="1"/>
    <xf numFmtId="43" fontId="109" fillId="0" borderId="3" xfId="1538" applyNumberFormat="1" applyBorder="1"/>
    <xf numFmtId="43" fontId="120" fillId="0" borderId="3" xfId="1026" applyFont="1" applyBorder="1" applyProtection="1"/>
    <xf numFmtId="43" fontId="0" fillId="0" borderId="3" xfId="1026" applyFont="1" applyBorder="1" applyProtection="1"/>
    <xf numFmtId="43" fontId="112" fillId="0" borderId="3" xfId="1538" applyNumberFormat="1" applyFont="1" applyBorder="1"/>
    <xf numFmtId="0" fontId="59" fillId="0" borderId="3" xfId="1538" applyFont="1" applyBorder="1"/>
    <xf numFmtId="41" fontId="109" fillId="0" borderId="3" xfId="1538" applyNumberFormat="1" applyBorder="1"/>
    <xf numFmtId="43" fontId="101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09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09" fillId="29" borderId="3" xfId="1538" applyFill="1" applyBorder="1"/>
    <xf numFmtId="170" fontId="109" fillId="29" borderId="3" xfId="1538" applyNumberFormat="1" applyFill="1" applyBorder="1" applyAlignment="1">
      <alignment horizontal="right"/>
    </xf>
    <xf numFmtId="166" fontId="109" fillId="0" borderId="0" xfId="1538" applyNumberFormat="1"/>
    <xf numFmtId="43" fontId="109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28" fillId="0" borderId="0" xfId="1614" applyFont="1" applyAlignment="1">
      <alignment horizontal="center"/>
    </xf>
    <xf numFmtId="0" fontId="129" fillId="0" borderId="0" xfId="1614" applyFont="1" applyAlignment="1">
      <alignment horizontal="center" vertical="center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1" fillId="0" borderId="0" xfId="1614" applyFont="1" applyAlignment="1">
      <alignment horizontal="center" vertical="center"/>
    </xf>
    <xf numFmtId="3" fontId="129" fillId="0" borderId="0" xfId="1614" applyNumberFormat="1" applyFont="1" applyAlignment="1">
      <alignment horizontal="center" vertical="center"/>
    </xf>
    <xf numFmtId="0" fontId="132" fillId="0" borderId="0" xfId="1614" applyFont="1" applyAlignment="1">
      <alignment horizontal="center" vertical="center"/>
    </xf>
    <xf numFmtId="0" fontId="131" fillId="0" borderId="0" xfId="1614" applyFont="1" applyAlignment="1">
      <alignment horizontal="center"/>
    </xf>
    <xf numFmtId="0" fontId="129" fillId="0" borderId="0" xfId="1614" applyFont="1" applyAlignment="1">
      <alignment horizontal="center"/>
    </xf>
    <xf numFmtId="3" fontId="128" fillId="0" borderId="0" xfId="1614" applyNumberFormat="1" applyFont="1" applyAlignment="1">
      <alignment horizontal="center"/>
    </xf>
    <xf numFmtId="0" fontId="133" fillId="0" borderId="0" xfId="1614" applyFont="1"/>
    <xf numFmtId="43" fontId="133" fillId="0" borderId="0" xfId="1652" applyNumberFormat="1" applyFont="1"/>
    <xf numFmtId="0" fontId="133" fillId="0" borderId="0" xfId="1614" applyFont="1" applyAlignment="1">
      <alignment horizontal="left" vertical="center"/>
    </xf>
    <xf numFmtId="0" fontId="133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left" vertical="center"/>
    </xf>
    <xf numFmtId="0" fontId="133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0" fontId="133" fillId="0" borderId="0" xfId="1614" applyFont="1" applyAlignment="1">
      <alignment horizontal="center" vertical="center" wrapText="1"/>
    </xf>
    <xf numFmtId="0" fontId="130" fillId="0" borderId="0" xfId="1614" applyFont="1" applyAlignment="1">
      <alignment horizontal="center" vertical="center" wrapText="1"/>
    </xf>
    <xf numFmtId="3" fontId="129" fillId="0" borderId="0" xfId="1614" applyNumberFormat="1" applyFont="1" applyAlignment="1">
      <alignment vertical="center"/>
    </xf>
    <xf numFmtId="0" fontId="130" fillId="0" borderId="20" xfId="1615" applyFont="1" applyBorder="1" applyAlignment="1">
      <alignment horizontal="center" vertical="center"/>
    </xf>
    <xf numFmtId="0" fontId="130" fillId="0" borderId="21" xfId="1615" applyFont="1" applyBorder="1" applyAlignment="1">
      <alignment horizontal="left" vertical="center" wrapText="1"/>
    </xf>
    <xf numFmtId="0" fontId="129" fillId="0" borderId="21" xfId="1614" applyFont="1" applyBorder="1" applyAlignment="1">
      <alignment horizontal="center" vertical="center" wrapText="1"/>
    </xf>
    <xf numFmtId="0" fontId="136" fillId="0" borderId="21" xfId="1614" applyFont="1" applyBorder="1" applyAlignment="1">
      <alignment horizontal="center" vertical="center"/>
    </xf>
    <xf numFmtId="3" fontId="136" fillId="0" borderId="21" xfId="1614" applyNumberFormat="1" applyFont="1" applyBorder="1" applyAlignment="1">
      <alignment horizontal="center" vertical="center"/>
    </xf>
    <xf numFmtId="3" fontId="129" fillId="0" borderId="21" xfId="1614" applyNumberFormat="1" applyFont="1" applyBorder="1" applyAlignment="1">
      <alignment horizontal="center" vertical="center"/>
    </xf>
    <xf numFmtId="3" fontId="129" fillId="0" borderId="22" xfId="1614" applyNumberFormat="1" applyFont="1" applyBorder="1" applyAlignment="1">
      <alignment horizontal="center" vertical="center"/>
    </xf>
    <xf numFmtId="3" fontId="129" fillId="0" borderId="0" xfId="1614" applyNumberFormat="1" applyFont="1" applyAlignment="1">
      <alignment horizontal="center"/>
    </xf>
    <xf numFmtId="3" fontId="128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/>
    </xf>
    <xf numFmtId="0" fontId="131" fillId="0" borderId="21" xfId="1653" applyFont="1" applyBorder="1" applyAlignment="1">
      <alignment horizontal="center" vertical="center"/>
    </xf>
    <xf numFmtId="3" fontId="132" fillId="0" borderId="0" xfId="1614" applyNumberFormat="1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29" fillId="0" borderId="21" xfId="1451" applyFont="1" applyBorder="1" applyAlignment="1">
      <alignment horizontal="left" vertical="center" wrapText="1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vertical="center" wrapText="1"/>
    </xf>
    <xf numFmtId="0" fontId="129" fillId="0" borderId="20" xfId="1652" applyFont="1" applyBorder="1" applyAlignment="1">
      <alignment horizontal="center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36" fillId="0" borderId="21" xfId="1652" applyFont="1" applyBorder="1" applyAlignment="1">
      <alignment horizontal="center" vertical="center"/>
    </xf>
    <xf numFmtId="0" fontId="136" fillId="0" borderId="44" xfId="1652" applyFont="1" applyBorder="1" applyAlignment="1">
      <alignment horizontal="center" vertical="center"/>
    </xf>
    <xf numFmtId="0" fontId="136" fillId="0" borderId="3" xfId="1652" applyFont="1" applyBorder="1" applyAlignment="1">
      <alignment vertical="center" wrapText="1"/>
    </xf>
    <xf numFmtId="0" fontId="129" fillId="0" borderId="3" xfId="1614" applyFont="1" applyBorder="1" applyAlignment="1">
      <alignment horizontal="center" vertical="center" wrapText="1"/>
    </xf>
    <xf numFmtId="0" fontId="136" fillId="0" borderId="3" xfId="1614" applyFont="1" applyBorder="1" applyAlignment="1">
      <alignment horizontal="center" vertical="center"/>
    </xf>
    <xf numFmtId="0" fontId="136" fillId="0" borderId="3" xfId="1652" applyFont="1" applyBorder="1" applyAlignment="1">
      <alignment horizontal="center" vertical="center"/>
    </xf>
    <xf numFmtId="208" fontId="136" fillId="0" borderId="3" xfId="1614" applyNumberFormat="1" applyFont="1" applyBorder="1" applyAlignment="1">
      <alignment horizontal="center" vertical="center"/>
    </xf>
    <xf numFmtId="3" fontId="129" fillId="0" borderId="3" xfId="1614" applyNumberFormat="1" applyFont="1" applyBorder="1" applyAlignment="1">
      <alignment horizontal="center" vertical="center"/>
    </xf>
    <xf numFmtId="3" fontId="129" fillId="0" borderId="39" xfId="1614" applyNumberFormat="1" applyFont="1" applyBorder="1" applyAlignment="1">
      <alignment horizontal="center" vertical="center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29" fillId="0" borderId="23" xfId="1614" applyFont="1" applyBorder="1" applyAlignment="1">
      <alignment horizontal="center" vertical="center"/>
    </xf>
    <xf numFmtId="0" fontId="129" fillId="0" borderId="24" xfId="1614" applyFont="1" applyBorder="1" applyAlignment="1">
      <alignment horizontal="left" vertical="center"/>
    </xf>
    <xf numFmtId="0" fontId="129" fillId="0" borderId="24" xfId="1614" applyFont="1" applyBorder="1" applyAlignment="1">
      <alignment vertical="center"/>
    </xf>
    <xf numFmtId="0" fontId="136" fillId="0" borderId="24" xfId="1614" applyFont="1" applyBorder="1" applyAlignment="1">
      <alignment horizontal="center" vertical="center"/>
    </xf>
    <xf numFmtId="3" fontId="129" fillId="0" borderId="24" xfId="1614" applyNumberFormat="1" applyFont="1" applyBorder="1" applyAlignment="1">
      <alignment horizontal="center" vertical="center"/>
    </xf>
    <xf numFmtId="3" fontId="129" fillId="0" borderId="25" xfId="1614" applyNumberFormat="1" applyFont="1" applyBorder="1" applyAlignment="1">
      <alignment horizontal="center" vertical="center"/>
    </xf>
    <xf numFmtId="0" fontId="131" fillId="0" borderId="26" xfId="1614" applyFont="1" applyBorder="1" applyAlignment="1">
      <alignment horizontal="center" vertical="center"/>
    </xf>
    <xf numFmtId="37" fontId="133" fillId="0" borderId="27" xfId="1614" applyNumberFormat="1" applyFont="1" applyBorder="1" applyAlignment="1">
      <alignment horizontal="center"/>
    </xf>
    <xf numFmtId="37" fontId="131" fillId="0" borderId="27" xfId="1614" applyNumberFormat="1" applyFont="1" applyBorder="1" applyAlignment="1">
      <alignment horizontal="center"/>
    </xf>
    <xf numFmtId="37" fontId="129" fillId="0" borderId="0" xfId="1614" applyNumberFormat="1" applyFont="1" applyAlignment="1">
      <alignment horizontal="center"/>
    </xf>
    <xf numFmtId="37" fontId="131" fillId="0" borderId="0" xfId="1614" applyNumberFormat="1" applyFont="1" applyAlignment="1">
      <alignment horizontal="center"/>
    </xf>
    <xf numFmtId="0" fontId="131" fillId="0" borderId="28" xfId="1614" applyFont="1" applyBorder="1" applyAlignment="1">
      <alignment horizontal="center" vertical="center"/>
    </xf>
    <xf numFmtId="37" fontId="133" fillId="0" borderId="29" xfId="1614" applyNumberFormat="1" applyFont="1" applyBorder="1" applyAlignment="1">
      <alignment horizontal="center"/>
    </xf>
    <xf numFmtId="37" fontId="131" fillId="0" borderId="29" xfId="1614" applyNumberFormat="1" applyFont="1" applyBorder="1" applyAlignment="1">
      <alignment horizontal="center"/>
    </xf>
    <xf numFmtId="37" fontId="137" fillId="0" borderId="0" xfId="1614" applyNumberFormat="1" applyFont="1" applyAlignment="1">
      <alignment horizontal="center"/>
    </xf>
    <xf numFmtId="37" fontId="137" fillId="0" borderId="30" xfId="1614" applyNumberFormat="1" applyFont="1" applyBorder="1" applyAlignment="1">
      <alignment horizontal="center"/>
    </xf>
    <xf numFmtId="37" fontId="137" fillId="0" borderId="32" xfId="1614" applyNumberFormat="1" applyFont="1" applyBorder="1" applyAlignment="1">
      <alignment horizontal="center"/>
    </xf>
    <xf numFmtId="0" fontId="128" fillId="0" borderId="0" xfId="1614" applyFont="1" applyAlignment="1">
      <alignment horizontal="center" vertical="center"/>
    </xf>
    <xf numFmtId="0" fontId="137" fillId="0" borderId="34" xfId="1614" applyFont="1" applyBorder="1" applyAlignment="1">
      <alignment vertical="center"/>
    </xf>
    <xf numFmtId="0" fontId="131" fillId="0" borderId="19" xfId="1614" applyFont="1" applyBorder="1"/>
    <xf numFmtId="0" fontId="131" fillId="0" borderId="19" xfId="1614" applyFont="1" applyBorder="1" applyAlignment="1">
      <alignment horizontal="center"/>
    </xf>
    <xf numFmtId="0" fontId="131" fillId="0" borderId="19" xfId="1614" applyFont="1" applyBorder="1" applyAlignment="1">
      <alignment horizontal="right"/>
    </xf>
    <xf numFmtId="0" fontId="131" fillId="0" borderId="31" xfId="1614" applyFont="1" applyBorder="1" applyAlignment="1">
      <alignment horizontal="right"/>
    </xf>
    <xf numFmtId="0" fontId="129" fillId="0" borderId="0" xfId="1614" applyFont="1" applyAlignment="1">
      <alignment horizontal="left" vertical="center"/>
    </xf>
    <xf numFmtId="0" fontId="129" fillId="0" borderId="0" xfId="1614" applyFont="1" applyAlignment="1">
      <alignment vertical="center"/>
    </xf>
    <xf numFmtId="0" fontId="136" fillId="0" borderId="0" xfId="1614" applyFont="1" applyAlignment="1">
      <alignment horizontal="center" vertical="center"/>
    </xf>
    <xf numFmtId="41" fontId="136" fillId="0" borderId="0" xfId="1652" applyNumberFormat="1" applyFont="1" applyAlignment="1">
      <alignment vertical="center"/>
    </xf>
    <xf numFmtId="0" fontId="131" fillId="0" borderId="0" xfId="1652" applyFont="1" applyAlignment="1">
      <alignment horizontal="right"/>
    </xf>
    <xf numFmtId="0" fontId="138" fillId="0" borderId="0" xfId="1644" applyFont="1" applyAlignment="1">
      <alignment horizontal="center" vertical="center"/>
    </xf>
    <xf numFmtId="0" fontId="136" fillId="0" borderId="0" xfId="1652" applyFont="1" applyAlignment="1">
      <alignment vertical="center"/>
    </xf>
    <xf numFmtId="0" fontId="139" fillId="39" borderId="59" xfId="2670" applyFont="1" applyFill="1" applyBorder="1" applyAlignment="1">
      <alignment horizontal="left" vertical="center"/>
    </xf>
    <xf numFmtId="0" fontId="139" fillId="39" borderId="60" xfId="2670" applyFont="1" applyFill="1" applyBorder="1" applyAlignment="1">
      <alignment horizontal="center" vertical="center"/>
    </xf>
    <xf numFmtId="0" fontId="139" fillId="39" borderId="62" xfId="2670" applyFont="1" applyFill="1" applyBorder="1" applyAlignment="1">
      <alignment horizontal="left" vertical="center"/>
    </xf>
    <xf numFmtId="0" fontId="139" fillId="39" borderId="58" xfId="2670" applyFont="1" applyFill="1" applyBorder="1" applyAlignment="1">
      <alignment horizontal="center" vertical="center"/>
    </xf>
    <xf numFmtId="0" fontId="139" fillId="39" borderId="64" xfId="2670" applyFont="1" applyFill="1" applyBorder="1" applyAlignment="1">
      <alignment horizontal="left" vertical="center"/>
    </xf>
    <xf numFmtId="0" fontId="139" fillId="39" borderId="65" xfId="2670" applyFont="1" applyFill="1" applyBorder="1" applyAlignment="1">
      <alignment horizontal="center" vertical="center"/>
    </xf>
    <xf numFmtId="43" fontId="121" fillId="40" borderId="61" xfId="2672" applyFont="1" applyFill="1" applyBorder="1" applyAlignment="1" applyProtection="1">
      <alignment horizontal="right" vertical="center" wrapText="1"/>
      <protection locked="0"/>
    </xf>
    <xf numFmtId="43" fontId="121" fillId="40" borderId="63" xfId="2672" applyFont="1" applyFill="1" applyBorder="1" applyAlignment="1" applyProtection="1">
      <alignment horizontal="right" vertical="center"/>
      <protection locked="0"/>
    </xf>
    <xf numFmtId="170" fontId="121" fillId="40" borderId="63" xfId="2672" applyNumberFormat="1" applyFont="1" applyFill="1" applyBorder="1" applyAlignment="1" applyProtection="1">
      <alignment horizontal="right" vertical="center"/>
      <protection locked="0"/>
    </xf>
    <xf numFmtId="170" fontId="121" fillId="40" borderId="66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51" xfId="2673" applyFont="1" applyBorder="1" applyAlignment="1">
      <alignment horizontal="center" vertical="center" wrapText="1"/>
    </xf>
    <xf numFmtId="0" fontId="142" fillId="0" borderId="0" xfId="2673" applyFont="1" applyAlignment="1">
      <alignment horizontal="center" vertical="center" wrapText="1"/>
    </xf>
    <xf numFmtId="0" fontId="143" fillId="0" borderId="0" xfId="2673" applyFont="1" applyAlignment="1">
      <alignment vertical="center" wrapText="1"/>
    </xf>
    <xf numFmtId="0" fontId="144" fillId="0" borderId="0" xfId="2673" applyFont="1" applyAlignment="1">
      <alignment vertical="center" wrapText="1"/>
    </xf>
    <xf numFmtId="0" fontId="127" fillId="35" borderId="70" xfId="2673" applyFont="1" applyFill="1" applyBorder="1" applyAlignment="1">
      <alignment vertical="center" wrapText="1"/>
    </xf>
    <xf numFmtId="0" fontId="127" fillId="43" borderId="70" xfId="2673" applyFont="1" applyFill="1" applyBorder="1" applyAlignment="1">
      <alignment vertical="center" wrapText="1"/>
    </xf>
    <xf numFmtId="0" fontId="141" fillId="0" borderId="0" xfId="2673" applyFont="1" applyAlignment="1">
      <alignment vertical="center" wrapText="1"/>
    </xf>
    <xf numFmtId="0" fontId="147" fillId="0" borderId="0" xfId="2673" applyFont="1" applyAlignment="1">
      <alignment horizontal="center" vertical="center" wrapText="1"/>
    </xf>
    <xf numFmtId="1" fontId="148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16" fillId="35" borderId="32" xfId="2673" applyFont="1" applyFill="1" applyBorder="1" applyAlignment="1">
      <alignment vertical="center" wrapText="1"/>
    </xf>
    <xf numFmtId="0" fontId="116" fillId="43" borderId="32" xfId="2673" applyFont="1" applyFill="1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2" fontId="116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2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6" fillId="0" borderId="0" xfId="2675" applyFont="1" applyFill="1" applyBorder="1" applyAlignment="1">
      <alignment horizontal="center" vertical="center" wrapText="1"/>
    </xf>
    <xf numFmtId="1" fontId="116" fillId="0" borderId="45" xfId="2673" applyNumberFormat="1" applyFont="1" applyBorder="1" applyAlignment="1">
      <alignment vertical="center" wrapText="1"/>
    </xf>
    <xf numFmtId="0" fontId="149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2" fontId="149" fillId="0" borderId="0" xfId="2673" applyNumberFormat="1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50" fillId="0" borderId="0" xfId="2673" applyFont="1" applyAlignment="1">
      <alignment vertical="center" wrapText="1"/>
    </xf>
    <xf numFmtId="0" fontId="127" fillId="35" borderId="46" xfId="2673" applyFont="1" applyFill="1" applyBorder="1" applyAlignment="1">
      <alignment vertical="center" wrapText="1"/>
    </xf>
    <xf numFmtId="0" fontId="127" fillId="0" borderId="48" xfId="2673" applyFont="1" applyBorder="1" applyAlignment="1">
      <alignment horizontal="center" vertical="center" wrapText="1"/>
    </xf>
    <xf numFmtId="0" fontId="127" fillId="35" borderId="44" xfId="2673" applyFont="1" applyFill="1" applyBorder="1" applyAlignment="1">
      <alignment vertical="center" wrapText="1"/>
    </xf>
    <xf numFmtId="1" fontId="116" fillId="0" borderId="50" xfId="2673" applyNumberFormat="1" applyFont="1" applyBorder="1" applyAlignment="1">
      <alignment vertical="center" wrapText="1"/>
    </xf>
    <xf numFmtId="0" fontId="116" fillId="35" borderId="44" xfId="2673" applyFont="1" applyFill="1" applyBorder="1" applyAlignment="1">
      <alignment vertical="center" wrapText="1"/>
    </xf>
    <xf numFmtId="0" fontId="116" fillId="35" borderId="74" xfId="2673" applyFont="1" applyFill="1" applyBorder="1" applyAlignment="1">
      <alignment vertical="center" wrapText="1"/>
    </xf>
    <xf numFmtId="0" fontId="103" fillId="0" borderId="52" xfId="2673" applyFont="1" applyBorder="1" applyAlignment="1">
      <alignment horizontal="center" vertical="center" wrapText="1"/>
    </xf>
    <xf numFmtId="0" fontId="127" fillId="0" borderId="46" xfId="2673" applyFont="1" applyBorder="1" applyAlignment="1">
      <alignment vertical="center" wrapText="1"/>
    </xf>
    <xf numFmtId="0" fontId="127" fillId="0" borderId="44" xfId="2673" applyFont="1" applyBorder="1" applyAlignment="1">
      <alignment vertical="center" wrapText="1"/>
    </xf>
    <xf numFmtId="0" fontId="116" fillId="0" borderId="44" xfId="2673" applyFont="1" applyBorder="1" applyAlignment="1">
      <alignment vertical="center" wrapText="1"/>
    </xf>
    <xf numFmtId="0" fontId="116" fillId="0" borderId="7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165" fontId="132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12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8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70" fontId="125" fillId="47" borderId="0" xfId="2672" applyNumberFormat="1" applyFont="1" applyFill="1" applyBorder="1" applyAlignment="1" applyProtection="1">
      <alignment horizontal="right" vertical="center"/>
    </xf>
    <xf numFmtId="0" fontId="136" fillId="0" borderId="21" xfId="1615" applyFont="1" applyBorder="1" applyAlignment="1">
      <alignment horizontal="center" vertical="center"/>
    </xf>
    <xf numFmtId="20" fontId="153" fillId="33" borderId="101" xfId="0" applyNumberFormat="1" applyFont="1" applyFill="1" applyBorder="1" applyAlignment="1">
      <alignment horizontal="center"/>
    </xf>
    <xf numFmtId="3" fontId="136" fillId="0" borderId="21" xfId="1615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53" fillId="33" borderId="26" xfId="0" applyFont="1" applyFill="1" applyBorder="1" applyAlignment="1">
      <alignment horizontal="center"/>
    </xf>
    <xf numFmtId="0" fontId="153" fillId="33" borderId="36" xfId="0" applyFont="1" applyFill="1" applyBorder="1" applyAlignment="1">
      <alignment horizontal="center"/>
    </xf>
    <xf numFmtId="0" fontId="153" fillId="33" borderId="28" xfId="0" applyFont="1" applyFill="1" applyBorder="1" applyAlignment="1">
      <alignment horizontal="center"/>
    </xf>
    <xf numFmtId="0" fontId="157" fillId="33" borderId="18" xfId="0" applyFont="1" applyFill="1" applyBorder="1" applyAlignment="1">
      <alignment horizontal="left"/>
    </xf>
    <xf numFmtId="0" fontId="153" fillId="33" borderId="37" xfId="0" applyFont="1" applyFill="1" applyBorder="1" applyAlignment="1">
      <alignment horizontal="center"/>
    </xf>
    <xf numFmtId="0" fontId="156" fillId="33" borderId="0" xfId="0" applyFont="1" applyFill="1" applyAlignment="1">
      <alignment horizontal="center"/>
    </xf>
    <xf numFmtId="0" fontId="158" fillId="33" borderId="28" xfId="0" applyFont="1" applyFill="1" applyBorder="1" applyAlignment="1">
      <alignment horizontal="center"/>
    </xf>
    <xf numFmtId="0" fontId="158" fillId="33" borderId="0" xfId="0" applyFont="1" applyFill="1" applyAlignment="1">
      <alignment horizontal="center"/>
    </xf>
    <xf numFmtId="0" fontId="160" fillId="33" borderId="81" xfId="0" applyFont="1" applyFill="1" applyBorder="1" applyAlignment="1">
      <alignment horizontal="center" vertical="center"/>
    </xf>
    <xf numFmtId="0" fontId="160" fillId="33" borderId="82" xfId="0" applyFont="1" applyFill="1" applyBorder="1" applyAlignment="1">
      <alignment horizontal="center" vertical="center"/>
    </xf>
    <xf numFmtId="0" fontId="162" fillId="33" borderId="85" xfId="0" applyFont="1" applyFill="1" applyBorder="1" applyAlignment="1">
      <alignment horizontal="center" vertical="center"/>
    </xf>
    <xf numFmtId="0" fontId="160" fillId="33" borderId="86" xfId="0" applyFont="1" applyFill="1" applyBorder="1" applyAlignment="1">
      <alignment horizontal="center" vertical="center"/>
    </xf>
    <xf numFmtId="0" fontId="163" fillId="33" borderId="0" xfId="0" applyFont="1" applyFill="1" applyAlignment="1">
      <alignment horizontal="center"/>
    </xf>
    <xf numFmtId="0" fontId="162" fillId="33" borderId="91" xfId="0" applyFont="1" applyFill="1" applyBorder="1" applyAlignment="1">
      <alignment horizontal="center" vertical="center"/>
    </xf>
    <xf numFmtId="0" fontId="164" fillId="33" borderId="94" xfId="0" applyFont="1" applyFill="1" applyBorder="1" applyAlignment="1">
      <alignment horizontal="center" vertical="top" wrapText="1"/>
    </xf>
    <xf numFmtId="0" fontId="164" fillId="33" borderId="95" xfId="0" applyFont="1" applyFill="1" applyBorder="1" applyAlignment="1">
      <alignment horizontal="center" vertical="top" wrapText="1"/>
    </xf>
    <xf numFmtId="0" fontId="153" fillId="33" borderId="40" xfId="0" applyFont="1" applyFill="1" applyBorder="1" applyAlignment="1">
      <alignment horizontal="center"/>
    </xf>
    <xf numFmtId="0" fontId="153" fillId="33" borderId="41" xfId="0" applyFont="1" applyFill="1" applyBorder="1" applyAlignment="1">
      <alignment vertical="top" wrapText="1"/>
    </xf>
    <xf numFmtId="0" fontId="153" fillId="33" borderId="42" xfId="0" applyFont="1" applyFill="1" applyBorder="1" applyAlignment="1">
      <alignment vertical="top" wrapText="1"/>
    </xf>
    <xf numFmtId="0" fontId="153" fillId="33" borderId="77" xfId="0" applyFont="1" applyFill="1" applyBorder="1" applyAlignment="1">
      <alignment vertical="top" wrapText="1"/>
    </xf>
    <xf numFmtId="0" fontId="164" fillId="33" borderId="28" xfId="0" applyFont="1" applyFill="1" applyBorder="1" applyAlignment="1">
      <alignment horizontal="center"/>
    </xf>
    <xf numFmtId="0" fontId="164" fillId="33" borderId="0" xfId="0" applyFont="1" applyFill="1" applyAlignment="1">
      <alignment horizontal="center"/>
    </xf>
    <xf numFmtId="0" fontId="153" fillId="33" borderId="40" xfId="0" applyFont="1" applyFill="1" applyBorder="1" applyAlignment="1">
      <alignment horizontal="center" vertical="center" wrapText="1"/>
    </xf>
    <xf numFmtId="0" fontId="164" fillId="33" borderId="34" xfId="0" applyFont="1" applyFill="1" applyBorder="1" applyAlignment="1">
      <alignment horizontal="center"/>
    </xf>
    <xf numFmtId="0" fontId="164" fillId="33" borderId="19" xfId="0" applyFont="1" applyFill="1" applyBorder="1" applyAlignment="1">
      <alignment horizontal="center"/>
    </xf>
    <xf numFmtId="0" fontId="153" fillId="33" borderId="19" xfId="0" applyFont="1" applyFill="1" applyBorder="1" applyAlignment="1">
      <alignment horizontal="center"/>
    </xf>
    <xf numFmtId="0" fontId="153" fillId="33" borderId="96" xfId="0" applyFont="1" applyFill="1" applyBorder="1" applyAlignment="1">
      <alignment horizontal="center"/>
    </xf>
    <xf numFmtId="0" fontId="153" fillId="33" borderId="99" xfId="0" applyFont="1" applyFill="1" applyBorder="1" applyAlignment="1">
      <alignment horizontal="center" vertical="top" wrapText="1"/>
    </xf>
    <xf numFmtId="0" fontId="153" fillId="33" borderId="101" xfId="0" applyFont="1" applyFill="1" applyBorder="1" applyAlignment="1">
      <alignment vertical="top" wrapText="1"/>
    </xf>
    <xf numFmtId="0" fontId="153" fillId="33" borderId="100" xfId="0" applyFont="1" applyFill="1" applyBorder="1" applyAlignment="1">
      <alignment vertical="top" wrapText="1"/>
    </xf>
    <xf numFmtId="49" fontId="153" fillId="33" borderId="99" xfId="0" applyNumberFormat="1" applyFont="1" applyFill="1" applyBorder="1" applyAlignment="1">
      <alignment horizontal="center" vertical="top" wrapText="1"/>
    </xf>
    <xf numFmtId="49" fontId="153" fillId="33" borderId="102" xfId="0" applyNumberFormat="1" applyFont="1" applyFill="1" applyBorder="1" applyAlignment="1">
      <alignment horizontal="center" vertical="top" wrapText="1"/>
    </xf>
    <xf numFmtId="0" fontId="153" fillId="33" borderId="101" xfId="0" applyFont="1" applyFill="1" applyBorder="1" applyAlignment="1">
      <alignment horizontal="center" vertical="center"/>
    </xf>
    <xf numFmtId="0" fontId="153" fillId="33" borderId="100" xfId="0" applyFont="1" applyFill="1" applyBorder="1" applyAlignment="1">
      <alignment horizontal="center" vertical="center"/>
    </xf>
    <xf numFmtId="0" fontId="153" fillId="33" borderId="100" xfId="0" applyFont="1" applyFill="1" applyBorder="1" applyAlignment="1">
      <alignment horizontal="left" vertical="center"/>
    </xf>
    <xf numFmtId="0" fontId="153" fillId="33" borderId="105" xfId="0" applyFont="1" applyFill="1" applyBorder="1" applyAlignment="1">
      <alignment horizontal="center"/>
    </xf>
    <xf numFmtId="0" fontId="153" fillId="33" borderId="101" xfId="0" applyFont="1" applyFill="1" applyBorder="1" applyAlignment="1">
      <alignment horizontal="center"/>
    </xf>
    <xf numFmtId="0" fontId="153" fillId="33" borderId="100" xfId="0" applyFont="1" applyFill="1" applyBorder="1" applyAlignment="1">
      <alignment horizontal="center"/>
    </xf>
    <xf numFmtId="0" fontId="156" fillId="0" borderId="100" xfId="1450" applyFont="1" applyBorder="1" applyAlignment="1">
      <alignment horizontal="center"/>
    </xf>
    <xf numFmtId="0" fontId="153" fillId="33" borderId="102" xfId="0" applyFont="1" applyFill="1" applyBorder="1" applyAlignment="1">
      <alignment horizontal="center" vertical="top" wrapText="1"/>
    </xf>
    <xf numFmtId="0" fontId="37" fillId="0" borderId="0" xfId="1614" applyFont="1" applyAlignment="1">
      <alignment horizontal="center" vertical="center"/>
    </xf>
    <xf numFmtId="0" fontId="165" fillId="0" borderId="26" xfId="1451" applyFont="1" applyBorder="1"/>
    <xf numFmtId="0" fontId="165" fillId="0" borderId="36" xfId="1451" applyFont="1" applyBorder="1"/>
    <xf numFmtId="0" fontId="165" fillId="0" borderId="43" xfId="1451" applyFont="1" applyBorder="1"/>
    <xf numFmtId="0" fontId="165" fillId="0" borderId="28" xfId="1451" applyFont="1" applyBorder="1"/>
    <xf numFmtId="0" fontId="165" fillId="0" borderId="37" xfId="1451" applyFont="1" applyBorder="1"/>
    <xf numFmtId="0" fontId="157" fillId="0" borderId="37" xfId="1451" applyFont="1" applyBorder="1" applyAlignment="1">
      <alignment vertical="center"/>
    </xf>
    <xf numFmtId="0" fontId="165" fillId="0" borderId="34" xfId="1451" applyFont="1" applyBorder="1"/>
    <xf numFmtId="0" fontId="165" fillId="0" borderId="19" xfId="1451" applyFont="1" applyBorder="1"/>
    <xf numFmtId="0" fontId="157" fillId="0" borderId="19" xfId="1451" applyFont="1" applyBorder="1" applyAlignment="1">
      <alignment vertical="center"/>
    </xf>
    <xf numFmtId="0" fontId="157" fillId="0" borderId="19" xfId="1451" applyFont="1" applyBorder="1" applyAlignment="1">
      <alignment horizontal="center" vertical="center"/>
    </xf>
    <xf numFmtId="0" fontId="157" fillId="0" borderId="31" xfId="1451" applyFont="1" applyBorder="1" applyAlignment="1">
      <alignment vertical="center"/>
    </xf>
    <xf numFmtId="0" fontId="42" fillId="0" borderId="21" xfId="0" applyFont="1" applyBorder="1" applyAlignment="1">
      <alignment horizontal="left" vertical="center" wrapText="1"/>
    </xf>
    <xf numFmtId="0" fontId="165" fillId="33" borderId="0" xfId="1451" applyFont="1" applyFill="1"/>
    <xf numFmtId="0" fontId="165" fillId="33" borderId="26" xfId="1451" applyFont="1" applyFill="1" applyBorder="1"/>
    <xf numFmtId="0" fontId="165" fillId="33" borderId="36" xfId="1451" applyFont="1" applyFill="1" applyBorder="1"/>
    <xf numFmtId="0" fontId="165" fillId="33" borderId="43" xfId="1451" applyFont="1" applyFill="1" applyBorder="1"/>
    <xf numFmtId="0" fontId="165" fillId="33" borderId="28" xfId="1451" applyFont="1" applyFill="1" applyBorder="1"/>
    <xf numFmtId="0" fontId="165" fillId="33" borderId="37" xfId="1451" applyFont="1" applyFill="1" applyBorder="1"/>
    <xf numFmtId="0" fontId="167" fillId="33" borderId="0" xfId="1451" applyFont="1" applyFill="1" applyAlignment="1">
      <alignment vertical="center"/>
    </xf>
    <xf numFmtId="0" fontId="166" fillId="33" borderId="0" xfId="1451" applyFont="1" applyFill="1" applyAlignment="1">
      <alignment vertical="center"/>
    </xf>
    <xf numFmtId="0" fontId="170" fillId="33" borderId="0" xfId="1451" applyFont="1" applyFill="1" applyAlignment="1">
      <alignment horizontal="center" vertical="center"/>
    </xf>
    <xf numFmtId="0" fontId="171" fillId="33" borderId="0" xfId="1451" applyFont="1" applyFill="1"/>
    <xf numFmtId="0" fontId="172" fillId="33" borderId="0" xfId="1451" applyFont="1" applyFill="1"/>
    <xf numFmtId="0" fontId="157" fillId="33" borderId="0" xfId="1451" applyFont="1" applyFill="1" applyAlignment="1">
      <alignment vertical="center"/>
    </xf>
    <xf numFmtId="0" fontId="157" fillId="33" borderId="37" xfId="1451" applyFont="1" applyFill="1" applyBorder="1" applyAlignment="1">
      <alignment vertical="center"/>
    </xf>
    <xf numFmtId="0" fontId="172" fillId="33" borderId="0" xfId="1451" applyFont="1" applyFill="1" applyAlignment="1">
      <alignment horizontal="center"/>
    </xf>
    <xf numFmtId="0" fontId="157" fillId="33" borderId="0" xfId="1451" applyFont="1" applyFill="1" applyAlignment="1">
      <alignment horizontal="center" vertical="center"/>
    </xf>
    <xf numFmtId="0" fontId="157" fillId="33" borderId="37" xfId="1451" applyFont="1" applyFill="1" applyBorder="1" applyAlignment="1">
      <alignment horizontal="center" vertical="center"/>
    </xf>
    <xf numFmtId="0" fontId="173" fillId="33" borderId="0" xfId="1451" applyFont="1" applyFill="1" applyAlignment="1">
      <alignment vertical="center"/>
    </xf>
    <xf numFmtId="0" fontId="173" fillId="33" borderId="37" xfId="1451" applyFont="1" applyFill="1" applyBorder="1" applyAlignment="1">
      <alignment vertical="center"/>
    </xf>
    <xf numFmtId="0" fontId="165" fillId="33" borderId="34" xfId="1451" applyFont="1" applyFill="1" applyBorder="1"/>
    <xf numFmtId="0" fontId="165" fillId="33" borderId="19" xfId="1451" applyFont="1" applyFill="1" applyBorder="1"/>
    <xf numFmtId="0" fontId="157" fillId="33" borderId="19" xfId="1451" applyFont="1" applyFill="1" applyBorder="1" applyAlignment="1">
      <alignment vertical="center"/>
    </xf>
    <xf numFmtId="0" fontId="157" fillId="33" borderId="19" xfId="1451" applyFont="1" applyFill="1" applyBorder="1" applyAlignment="1">
      <alignment horizontal="center" vertical="center"/>
    </xf>
    <xf numFmtId="0" fontId="157" fillId="33" borderId="31" xfId="1451" applyFont="1" applyFill="1" applyBorder="1" applyAlignment="1">
      <alignment vertical="center"/>
    </xf>
    <xf numFmtId="0" fontId="165" fillId="33" borderId="31" xfId="1451" applyFont="1" applyFill="1" applyBorder="1"/>
    <xf numFmtId="0" fontId="153" fillId="33" borderId="0" xfId="0" applyFont="1" applyFill="1" applyAlignment="1">
      <alignment horizontal="center"/>
    </xf>
    <xf numFmtId="0" fontId="130" fillId="0" borderId="20" xfId="1653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135" fillId="0" borderId="20" xfId="1653" applyFont="1" applyBorder="1" applyAlignment="1">
      <alignment horizontal="center" vertical="center"/>
    </xf>
    <xf numFmtId="0" fontId="131" fillId="0" borderId="20" xfId="1653" applyFont="1" applyBorder="1" applyAlignment="1">
      <alignment horizontal="center" vertical="center"/>
    </xf>
    <xf numFmtId="0" fontId="165" fillId="0" borderId="0" xfId="1451" applyFont="1"/>
    <xf numFmtId="0" fontId="167" fillId="0" borderId="0" xfId="1451" applyFont="1" applyAlignment="1">
      <alignment vertical="center"/>
    </xf>
    <xf numFmtId="0" fontId="168" fillId="0" borderId="0" xfId="1451" applyFont="1"/>
    <xf numFmtId="0" fontId="166" fillId="0" borderId="0" xfId="1451" applyFont="1" applyAlignment="1">
      <alignment vertical="center"/>
    </xf>
    <xf numFmtId="0" fontId="170" fillId="0" borderId="0" xfId="1451" applyFont="1" applyAlignment="1">
      <alignment horizontal="center" vertical="center"/>
    </xf>
    <xf numFmtId="0" fontId="171" fillId="0" borderId="0" xfId="1451" applyFont="1"/>
    <xf numFmtId="0" fontId="172" fillId="0" borderId="0" xfId="1451" applyFont="1"/>
    <xf numFmtId="0" fontId="157" fillId="0" borderId="0" xfId="1451" applyFont="1" applyAlignment="1">
      <alignment vertical="center"/>
    </xf>
    <xf numFmtId="0" fontId="157" fillId="0" borderId="0" xfId="1451" applyFont="1" applyAlignment="1">
      <alignment horizontal="center" vertical="center"/>
    </xf>
    <xf numFmtId="0" fontId="165" fillId="0" borderId="0" xfId="1451" applyFont="1" applyAlignment="1">
      <alignment horizontal="center" vertical="center"/>
    </xf>
    <xf numFmtId="0" fontId="165" fillId="0" borderId="0" xfId="1451" applyFont="1" applyAlignment="1">
      <alignment horizontal="center"/>
    </xf>
    <xf numFmtId="0" fontId="166" fillId="35" borderId="0" xfId="1451" applyFont="1" applyFill="1" applyAlignment="1">
      <alignment vertical="center"/>
    </xf>
    <xf numFmtId="0" fontId="172" fillId="0" borderId="19" xfId="1451" applyFont="1" applyBorder="1" applyAlignment="1">
      <alignment horizontal="center"/>
    </xf>
    <xf numFmtId="0" fontId="172" fillId="0" borderId="19" xfId="1451" applyFont="1" applyBorder="1"/>
    <xf numFmtId="0" fontId="155" fillId="0" borderId="0" xfId="2669" applyFont="1" applyAlignment="1">
      <alignment vertical="center"/>
    </xf>
    <xf numFmtId="0" fontId="156" fillId="0" borderId="0" xfId="1450" applyFont="1" applyAlignment="1">
      <alignment horizontal="center"/>
    </xf>
    <xf numFmtId="0" fontId="129" fillId="0" borderId="21" xfId="1615" applyFont="1" applyBorder="1" applyAlignment="1">
      <alignment horizontal="left" vertical="center" wrapText="1"/>
    </xf>
    <xf numFmtId="0" fontId="111" fillId="0" borderId="20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31" fillId="33" borderId="21" xfId="1652" applyFont="1" applyFill="1" applyBorder="1" applyAlignment="1">
      <alignment vertical="center" wrapText="1"/>
    </xf>
    <xf numFmtId="0" fontId="131" fillId="33" borderId="20" xfId="1652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36" fillId="33" borderId="21" xfId="1615" applyFont="1" applyFill="1" applyBorder="1" applyAlignment="1">
      <alignment horizontal="center" vertical="center"/>
    </xf>
    <xf numFmtId="0" fontId="8" fillId="33" borderId="21" xfId="1614" applyFont="1" applyFill="1" applyBorder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54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0" xfId="1615" applyNumberFormat="1" applyFont="1" applyFill="1" applyBorder="1" applyAlignment="1">
      <alignment horizontal="center" vertical="center"/>
    </xf>
    <xf numFmtId="3" fontId="41" fillId="31" borderId="41" xfId="1615" applyNumberFormat="1" applyFont="1" applyFill="1" applyBorder="1" applyAlignment="1">
      <alignment horizontal="center" vertical="center"/>
    </xf>
    <xf numFmtId="3" fontId="41" fillId="31" borderId="55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3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8" fillId="0" borderId="46" xfId="1614" applyFont="1" applyBorder="1" applyAlignment="1">
      <alignment horizontal="center" vertical="center"/>
    </xf>
    <xf numFmtId="0" fontId="48" fillId="0" borderId="44" xfId="1614" applyFont="1" applyBorder="1" applyAlignment="1">
      <alignment horizontal="center" vertical="center"/>
    </xf>
    <xf numFmtId="0" fontId="48" fillId="0" borderId="47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48" xfId="1614" applyFont="1" applyBorder="1" applyAlignment="1">
      <alignment horizontal="center" vertical="center"/>
    </xf>
    <xf numFmtId="0" fontId="48" fillId="0" borderId="47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49" xfId="1614" applyFont="1" applyBorder="1" applyAlignment="1">
      <alignment horizontal="center" vertical="center"/>
    </xf>
    <xf numFmtId="170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72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73" xfId="2673" applyBorder="1" applyAlignment="1">
      <alignment horizontal="center" vertical="center" wrapText="1"/>
    </xf>
    <xf numFmtId="9" fontId="149" fillId="0" borderId="0" xfId="2675" applyFont="1" applyFill="1" applyBorder="1" applyAlignment="1">
      <alignment horizontal="center" vertical="center" wrapText="1"/>
    </xf>
    <xf numFmtId="0" fontId="146" fillId="37" borderId="0" xfId="2673" applyFont="1" applyFill="1" applyAlignment="1">
      <alignment horizontal="left" vertical="center" wrapText="1"/>
    </xf>
    <xf numFmtId="166" fontId="127" fillId="35" borderId="7" xfId="2673" applyNumberFormat="1" applyFont="1" applyFill="1" applyBorder="1" applyAlignment="1">
      <alignment horizontal="center" vertical="center" wrapText="1"/>
    </xf>
    <xf numFmtId="0" fontId="127" fillId="35" borderId="50" xfId="2673" applyFont="1" applyFill="1" applyBorder="1" applyAlignment="1">
      <alignment horizontal="center" vertical="center" wrapText="1"/>
    </xf>
    <xf numFmtId="2" fontId="116" fillId="35" borderId="51" xfId="2673" applyNumberFormat="1" applyFont="1" applyFill="1" applyBorder="1" applyAlignment="1">
      <alignment horizontal="center" vertical="center" wrapText="1"/>
    </xf>
    <xf numFmtId="2" fontId="116" fillId="35" borderId="71" xfId="2673" applyNumberFormat="1" applyFont="1" applyFill="1" applyBorder="1" applyAlignment="1">
      <alignment horizontal="center" vertical="center" wrapText="1"/>
    </xf>
    <xf numFmtId="0" fontId="142" fillId="41" borderId="67" xfId="2673" applyFont="1" applyFill="1" applyBorder="1" applyAlignment="1">
      <alignment horizontal="center" vertical="center" wrapText="1"/>
    </xf>
    <xf numFmtId="0" fontId="142" fillId="41" borderId="68" xfId="2673" applyFont="1" applyFill="1" applyBorder="1" applyAlignment="1">
      <alignment horizontal="center" vertical="center" wrapText="1"/>
    </xf>
    <xf numFmtId="0" fontId="142" fillId="41" borderId="69" xfId="2673" applyFont="1" applyFill="1" applyBorder="1" applyAlignment="1">
      <alignment horizontal="center" vertical="center" wrapText="1"/>
    </xf>
    <xf numFmtId="0" fontId="116" fillId="35" borderId="7" xfId="2673" applyFont="1" applyFill="1" applyBorder="1" applyAlignment="1">
      <alignment horizontal="center" vertical="center" wrapText="1"/>
    </xf>
    <xf numFmtId="0" fontId="116" fillId="35" borderId="50" xfId="2673" applyFont="1" applyFill="1" applyBorder="1" applyAlignment="1">
      <alignment horizontal="center" vertical="center" wrapText="1"/>
    </xf>
    <xf numFmtId="1" fontId="127" fillId="35" borderId="7" xfId="2673" applyNumberFormat="1" applyFont="1" applyFill="1" applyBorder="1" applyAlignment="1">
      <alignment horizontal="center" vertical="center" wrapText="1"/>
    </xf>
    <xf numFmtId="1" fontId="127" fillId="35" borderId="50" xfId="2673" applyNumberFormat="1" applyFont="1" applyFill="1" applyBorder="1" applyAlignment="1">
      <alignment horizontal="center" vertical="center" wrapText="1"/>
    </xf>
    <xf numFmtId="166" fontId="127" fillId="0" borderId="48" xfId="2673" applyNumberFormat="1" applyFont="1" applyBorder="1" applyAlignment="1">
      <alignment horizontal="center" vertical="center" wrapText="1"/>
    </xf>
    <xf numFmtId="0" fontId="127" fillId="0" borderId="49" xfId="2673" applyFont="1" applyBorder="1" applyAlignment="1">
      <alignment horizontal="center" vertical="center" wrapText="1"/>
    </xf>
    <xf numFmtId="9" fontId="116" fillId="0" borderId="52" xfId="2675" applyFont="1" applyFill="1" applyBorder="1" applyAlignment="1">
      <alignment horizontal="center" vertical="center" wrapText="1"/>
    </xf>
    <xf numFmtId="9" fontId="116" fillId="0" borderId="53" xfId="2675" applyFont="1" applyFill="1" applyBorder="1" applyAlignment="1">
      <alignment horizontal="center" vertical="center" wrapText="1"/>
    </xf>
    <xf numFmtId="1" fontId="127" fillId="0" borderId="3" xfId="2673" applyNumberFormat="1" applyFont="1" applyBorder="1" applyAlignment="1">
      <alignment horizontal="center" vertical="center" wrapText="1"/>
    </xf>
    <xf numFmtId="1" fontId="127" fillId="0" borderId="39" xfId="2673" applyNumberFormat="1" applyFont="1" applyBorder="1" applyAlignment="1">
      <alignment horizontal="center" vertical="center" wrapText="1"/>
    </xf>
    <xf numFmtId="2" fontId="116" fillId="0" borderId="3" xfId="2673" applyNumberFormat="1" applyFont="1" applyBorder="1" applyAlignment="1">
      <alignment horizontal="center" vertical="center" wrapText="1"/>
    </xf>
    <xf numFmtId="2" fontId="116" fillId="0" borderId="39" xfId="2673" applyNumberFormat="1" applyFont="1" applyBorder="1" applyAlignment="1">
      <alignment horizontal="center" vertical="center" wrapText="1"/>
    </xf>
    <xf numFmtId="9" fontId="116" fillId="35" borderId="52" xfId="2675" applyFont="1" applyFill="1" applyBorder="1" applyAlignment="1">
      <alignment horizontal="center" vertical="center" wrapText="1"/>
    </xf>
    <xf numFmtId="9" fontId="116" fillId="35" borderId="53" xfId="2675" applyFont="1" applyFill="1" applyBorder="1" applyAlignment="1">
      <alignment horizontal="center" vertical="center" wrapText="1"/>
    </xf>
    <xf numFmtId="2" fontId="116" fillId="35" borderId="3" xfId="2673" applyNumberFormat="1" applyFont="1" applyFill="1" applyBorder="1" applyAlignment="1">
      <alignment horizontal="center" vertical="center" wrapText="1"/>
    </xf>
    <xf numFmtId="2" fontId="116" fillId="35" borderId="39" xfId="2673" applyNumberFormat="1" applyFont="1" applyFill="1" applyBorder="1" applyAlignment="1">
      <alignment horizontal="center" vertical="center" wrapText="1"/>
    </xf>
    <xf numFmtId="0" fontId="145" fillId="0" borderId="45" xfId="2673" applyFont="1" applyBorder="1" applyAlignment="1">
      <alignment horizontal="center" vertical="center" wrapText="1"/>
    </xf>
    <xf numFmtId="0" fontId="145" fillId="0" borderId="50" xfId="2673" applyFont="1" applyBorder="1" applyAlignment="1">
      <alignment horizontal="center" vertical="center" wrapText="1"/>
    </xf>
    <xf numFmtId="0" fontId="145" fillId="44" borderId="3" xfId="2673" applyFont="1" applyFill="1" applyBorder="1" applyAlignment="1">
      <alignment horizontal="center" vertical="center" wrapText="1"/>
    </xf>
    <xf numFmtId="0" fontId="145" fillId="44" borderId="39" xfId="2673" applyFont="1" applyFill="1" applyBorder="1" applyAlignment="1">
      <alignment horizontal="center" vertical="center" wrapText="1"/>
    </xf>
    <xf numFmtId="1" fontId="116" fillId="0" borderId="3" xfId="2673" applyNumberFormat="1" applyFont="1" applyBorder="1" applyAlignment="1">
      <alignment horizontal="center" vertical="center" wrapText="1"/>
    </xf>
    <xf numFmtId="1" fontId="116" fillId="0" borderId="39" xfId="2673" applyNumberFormat="1" applyFont="1" applyBorder="1" applyAlignment="1">
      <alignment horizontal="center" vertical="center" wrapText="1"/>
    </xf>
    <xf numFmtId="2" fontId="116" fillId="45" borderId="3" xfId="2673" applyNumberFormat="1" applyFont="1" applyFill="1" applyBorder="1" applyAlignment="1">
      <alignment horizontal="center" vertical="center" wrapText="1"/>
    </xf>
    <xf numFmtId="2" fontId="116" fillId="45" borderId="39" xfId="2673" applyNumberFormat="1" applyFont="1" applyFill="1" applyBorder="1" applyAlignment="1">
      <alignment horizontal="center" vertical="center" wrapText="1"/>
    </xf>
    <xf numFmtId="0" fontId="142" fillId="42" borderId="67" xfId="2673" applyFont="1" applyFill="1" applyBorder="1" applyAlignment="1">
      <alignment horizontal="center" vertical="center" wrapText="1"/>
    </xf>
    <xf numFmtId="0" fontId="142" fillId="42" borderId="68" xfId="2673" applyFont="1" applyFill="1" applyBorder="1" applyAlignment="1">
      <alignment horizontal="center" vertical="center" wrapText="1"/>
    </xf>
    <xf numFmtId="0" fontId="142" fillId="42" borderId="69" xfId="2673" applyFont="1" applyFill="1" applyBorder="1" applyAlignment="1">
      <alignment horizontal="center" vertical="center" wrapText="1"/>
    </xf>
    <xf numFmtId="166" fontId="127" fillId="43" borderId="7" xfId="2673" applyNumberFormat="1" applyFont="1" applyFill="1" applyBorder="1" applyAlignment="1">
      <alignment horizontal="center" vertical="center" wrapText="1"/>
    </xf>
    <xf numFmtId="0" fontId="127" fillId="43" borderId="50" xfId="2673" applyFont="1" applyFill="1" applyBorder="1" applyAlignment="1">
      <alignment horizontal="center" vertical="center" wrapText="1"/>
    </xf>
    <xf numFmtId="1" fontId="116" fillId="43" borderId="7" xfId="2673" applyNumberFormat="1" applyFont="1" applyFill="1" applyBorder="1" applyAlignment="1">
      <alignment horizontal="center" vertical="center" wrapText="1"/>
    </xf>
    <xf numFmtId="1" fontId="116" fillId="43" borderId="50" xfId="2673" applyNumberFormat="1" applyFont="1" applyFill="1" applyBorder="1" applyAlignment="1">
      <alignment horizontal="center" vertical="center" wrapText="1"/>
    </xf>
    <xf numFmtId="0" fontId="116" fillId="43" borderId="7" xfId="2673" applyFont="1" applyFill="1" applyBorder="1" applyAlignment="1">
      <alignment horizontal="center" vertical="center" wrapText="1"/>
    </xf>
    <xf numFmtId="0" fontId="116" fillId="43" borderId="50" xfId="2673" applyFont="1" applyFill="1" applyBorder="1" applyAlignment="1">
      <alignment horizontal="center" vertical="center" wrapText="1"/>
    </xf>
    <xf numFmtId="1" fontId="127" fillId="44" borderId="45" xfId="2673" applyNumberFormat="1" applyFont="1" applyFill="1" applyBorder="1" applyAlignment="1">
      <alignment horizontal="center" vertical="center" wrapText="1"/>
    </xf>
    <xf numFmtId="1" fontId="127" fillId="44" borderId="50" xfId="2673" applyNumberFormat="1" applyFont="1" applyFill="1" applyBorder="1" applyAlignment="1">
      <alignment horizontal="center" vertical="center" wrapText="1"/>
    </xf>
    <xf numFmtId="2" fontId="116" fillId="43" borderId="51" xfId="2673" applyNumberFormat="1" applyFont="1" applyFill="1" applyBorder="1" applyAlignment="1">
      <alignment horizontal="center" vertical="center" wrapText="1"/>
    </xf>
    <xf numFmtId="2" fontId="116" fillId="43" borderId="71" xfId="2673" applyNumberFormat="1" applyFont="1" applyFill="1" applyBorder="1" applyAlignment="1">
      <alignment horizontal="center" vertical="center" wrapText="1"/>
    </xf>
    <xf numFmtId="166" fontId="127" fillId="44" borderId="75" xfId="2673" applyNumberFormat="1" applyFont="1" applyFill="1" applyBorder="1" applyAlignment="1">
      <alignment horizontal="center" vertical="center" wrapText="1"/>
    </xf>
    <xf numFmtId="166" fontId="127" fillId="44" borderId="69" xfId="2673" applyNumberFormat="1" applyFont="1" applyFill="1" applyBorder="1" applyAlignment="1">
      <alignment horizontal="center" vertical="center" wrapText="1"/>
    </xf>
    <xf numFmtId="0" fontId="7" fillId="34" borderId="56" xfId="2670" applyFill="1" applyBorder="1" applyAlignment="1">
      <alignment horizontal="center" vertical="center"/>
    </xf>
    <xf numFmtId="0" fontId="119" fillId="0" borderId="57" xfId="2670" applyFont="1" applyBorder="1" applyAlignment="1">
      <alignment horizontal="left" vertical="center"/>
    </xf>
    <xf numFmtId="0" fontId="50" fillId="0" borderId="42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33" fillId="30" borderId="3" xfId="1614" applyFont="1" applyFill="1" applyBorder="1" applyAlignment="1">
      <alignment horizontal="center" vertical="center"/>
    </xf>
    <xf numFmtId="0" fontId="134" fillId="0" borderId="0" xfId="1652" applyFont="1" applyAlignment="1">
      <alignment horizontal="center" vertical="center"/>
    </xf>
    <xf numFmtId="37" fontId="131" fillId="0" borderId="36" xfId="1614" applyNumberFormat="1" applyFont="1" applyBorder="1" applyAlignment="1">
      <alignment horizontal="center"/>
    </xf>
    <xf numFmtId="0" fontId="135" fillId="35" borderId="46" xfId="1614" applyFont="1" applyFill="1" applyBorder="1" applyAlignment="1">
      <alignment horizontal="center" vertical="center"/>
    </xf>
    <xf numFmtId="0" fontId="135" fillId="35" borderId="44" xfId="1614" applyFont="1" applyFill="1" applyBorder="1" applyAlignment="1">
      <alignment horizontal="center" vertical="center"/>
    </xf>
    <xf numFmtId="0" fontId="135" fillId="35" borderId="47" xfId="1614" applyFont="1" applyFill="1" applyBorder="1" applyAlignment="1">
      <alignment horizontal="center" vertical="center"/>
    </xf>
    <xf numFmtId="0" fontId="135" fillId="35" borderId="21" xfId="1614" applyFont="1" applyFill="1" applyBorder="1" applyAlignment="1">
      <alignment horizontal="center" vertical="center"/>
    </xf>
    <xf numFmtId="0" fontId="135" fillId="35" borderId="33" xfId="1614" applyFont="1" applyFill="1" applyBorder="1" applyAlignment="1">
      <alignment horizontal="center" vertical="center"/>
    </xf>
    <xf numFmtId="0" fontId="135" fillId="35" borderId="48" xfId="1614" applyFont="1" applyFill="1" applyBorder="1" applyAlignment="1">
      <alignment horizontal="center" vertical="center"/>
    </xf>
    <xf numFmtId="0" fontId="135" fillId="35" borderId="3" xfId="1614" applyFont="1" applyFill="1" applyBorder="1" applyAlignment="1">
      <alignment horizontal="center" vertical="center"/>
    </xf>
    <xf numFmtId="0" fontId="135" fillId="35" borderId="47" xfId="1614" applyFont="1" applyFill="1" applyBorder="1" applyAlignment="1">
      <alignment horizontal="center" vertical="center" wrapText="1"/>
    </xf>
    <xf numFmtId="0" fontId="135" fillId="35" borderId="21" xfId="1614" applyFont="1" applyFill="1" applyBorder="1" applyAlignment="1">
      <alignment horizontal="center" vertical="center" wrapText="1"/>
    </xf>
    <xf numFmtId="0" fontId="135" fillId="35" borderId="33" xfId="1614" applyFont="1" applyFill="1" applyBorder="1" applyAlignment="1">
      <alignment horizontal="center" vertical="center" wrapText="1"/>
    </xf>
    <xf numFmtId="0" fontId="135" fillId="35" borderId="35" xfId="1652" applyFont="1" applyFill="1" applyBorder="1" applyAlignment="1">
      <alignment horizontal="center" vertical="center" wrapText="1"/>
    </xf>
    <xf numFmtId="0" fontId="135" fillId="35" borderId="33" xfId="1652" applyFont="1" applyFill="1" applyBorder="1" applyAlignment="1">
      <alignment horizontal="center" vertical="center" wrapText="1"/>
    </xf>
    <xf numFmtId="0" fontId="135" fillId="35" borderId="49" xfId="1614" applyFont="1" applyFill="1" applyBorder="1" applyAlignment="1">
      <alignment horizontal="center" vertical="center"/>
    </xf>
    <xf numFmtId="0" fontId="135" fillId="35" borderId="39" xfId="1614" applyFont="1" applyFill="1" applyBorder="1" applyAlignment="1">
      <alignment horizontal="center" vertical="center"/>
    </xf>
    <xf numFmtId="0" fontId="130" fillId="0" borderId="0" xfId="1644" applyFont="1" applyAlignment="1">
      <alignment horizontal="center" vertical="center"/>
    </xf>
    <xf numFmtId="37" fontId="137" fillId="0" borderId="19" xfId="1614" applyNumberFormat="1" applyFont="1" applyBorder="1" applyAlignment="1">
      <alignment horizontal="center"/>
    </xf>
    <xf numFmtId="37" fontId="131" fillId="0" borderId="0" xfId="1614" applyNumberFormat="1" applyFont="1" applyAlignment="1">
      <alignment horizontal="center"/>
    </xf>
    <xf numFmtId="0" fontId="151" fillId="0" borderId="26" xfId="1614" applyFont="1" applyBorder="1" applyAlignment="1">
      <alignment horizontal="left" vertical="center" wrapText="1"/>
    </xf>
    <xf numFmtId="0" fontId="151" fillId="0" borderId="36" xfId="1614" applyFont="1" applyBorder="1" applyAlignment="1">
      <alignment horizontal="left" vertical="center" wrapText="1"/>
    </xf>
    <xf numFmtId="0" fontId="151" fillId="0" borderId="43" xfId="1614" applyFont="1" applyBorder="1" applyAlignment="1">
      <alignment horizontal="left" vertical="center" wrapText="1"/>
    </xf>
    <xf numFmtId="0" fontId="151" fillId="0" borderId="28" xfId="1614" applyFont="1" applyBorder="1" applyAlignment="1">
      <alignment horizontal="left" vertical="center" wrapText="1"/>
    </xf>
    <xf numFmtId="0" fontId="151" fillId="0" borderId="0" xfId="1614" applyFont="1" applyAlignment="1">
      <alignment horizontal="left" vertical="center" wrapText="1"/>
    </xf>
    <xf numFmtId="0" fontId="151" fillId="0" borderId="37" xfId="1614" applyFont="1" applyBorder="1" applyAlignment="1">
      <alignment horizontal="left" vertical="center" wrapText="1"/>
    </xf>
    <xf numFmtId="0" fontId="136" fillId="0" borderId="0" xfId="1652" applyFont="1" applyAlignment="1">
      <alignment horizontal="center" vertical="center"/>
    </xf>
    <xf numFmtId="0" fontId="131" fillId="0" borderId="0" xfId="1652" applyFont="1" applyAlignment="1">
      <alignment horizontal="center" vertical="center"/>
    </xf>
    <xf numFmtId="0" fontId="153" fillId="33" borderId="51" xfId="0" applyFont="1" applyFill="1" applyBorder="1" applyAlignment="1">
      <alignment horizontal="center"/>
    </xf>
    <xf numFmtId="0" fontId="153" fillId="33" borderId="97" xfId="0" applyFont="1" applyFill="1" applyBorder="1" applyAlignment="1">
      <alignment horizontal="center"/>
    </xf>
    <xf numFmtId="0" fontId="153" fillId="33" borderId="52" xfId="0" applyFont="1" applyFill="1" applyBorder="1" applyAlignment="1">
      <alignment horizontal="center"/>
    </xf>
    <xf numFmtId="0" fontId="153" fillId="33" borderId="53" xfId="0" applyFont="1" applyFill="1" applyBorder="1" applyAlignment="1">
      <alignment horizontal="center"/>
    </xf>
    <xf numFmtId="0" fontId="153" fillId="33" borderId="102" xfId="0" applyFont="1" applyFill="1" applyBorder="1" applyAlignment="1">
      <alignment horizontal="center"/>
    </xf>
    <xf numFmtId="0" fontId="153" fillId="33" borderId="99" xfId="0" applyFont="1" applyFill="1" applyBorder="1" applyAlignment="1">
      <alignment horizontal="center"/>
    </xf>
    <xf numFmtId="0" fontId="153" fillId="33" borderId="100" xfId="0" applyFont="1" applyFill="1" applyBorder="1" applyAlignment="1">
      <alignment horizontal="center"/>
    </xf>
    <xf numFmtId="0" fontId="153" fillId="33" borderId="101" xfId="0" applyFont="1" applyFill="1" applyBorder="1" applyAlignment="1">
      <alignment horizontal="center"/>
    </xf>
    <xf numFmtId="15" fontId="153" fillId="33" borderId="100" xfId="0" applyNumberFormat="1" applyFont="1" applyFill="1" applyBorder="1" applyAlignment="1">
      <alignment horizontal="center"/>
    </xf>
    <xf numFmtId="0" fontId="153" fillId="33" borderId="78" xfId="0" applyFont="1" applyFill="1" applyBorder="1" applyAlignment="1">
      <alignment horizontal="center" vertical="center"/>
    </xf>
    <xf numFmtId="0" fontId="153" fillId="33" borderId="104" xfId="0" applyFont="1" applyFill="1" applyBorder="1" applyAlignment="1">
      <alignment horizontal="center" vertical="center"/>
    </xf>
    <xf numFmtId="0" fontId="153" fillId="33" borderId="0" xfId="0" applyFont="1" applyFill="1" applyAlignment="1">
      <alignment horizontal="center" vertical="center" wrapText="1"/>
    </xf>
    <xf numFmtId="0" fontId="153" fillId="33" borderId="37" xfId="0" applyFont="1" applyFill="1" applyBorder="1" applyAlignment="1">
      <alignment horizontal="center" vertical="center" wrapText="1"/>
    </xf>
    <xf numFmtId="0" fontId="153" fillId="33" borderId="42" xfId="0" applyFont="1" applyFill="1" applyBorder="1" applyAlignment="1">
      <alignment horizontal="center" vertical="center" wrapText="1"/>
    </xf>
    <xf numFmtId="0" fontId="153" fillId="33" borderId="77" xfId="0" applyFont="1" applyFill="1" applyBorder="1" applyAlignment="1">
      <alignment horizontal="center" vertical="center" wrapText="1"/>
    </xf>
    <xf numFmtId="0" fontId="157" fillId="33" borderId="105" xfId="0" applyFont="1" applyFill="1" applyBorder="1" applyAlignment="1">
      <alignment horizontal="left" vertical="top" wrapText="1"/>
    </xf>
    <xf numFmtId="0" fontId="157" fillId="33" borderId="78" xfId="0" applyFont="1" applyFill="1" applyBorder="1" applyAlignment="1">
      <alignment horizontal="left" vertical="top" wrapText="1"/>
    </xf>
    <xf numFmtId="0" fontId="157" fillId="33" borderId="104" xfId="0" applyFont="1" applyFill="1" applyBorder="1" applyAlignment="1">
      <alignment horizontal="left" vertical="top" wrapText="1"/>
    </xf>
    <xf numFmtId="0" fontId="162" fillId="33" borderId="89" xfId="0" applyFont="1" applyFill="1" applyBorder="1" applyAlignment="1">
      <alignment horizontal="center" vertical="center"/>
    </xf>
    <xf numFmtId="0" fontId="162" fillId="33" borderId="90" xfId="0" applyFont="1" applyFill="1" applyBorder="1" applyAlignment="1">
      <alignment horizontal="center" vertical="center"/>
    </xf>
    <xf numFmtId="0" fontId="153" fillId="33" borderId="102" xfId="0" applyFont="1" applyFill="1" applyBorder="1" applyAlignment="1">
      <alignment horizontal="center" vertical="top" wrapText="1"/>
    </xf>
    <xf numFmtId="0" fontId="153" fillId="33" borderId="99" xfId="0" applyFont="1" applyFill="1" applyBorder="1" applyAlignment="1">
      <alignment horizontal="center" vertical="top" wrapText="1"/>
    </xf>
    <xf numFmtId="0" fontId="160" fillId="33" borderId="83" xfId="0" applyFont="1" applyFill="1" applyBorder="1" applyAlignment="1">
      <alignment horizontal="center" vertical="center"/>
    </xf>
    <xf numFmtId="0" fontId="160" fillId="33" borderId="81" xfId="0" applyFont="1" applyFill="1" applyBorder="1" applyAlignment="1">
      <alignment horizontal="center" vertical="center"/>
    </xf>
    <xf numFmtId="0" fontId="164" fillId="33" borderId="92" xfId="0" applyFont="1" applyFill="1" applyBorder="1" applyAlignment="1">
      <alignment horizontal="center" vertical="center" wrapText="1"/>
    </xf>
    <xf numFmtId="0" fontId="164" fillId="33" borderId="93" xfId="0" applyFont="1" applyFill="1" applyBorder="1" applyAlignment="1">
      <alignment horizontal="center" vertical="center" wrapText="1"/>
    </xf>
    <xf numFmtId="0" fontId="160" fillId="33" borderId="79" xfId="0" applyFont="1" applyFill="1" applyBorder="1" applyAlignment="1">
      <alignment horizontal="center" vertical="center"/>
    </xf>
    <xf numFmtId="0" fontId="160" fillId="33" borderId="80" xfId="0" applyFont="1" applyFill="1" applyBorder="1" applyAlignment="1">
      <alignment horizontal="center" vertical="center"/>
    </xf>
    <xf numFmtId="49" fontId="153" fillId="33" borderId="98" xfId="0" applyNumberFormat="1" applyFont="1" applyFill="1" applyBorder="1" applyAlignment="1">
      <alignment horizontal="center" vertical="center"/>
    </xf>
    <xf numFmtId="49" fontId="153" fillId="33" borderId="99" xfId="0" applyNumberFormat="1" applyFont="1" applyFill="1" applyBorder="1" applyAlignment="1">
      <alignment horizontal="center" vertical="center"/>
    </xf>
    <xf numFmtId="0" fontId="160" fillId="33" borderId="87" xfId="0" applyFont="1" applyFill="1" applyBorder="1" applyAlignment="1">
      <alignment horizontal="center" vertical="center"/>
    </xf>
    <xf numFmtId="0" fontId="160" fillId="33" borderId="88" xfId="0" applyFont="1" applyFill="1" applyBorder="1" applyAlignment="1">
      <alignment horizontal="center" vertical="center"/>
    </xf>
    <xf numFmtId="49" fontId="153" fillId="33" borderId="102" xfId="0" applyNumberFormat="1" applyFont="1" applyFill="1" applyBorder="1" applyAlignment="1">
      <alignment horizontal="center" vertical="center"/>
    </xf>
    <xf numFmtId="49" fontId="153" fillId="33" borderId="102" xfId="0" applyNumberFormat="1" applyFont="1" applyFill="1" applyBorder="1" applyAlignment="1">
      <alignment horizontal="center" vertical="top" wrapText="1"/>
    </xf>
    <xf numFmtId="49" fontId="153" fillId="33" borderId="99" xfId="0" applyNumberFormat="1" applyFont="1" applyFill="1" applyBorder="1" applyAlignment="1">
      <alignment horizontal="center" vertical="top" wrapText="1"/>
    </xf>
    <xf numFmtId="0" fontId="160" fillId="33" borderId="79" xfId="0" applyFont="1" applyFill="1" applyBorder="1" applyAlignment="1">
      <alignment horizontal="left" vertical="center"/>
    </xf>
    <xf numFmtId="0" fontId="160" fillId="33" borderId="84" xfId="0" applyFont="1" applyFill="1" applyBorder="1" applyAlignment="1">
      <alignment horizontal="left" vertical="center"/>
    </xf>
    <xf numFmtId="0" fontId="162" fillId="33" borderId="79" xfId="0" applyFont="1" applyFill="1" applyBorder="1" applyAlignment="1">
      <alignment horizontal="left" vertical="center"/>
    </xf>
    <xf numFmtId="0" fontId="162" fillId="33" borderId="80" xfId="0" applyFont="1" applyFill="1" applyBorder="1" applyAlignment="1">
      <alignment horizontal="left" vertical="center"/>
    </xf>
    <xf numFmtId="49" fontId="153" fillId="33" borderId="98" xfId="0" applyNumberFormat="1" applyFont="1" applyFill="1" applyBorder="1" applyAlignment="1">
      <alignment horizontal="left" vertical="center"/>
    </xf>
    <xf numFmtId="49" fontId="153" fillId="33" borderId="99" xfId="0" applyNumberFormat="1" applyFont="1" applyFill="1" applyBorder="1" applyAlignment="1">
      <alignment horizontal="left" vertical="center"/>
    </xf>
    <xf numFmtId="0" fontId="160" fillId="33" borderId="83" xfId="0" applyFont="1" applyFill="1" applyBorder="1" applyAlignment="1">
      <alignment horizontal="left" vertical="center"/>
    </xf>
    <xf numFmtId="0" fontId="160" fillId="33" borderId="81" xfId="0" applyFont="1" applyFill="1" applyBorder="1" applyAlignment="1">
      <alignment horizontal="left" vertical="center"/>
    </xf>
    <xf numFmtId="0" fontId="161" fillId="33" borderId="79" xfId="0" applyFont="1" applyFill="1" applyBorder="1" applyAlignment="1">
      <alignment horizontal="left" vertical="center"/>
    </xf>
    <xf numFmtId="0" fontId="161" fillId="33" borderId="84" xfId="0" applyFont="1" applyFill="1" applyBorder="1" applyAlignment="1">
      <alignment horizontal="left" vertical="center"/>
    </xf>
    <xf numFmtId="0" fontId="153" fillId="33" borderId="78" xfId="0" applyFont="1" applyFill="1" applyBorder="1" applyAlignment="1">
      <alignment horizontal="center"/>
    </xf>
    <xf numFmtId="0" fontId="153" fillId="33" borderId="104" xfId="0" applyFont="1" applyFill="1" applyBorder="1" applyAlignment="1">
      <alignment horizontal="center"/>
    </xf>
    <xf numFmtId="0" fontId="157" fillId="33" borderId="18" xfId="0" applyFont="1" applyFill="1" applyBorder="1" applyAlignment="1">
      <alignment horizontal="left"/>
    </xf>
    <xf numFmtId="0" fontId="157" fillId="33" borderId="0" xfId="0" applyFont="1" applyFill="1" applyAlignment="1">
      <alignment horizontal="left"/>
    </xf>
    <xf numFmtId="0" fontId="157" fillId="33" borderId="37" xfId="0" applyFont="1" applyFill="1" applyBorder="1" applyAlignment="1">
      <alignment horizontal="left"/>
    </xf>
    <xf numFmtId="0" fontId="159" fillId="33" borderId="98" xfId="0" applyFont="1" applyFill="1" applyBorder="1" applyAlignment="1">
      <alignment horizontal="center" vertical="center"/>
    </xf>
    <xf numFmtId="0" fontId="159" fillId="33" borderId="102" xfId="0" applyFont="1" applyFill="1" applyBorder="1" applyAlignment="1">
      <alignment horizontal="center" vertical="center"/>
    </xf>
    <xf numFmtId="0" fontId="159" fillId="33" borderId="99" xfId="0" applyFont="1" applyFill="1" applyBorder="1" applyAlignment="1">
      <alignment horizontal="center" vertical="center"/>
    </xf>
    <xf numFmtId="0" fontId="157" fillId="33" borderId="98" xfId="0" applyFont="1" applyFill="1" applyBorder="1" applyAlignment="1">
      <alignment horizontal="center" vertical="center"/>
    </xf>
    <xf numFmtId="0" fontId="157" fillId="33" borderId="102" xfId="0" applyFont="1" applyFill="1" applyBorder="1" applyAlignment="1">
      <alignment horizontal="center" vertical="center"/>
    </xf>
    <xf numFmtId="0" fontId="157" fillId="33" borderId="103" xfId="0" applyFont="1" applyFill="1" applyBorder="1" applyAlignment="1">
      <alignment horizontal="center" vertical="center"/>
    </xf>
    <xf numFmtId="0" fontId="155" fillId="0" borderId="100" xfId="2669" applyFont="1" applyBorder="1" applyAlignment="1">
      <alignment horizontal="center" vertical="center"/>
    </xf>
    <xf numFmtId="0" fontId="155" fillId="0" borderId="98" xfId="2669" applyFont="1" applyBorder="1" applyAlignment="1">
      <alignment horizontal="center" vertical="center"/>
    </xf>
    <xf numFmtId="0" fontId="155" fillId="0" borderId="99" xfId="2669" applyFont="1" applyBorder="1" applyAlignment="1">
      <alignment horizontal="center" vertical="center"/>
    </xf>
    <xf numFmtId="0" fontId="155" fillId="0" borderId="98" xfId="2669" applyFont="1" applyBorder="1" applyAlignment="1">
      <alignment horizontal="center" vertical="center" wrapText="1"/>
    </xf>
    <xf numFmtId="0" fontId="155" fillId="0" borderId="99" xfId="2669" applyFont="1" applyBorder="1" applyAlignment="1">
      <alignment horizontal="center" vertical="center" wrapText="1"/>
    </xf>
    <xf numFmtId="0" fontId="154" fillId="35" borderId="76" xfId="0" applyFont="1" applyFill="1" applyBorder="1" applyAlignment="1">
      <alignment horizontal="center" vertical="center"/>
    </xf>
    <xf numFmtId="0" fontId="154" fillId="35" borderId="36" xfId="0" applyFont="1" applyFill="1" applyBorder="1" applyAlignment="1">
      <alignment horizontal="center" vertical="center"/>
    </xf>
    <xf numFmtId="0" fontId="154" fillId="35" borderId="43" xfId="0" applyFont="1" applyFill="1" applyBorder="1" applyAlignment="1">
      <alignment horizontal="center" vertical="center"/>
    </xf>
    <xf numFmtId="0" fontId="154" fillId="35" borderId="41" xfId="0" applyFont="1" applyFill="1" applyBorder="1" applyAlignment="1">
      <alignment horizontal="center" vertical="center"/>
    </xf>
    <xf numFmtId="0" fontId="154" fillId="35" borderId="42" xfId="0" applyFont="1" applyFill="1" applyBorder="1" applyAlignment="1">
      <alignment horizontal="center" vertical="center"/>
    </xf>
    <xf numFmtId="0" fontId="154" fillId="35" borderId="77" xfId="0" applyFont="1" applyFill="1" applyBorder="1" applyAlignment="1">
      <alignment horizontal="center" vertical="center"/>
    </xf>
    <xf numFmtId="0" fontId="166" fillId="35" borderId="0" xfId="1451" applyFont="1" applyFill="1" applyAlignment="1">
      <alignment horizontal="center" vertical="center"/>
    </xf>
    <xf numFmtId="0" fontId="169" fillId="0" borderId="0" xfId="1451" applyFont="1" applyAlignment="1">
      <alignment horizontal="left"/>
    </xf>
    <xf numFmtId="0" fontId="166" fillId="35" borderId="26" xfId="1451" applyFont="1" applyFill="1" applyBorder="1" applyAlignment="1">
      <alignment horizontal="center" vertical="center"/>
    </xf>
    <xf numFmtId="0" fontId="166" fillId="35" borderId="36" xfId="1451" applyFont="1" applyFill="1" applyBorder="1" applyAlignment="1">
      <alignment horizontal="center" vertical="center"/>
    </xf>
    <xf numFmtId="0" fontId="166" fillId="35" borderId="43" xfId="1451" applyFont="1" applyFill="1" applyBorder="1" applyAlignment="1">
      <alignment horizontal="center" vertical="center"/>
    </xf>
    <xf numFmtId="0" fontId="166" fillId="35" borderId="28" xfId="1451" applyFont="1" applyFill="1" applyBorder="1" applyAlignment="1">
      <alignment horizontal="center" vertical="center"/>
    </xf>
    <xf numFmtId="0" fontId="166" fillId="35" borderId="37" xfId="1451" applyFont="1" applyFill="1" applyBorder="1" applyAlignment="1">
      <alignment horizontal="center" vertical="center"/>
    </xf>
    <xf numFmtId="0" fontId="166" fillId="35" borderId="34" xfId="1451" applyFont="1" applyFill="1" applyBorder="1" applyAlignment="1">
      <alignment horizontal="center" vertical="center"/>
    </xf>
    <xf numFmtId="0" fontId="166" fillId="35" borderId="19" xfId="1451" applyFont="1" applyFill="1" applyBorder="1" applyAlignment="1">
      <alignment horizontal="center" vertical="center"/>
    </xf>
    <xf numFmtId="0" fontId="166" fillId="35" borderId="31" xfId="1451" applyFont="1" applyFill="1" applyBorder="1" applyAlignment="1">
      <alignment horizontal="center" vertical="center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21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4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7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4" xfId="3716" xr:uid="{345DC6EF-AEEA-487C-BFD4-FE87E25862AE}"/>
    <cellStyle name="Comma 65" xfId="3693" xr:uid="{B365CA5A-794C-4E90-B5FA-A6F25AA55161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68" xfId="3715" xr:uid="{99AE82A2-9CDF-427E-968E-EF6D93EAF998}"/>
    <cellStyle name="Comma 69" xfId="3695" xr:uid="{929BC684-EFC6-4ACF-AB41-E95A49DAED7D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0" xfId="3718" xr:uid="{722E6DDD-5507-401A-94C1-9A5567298810}"/>
    <cellStyle name="Comma 71" xfId="3696" xr:uid="{EF1A73F1-02D9-4C67-9944-18BAD2902041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8" xr:uid="{3EB6A169-5016-4A63-9058-D9C7E2BBC12C}"/>
    <cellStyle name="Normal 126 3" xfId="3433" xr:uid="{FF1C1214-6A69-4780-B1FC-3F2033DFC0F7}"/>
    <cellStyle name="Normal 126 4" xfId="3697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700" xr:uid="{E422D458-A3BD-45FE-8F31-99F3A5D04B8C}"/>
    <cellStyle name="Normal 134 3" xfId="3435" xr:uid="{BBB3AF98-FE7E-4A5D-980C-A11977824812}"/>
    <cellStyle name="Normal 134 4" xfId="3699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701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702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20" xr:uid="{7FF41EA3-334A-4C08-AAB3-A76CAE899332}"/>
    <cellStyle name="Normal 137 2 3" xfId="3440" xr:uid="{DBFED99F-F201-4435-8350-F0E0B590DF22}"/>
    <cellStyle name="Normal 137 2 4" xfId="3704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9" xr:uid="{74196348-F776-49FA-B22F-2C4A6C508258}"/>
    <cellStyle name="Normal 137 4" xfId="3439" xr:uid="{86D69212-888B-438F-A513-0E0FB5F5D9C4}"/>
    <cellStyle name="Normal 137 5" xfId="3703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7" xr:uid="{908EE8AE-05BC-421A-8F9E-6824FEAD3398}"/>
    <cellStyle name="Normal 2 5 2 3" xfId="3469" xr:uid="{AF499AF9-D28A-4666-877A-12C9AD201220}"/>
    <cellStyle name="Normal 2 5 2 4" xfId="3706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8" xr:uid="{9D7400C9-BA7F-47C4-8587-4AAD41B14224}"/>
    <cellStyle name="Normal 2 5 4" xfId="3468" xr:uid="{029ADF14-BBFF-4F5F-8B90-16227F6E7DA4}"/>
    <cellStyle name="Normal 2 5 5" xfId="3705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10" xr:uid="{E3F076F7-657C-43C2-81CD-380E7EBA2B1E}"/>
    <cellStyle name="Normal 4 5" xfId="3482" xr:uid="{993BBF43-BA77-40E7-9477-5E2DCDF0B1EF}"/>
    <cellStyle name="Normal 4 6" xfId="3709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12" xr:uid="{97E8DBCC-24CA-44AD-937E-62B83A8CB686}"/>
    <cellStyle name="Normal 8 4" xfId="3486" xr:uid="{58900736-645E-4E51-B2D2-7629F0A0E846}"/>
    <cellStyle name="Normal 8 5" xfId="3711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3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4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22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23" xr:uid="{1C9B1E2C-489A-46DE-B13B-7F3EF306E909}"/>
    <cellStyle name="Percent 21" xfId="3724" xr:uid="{8F7485B6-90EB-4CCF-A63F-907FFE8FBDF4}"/>
    <cellStyle name="Percent 22" xfId="3725" xr:uid="{CD40667E-83CA-4F56-80FC-96B814DB2A85}"/>
    <cellStyle name="Percent 23" xfId="3726" xr:uid="{9129D0AE-EA15-4378-8FBC-8682FB9DC331}"/>
    <cellStyle name="Percent 24" xfId="3727" xr:uid="{4B668EC6-C58B-4617-8B99-98D4D4F71B41}"/>
    <cellStyle name="Percent 25" xfId="3728" xr:uid="{C0181132-A5EA-41F8-9DF7-C92F2C80A589}"/>
    <cellStyle name="Percent 26" xfId="3729" xr:uid="{E1D85B7C-5BEF-43F2-91B6-C7A1FBF0EB65}"/>
    <cellStyle name="Percent 27" xfId="3730" xr:uid="{966DA157-5664-4984-AA77-229E1DA4E2C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0.71083365142626709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4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4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671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10915766" y="815040"/>
          <a:ext cx="1534175" cy="1777253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23</xdr:row>
      <xdr:rowOff>142875</xdr:rowOff>
    </xdr:from>
    <xdr:to>
      <xdr:col>19</xdr:col>
      <xdr:colOff>58833</xdr:colOff>
      <xdr:row>25</xdr:row>
      <xdr:rowOff>95250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F5FC0A7-CDD1-4366-AD43-834831DF6524}"/>
            </a:ext>
          </a:extLst>
        </xdr:cNvPr>
        <xdr:cNvSpPr/>
      </xdr:nvSpPr>
      <xdr:spPr>
        <a:xfrm>
          <a:off x="2257425" y="3676650"/>
          <a:ext cx="4583208" cy="2571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264584</xdr:colOff>
      <xdr:row>9</xdr:row>
      <xdr:rowOff>84667</xdr:rowOff>
    </xdr:from>
    <xdr:to>
      <xdr:col>14</xdr:col>
      <xdr:colOff>328084</xdr:colOff>
      <xdr:row>14</xdr:row>
      <xdr:rowOff>2116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A37F841C-0EC4-43BF-8B16-B17CF2E94983}"/>
            </a:ext>
          </a:extLst>
        </xdr:cNvPr>
        <xdr:cNvSpPr txBox="1"/>
      </xdr:nvSpPr>
      <xdr:spPr>
        <a:xfrm>
          <a:off x="4379384" y="1475317"/>
          <a:ext cx="825500" cy="68897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232832</xdr:colOff>
      <xdr:row>14</xdr:row>
      <xdr:rowOff>6885</xdr:rowOff>
    </xdr:from>
    <xdr:to>
      <xdr:col>14</xdr:col>
      <xdr:colOff>331786</xdr:colOff>
      <xdr:row>15</xdr:row>
      <xdr:rowOff>31750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23AE44B4-12ED-4C61-A521-49B639A5B302}"/>
            </a:ext>
          </a:extLst>
        </xdr:cNvPr>
        <xdr:cNvSpPr txBox="1"/>
      </xdr:nvSpPr>
      <xdr:spPr>
        <a:xfrm flipH="1">
          <a:off x="5109632" y="2169060"/>
          <a:ext cx="98954" cy="1772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10</xdr:col>
      <xdr:colOff>243416</xdr:colOff>
      <xdr:row>23</xdr:row>
      <xdr:rowOff>10583</xdr:rowOff>
    </xdr:from>
    <xdr:to>
      <xdr:col>16</xdr:col>
      <xdr:colOff>148167</xdr:colOff>
      <xdr:row>23</xdr:row>
      <xdr:rowOff>27517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9100932-43A3-4B10-9ACC-2ECE742A35EC}"/>
            </a:ext>
          </a:extLst>
        </xdr:cNvPr>
        <xdr:cNvCxnSpPr/>
      </xdr:nvCxnSpPr>
      <xdr:spPr>
        <a:xfrm flipH="1" flipV="1">
          <a:off x="3596216" y="3544358"/>
          <a:ext cx="2190751" cy="16934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22227</xdr:colOff>
      <xdr:row>21</xdr:row>
      <xdr:rowOff>8464</xdr:rowOff>
    </xdr:from>
    <xdr:to>
      <xdr:col>17</xdr:col>
      <xdr:colOff>165102</xdr:colOff>
      <xdr:row>22</xdr:row>
      <xdr:rowOff>65614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58EC057-3202-476E-936A-BA835994300F}"/>
            </a:ext>
          </a:extLst>
        </xdr:cNvPr>
        <xdr:cNvSpPr txBox="1"/>
      </xdr:nvSpPr>
      <xdr:spPr>
        <a:xfrm>
          <a:off x="5661027" y="3237439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  <xdr:twoCellAnchor>
    <xdr:from>
      <xdr:col>14</xdr:col>
      <xdr:colOff>265641</xdr:colOff>
      <xdr:row>22</xdr:row>
      <xdr:rowOff>52916</xdr:rowOff>
    </xdr:from>
    <xdr:to>
      <xdr:col>15</xdr:col>
      <xdr:colOff>14337</xdr:colOff>
      <xdr:row>23</xdr:row>
      <xdr:rowOff>22403</xdr:rowOff>
    </xdr:to>
    <xdr:grpSp>
      <xdr:nvGrpSpPr>
        <xdr:cNvPr id="72" name="Group 682">
          <a:extLst>
            <a:ext uri="{FF2B5EF4-FFF2-40B4-BE49-F238E27FC236}">
              <a16:creationId xmlns:a16="http://schemas.microsoft.com/office/drawing/2014/main" id="{73BA649F-8384-47CC-9D13-5FF8CB6CA51B}"/>
            </a:ext>
          </a:extLst>
        </xdr:cNvPr>
        <xdr:cNvGrpSpPr>
          <a:grpSpLocks/>
        </xdr:cNvGrpSpPr>
      </xdr:nvGrpSpPr>
      <xdr:grpSpPr bwMode="auto">
        <a:xfrm>
          <a:off x="5815541" y="3418416"/>
          <a:ext cx="1804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9D67621D-4096-465E-8046-53158982854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9DF01CF-E5C7-497F-8D2D-7BB5F55014C1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8905411-3550-4FFD-8FB4-1E58CC5824E5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3975123" y="93662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4549798" y="927100"/>
          <a:ext cx="2032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4321198" y="2067859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4311673" y="2234267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4321198" y="2400674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4321198" y="2567081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4051323" y="3527425"/>
          <a:ext cx="7874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4003698" y="4525870"/>
          <a:ext cx="317500" cy="144182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4597423" y="4549402"/>
          <a:ext cx="298450" cy="139700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4032273" y="522138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4645048" y="5211856"/>
          <a:ext cx="2413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16</xdr:col>
      <xdr:colOff>0</xdr:colOff>
      <xdr:row>24</xdr:row>
      <xdr:rowOff>10584</xdr:rowOff>
    </xdr:from>
    <xdr:to>
      <xdr:col>18</xdr:col>
      <xdr:colOff>317499</xdr:colOff>
      <xdr:row>29</xdr:row>
      <xdr:rowOff>63501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D3DF0C7-0A61-478F-8866-2480AA9FFB9E}"/>
            </a:ext>
          </a:extLst>
        </xdr:cNvPr>
        <xdr:cNvSpPr txBox="1"/>
      </xdr:nvSpPr>
      <xdr:spPr>
        <a:xfrm>
          <a:off x="5638800" y="3696759"/>
          <a:ext cx="1079499" cy="81491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chemeClr val="tx1"/>
              </a:solidFill>
            </a:rPr>
            <a:t>1 G312-A 50KVA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G312-A 100KVA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15</xdr:col>
      <xdr:colOff>151343</xdr:colOff>
      <xdr:row>21</xdr:row>
      <xdr:rowOff>46568</xdr:rowOff>
    </xdr:from>
    <xdr:to>
      <xdr:col>16</xdr:col>
      <xdr:colOff>37043</xdr:colOff>
      <xdr:row>22</xdr:row>
      <xdr:rowOff>32000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59075573-FDFC-4169-B9C8-F27A35F69385}"/>
            </a:ext>
          </a:extLst>
        </xdr:cNvPr>
        <xdr:cNvGrpSpPr>
          <a:grpSpLocks/>
        </xdr:cNvGrpSpPr>
      </xdr:nvGrpSpPr>
      <xdr:grpSpPr bwMode="auto">
        <a:xfrm>
          <a:off x="6133043" y="3259668"/>
          <a:ext cx="317500" cy="137832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5B3C4DC2-3D66-4CDF-9E07-8B7B7D8A6F23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28FF1AAD-68A3-4625-91F5-AB73634D445D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9EB80A5A-8F51-4B7B-9B60-A59ADC76FCE5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12</xdr:col>
      <xdr:colOff>262410</xdr:colOff>
      <xdr:row>20</xdr:row>
      <xdr:rowOff>132173</xdr:rowOff>
    </xdr:from>
    <xdr:to>
      <xdr:col>14</xdr:col>
      <xdr:colOff>284635</xdr:colOff>
      <xdr:row>23</xdr:row>
      <xdr:rowOff>5173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5E5B48DE-1BCC-4995-B242-3D0053B34302}"/>
            </a:ext>
          </a:extLst>
        </xdr:cNvPr>
        <xdr:cNvCxnSpPr>
          <a:stCxn id="73" idx="3"/>
          <a:endCxn id="160" idx="3"/>
        </xdr:cNvCxnSpPr>
      </xdr:nvCxnSpPr>
      <xdr:spPr>
        <a:xfrm flipH="1" flipV="1">
          <a:off x="4377210" y="3208748"/>
          <a:ext cx="784225" cy="3302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370417</xdr:colOff>
      <xdr:row>22</xdr:row>
      <xdr:rowOff>42333</xdr:rowOff>
    </xdr:from>
    <xdr:to>
      <xdr:col>12</xdr:col>
      <xdr:colOff>119113</xdr:colOff>
      <xdr:row>23</xdr:row>
      <xdr:rowOff>11820</xdr:rowOff>
    </xdr:to>
    <xdr:grpSp>
      <xdr:nvGrpSpPr>
        <xdr:cNvPr id="149" name="Group 682">
          <a:extLst>
            <a:ext uri="{FF2B5EF4-FFF2-40B4-BE49-F238E27FC236}">
              <a16:creationId xmlns:a16="http://schemas.microsoft.com/office/drawing/2014/main" id="{65E43617-A3C1-4225-9B00-198A734AA872}"/>
            </a:ext>
          </a:extLst>
        </xdr:cNvPr>
        <xdr:cNvGrpSpPr>
          <a:grpSpLocks/>
        </xdr:cNvGrpSpPr>
      </xdr:nvGrpSpPr>
      <xdr:grpSpPr bwMode="auto">
        <a:xfrm>
          <a:off x="4624917" y="3407833"/>
          <a:ext cx="180496" cy="121887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0" name="Oval 149">
            <a:extLst>
              <a:ext uri="{FF2B5EF4-FFF2-40B4-BE49-F238E27FC236}">
                <a16:creationId xmlns:a16="http://schemas.microsoft.com/office/drawing/2014/main" id="{9F3E7320-D7D4-4DF1-A95E-0C2380DFB51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30ED0748-0796-46FB-8C4C-069A0AF572A6}"/>
              </a:ext>
            </a:extLst>
          </xdr:cNvPr>
          <xdr:cNvCxnSpPr>
            <a:stCxn id="150" idx="1"/>
            <a:endCxn id="1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59F2CC90-440A-456A-BC0A-76C105E58953}"/>
              </a:ext>
            </a:extLst>
          </xdr:cNvPr>
          <xdr:cNvCxnSpPr>
            <a:stCxn id="150" idx="3"/>
            <a:endCxn id="1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84666</xdr:colOff>
      <xdr:row>13</xdr:row>
      <xdr:rowOff>52915</xdr:rowOff>
    </xdr:from>
    <xdr:to>
      <xdr:col>18</xdr:col>
      <xdr:colOff>352852</xdr:colOff>
      <xdr:row>15</xdr:row>
      <xdr:rowOff>121308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0B25ADF-BC43-4600-9485-831A3B5D730B}"/>
            </a:ext>
          </a:extLst>
        </xdr:cNvPr>
        <xdr:cNvSpPr txBox="1"/>
      </xdr:nvSpPr>
      <xdr:spPr>
        <a:xfrm>
          <a:off x="5342466" y="2062690"/>
          <a:ext cx="1411186" cy="37319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53 KVA PASKA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3X70+N70 mm2 = 60M</a:t>
          </a:r>
        </a:p>
      </xdr:txBody>
    </xdr:sp>
    <xdr:clientData/>
  </xdr:twoCellAnchor>
  <xdr:twoCellAnchor>
    <xdr:from>
      <xdr:col>14</xdr:col>
      <xdr:colOff>317500</xdr:colOff>
      <xdr:row>23</xdr:row>
      <xdr:rowOff>31750</xdr:rowOff>
    </xdr:from>
    <xdr:to>
      <xdr:col>15</xdr:col>
      <xdr:colOff>184150</xdr:colOff>
      <xdr:row>24</xdr:row>
      <xdr:rowOff>31750</xdr:rowOff>
    </xdr:to>
    <xdr:grpSp>
      <xdr:nvGrpSpPr>
        <xdr:cNvPr id="154" name="Group 118">
          <a:extLst>
            <a:ext uri="{FF2B5EF4-FFF2-40B4-BE49-F238E27FC236}">
              <a16:creationId xmlns:a16="http://schemas.microsoft.com/office/drawing/2014/main" id="{6D66C8B3-DA5F-49BF-83CC-D23791208434}"/>
            </a:ext>
          </a:extLst>
        </xdr:cNvPr>
        <xdr:cNvGrpSpPr>
          <a:grpSpLocks/>
        </xdr:cNvGrpSpPr>
      </xdr:nvGrpSpPr>
      <xdr:grpSpPr bwMode="auto">
        <a:xfrm>
          <a:off x="5867400" y="3549650"/>
          <a:ext cx="298450" cy="152400"/>
          <a:chOff x="12446976" y="4345782"/>
          <a:chExt cx="251864" cy="151026"/>
        </a:xfrm>
      </xdr:grpSpPr>
      <xdr:sp macro="" textlink="">
        <xdr:nvSpPr>
          <xdr:cNvPr id="155" name="Isosceles Triangle 154">
            <a:extLst>
              <a:ext uri="{FF2B5EF4-FFF2-40B4-BE49-F238E27FC236}">
                <a16:creationId xmlns:a16="http://schemas.microsoft.com/office/drawing/2014/main" id="{E73897A0-73E1-4334-BFB9-3FC2A8EFF9DA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6" name="Isosceles Triangle 155">
            <a:extLst>
              <a:ext uri="{FF2B5EF4-FFF2-40B4-BE49-F238E27FC236}">
                <a16:creationId xmlns:a16="http://schemas.microsoft.com/office/drawing/2014/main" id="{7DF24F27-6E5C-4366-B0EF-0364A4F44E2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57" name="Isosceles Triangle 156">
            <a:extLst>
              <a:ext uri="{FF2B5EF4-FFF2-40B4-BE49-F238E27FC236}">
                <a16:creationId xmlns:a16="http://schemas.microsoft.com/office/drawing/2014/main" id="{78454DCA-95D3-4A57-A813-C7718220F29F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14</xdr:col>
      <xdr:colOff>296333</xdr:colOff>
      <xdr:row>24</xdr:row>
      <xdr:rowOff>52917</xdr:rowOff>
    </xdr:from>
    <xdr:to>
      <xdr:col>16</xdr:col>
      <xdr:colOff>58208</xdr:colOff>
      <xdr:row>25</xdr:row>
      <xdr:rowOff>110067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7E88981-C00E-4677-B539-48C911AA450A}"/>
            </a:ext>
          </a:extLst>
        </xdr:cNvPr>
        <xdr:cNvSpPr txBox="1"/>
      </xdr:nvSpPr>
      <xdr:spPr>
        <a:xfrm>
          <a:off x="5173133" y="3739092"/>
          <a:ext cx="52387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12</xdr:col>
      <xdr:colOff>243416</xdr:colOff>
      <xdr:row>20</xdr:row>
      <xdr:rowOff>31750</xdr:rowOff>
    </xdr:from>
    <xdr:to>
      <xdr:col>12</xdr:col>
      <xdr:colOff>373112</xdr:colOff>
      <xdr:row>21</xdr:row>
      <xdr:rowOff>1236</xdr:rowOff>
    </xdr:to>
    <xdr:grpSp>
      <xdr:nvGrpSpPr>
        <xdr:cNvPr id="159" name="Group 682">
          <a:extLst>
            <a:ext uri="{FF2B5EF4-FFF2-40B4-BE49-F238E27FC236}">
              <a16:creationId xmlns:a16="http://schemas.microsoft.com/office/drawing/2014/main" id="{C40EAC13-4A58-40F9-A8FD-FB1077ED1253}"/>
            </a:ext>
          </a:extLst>
        </xdr:cNvPr>
        <xdr:cNvGrpSpPr>
          <a:grpSpLocks/>
        </xdr:cNvGrpSpPr>
      </xdr:nvGrpSpPr>
      <xdr:grpSpPr bwMode="auto">
        <a:xfrm>
          <a:off x="4929716" y="3092450"/>
          <a:ext cx="129696" cy="121886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BEBAD68D-D108-425D-B344-C7AAE70941D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E4B511C3-7721-4BD2-A36F-EFEDE7DE711E}"/>
              </a:ext>
            </a:extLst>
          </xdr:cNvPr>
          <xdr:cNvCxnSpPr>
            <a:stCxn id="160" idx="1"/>
            <a:endCxn id="16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1F90B01A-7615-4CA1-B337-BACEB2D99972}"/>
              </a:ext>
            </a:extLst>
          </xdr:cNvPr>
          <xdr:cNvCxnSpPr>
            <a:stCxn id="160" idx="3"/>
            <a:endCxn id="16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95250</xdr:colOff>
      <xdr:row>21</xdr:row>
      <xdr:rowOff>74086</xdr:rowOff>
    </xdr:from>
    <xdr:to>
      <xdr:col>13</xdr:col>
      <xdr:colOff>285750</xdr:colOff>
      <xdr:row>22</xdr:row>
      <xdr:rowOff>30943</xdr:rowOff>
    </xdr:to>
    <xdr:grpSp>
      <xdr:nvGrpSpPr>
        <xdr:cNvPr id="163" name="Group 33">
          <a:extLst>
            <a:ext uri="{FF2B5EF4-FFF2-40B4-BE49-F238E27FC236}">
              <a16:creationId xmlns:a16="http://schemas.microsoft.com/office/drawing/2014/main" id="{AC67B19C-2F57-48F4-AC2A-5D8C52411831}"/>
            </a:ext>
          </a:extLst>
        </xdr:cNvPr>
        <xdr:cNvGrpSpPr>
          <a:grpSpLocks/>
        </xdr:cNvGrpSpPr>
      </xdr:nvGrpSpPr>
      <xdr:grpSpPr bwMode="auto">
        <a:xfrm rot="1011365">
          <a:off x="5213350" y="3287186"/>
          <a:ext cx="190500" cy="109257"/>
          <a:chOff x="12267336" y="2379518"/>
          <a:chExt cx="192062" cy="99752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A135CAC2-F481-4366-BA84-C2E21C188C0B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F90A2F6C-8D1B-4AF2-A180-94DE2F2E1C5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92FB8A71-E8A9-41FB-B3A7-106618BDCE5D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E5F8457E-9095-4602-9477-FBE9274AF6B4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84668</xdr:colOff>
      <xdr:row>14</xdr:row>
      <xdr:rowOff>10585</xdr:rowOff>
    </xdr:from>
    <xdr:to>
      <xdr:col>14</xdr:col>
      <xdr:colOff>179918</xdr:colOff>
      <xdr:row>15</xdr:row>
      <xdr:rowOff>21168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DC77FF8D-49FC-4F4F-BE95-4D77DCBBD36C}"/>
            </a:ext>
          </a:extLst>
        </xdr:cNvPr>
        <xdr:cNvSpPr txBox="1"/>
      </xdr:nvSpPr>
      <xdr:spPr>
        <a:xfrm>
          <a:off x="4961468" y="2172760"/>
          <a:ext cx="95250" cy="162983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</a:t>
          </a:r>
        </a:p>
      </xdr:txBody>
    </xdr:sp>
    <xdr:clientData/>
  </xdr:twoCellAnchor>
  <xdr:twoCellAnchor>
    <xdr:from>
      <xdr:col>12</xdr:col>
      <xdr:colOff>262410</xdr:colOff>
      <xdr:row>14</xdr:row>
      <xdr:rowOff>89960</xdr:rowOff>
    </xdr:from>
    <xdr:to>
      <xdr:col>14</xdr:col>
      <xdr:colOff>84668</xdr:colOff>
      <xdr:row>20</xdr:row>
      <xdr:rowOff>48980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99DFA5E1-017B-4B00-82AE-6225EC167913}"/>
            </a:ext>
          </a:extLst>
        </xdr:cNvPr>
        <xdr:cNvCxnSpPr>
          <a:stCxn id="160" idx="1"/>
          <a:endCxn id="168" idx="1"/>
        </xdr:cNvCxnSpPr>
      </xdr:nvCxnSpPr>
      <xdr:spPr>
        <a:xfrm flipV="1">
          <a:off x="4377210" y="2252135"/>
          <a:ext cx="584258" cy="8734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169738</xdr:colOff>
      <xdr:row>16</xdr:row>
      <xdr:rowOff>105427</xdr:rowOff>
    </xdr:from>
    <xdr:to>
      <xdr:col>13</xdr:col>
      <xdr:colOff>274762</xdr:colOff>
      <xdr:row>17</xdr:row>
      <xdr:rowOff>147761</xdr:rowOff>
    </xdr:to>
    <xdr:grpSp>
      <xdr:nvGrpSpPr>
        <xdr:cNvPr id="170" name="Group 33">
          <a:extLst>
            <a:ext uri="{FF2B5EF4-FFF2-40B4-BE49-F238E27FC236}">
              <a16:creationId xmlns:a16="http://schemas.microsoft.com/office/drawing/2014/main" id="{69B40F72-E8EB-42A1-B854-3DA946D97D33}"/>
            </a:ext>
          </a:extLst>
        </xdr:cNvPr>
        <xdr:cNvGrpSpPr>
          <a:grpSpLocks/>
        </xdr:cNvGrpSpPr>
      </xdr:nvGrpSpPr>
      <xdr:grpSpPr bwMode="auto">
        <a:xfrm rot="17275771">
          <a:off x="5242983" y="2601382"/>
          <a:ext cx="194734" cy="105024"/>
          <a:chOff x="12267336" y="2379518"/>
          <a:chExt cx="192062" cy="99752"/>
        </a:xfrm>
      </xdr:grpSpPr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6DD5B69C-EEC0-425F-BE6A-11C335B657F4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64EA3993-3640-4062-9294-0DAEAAF54301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CB45C802-F717-4CC8-906C-1037827974CE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7C1D53A4-9B89-4CA1-8B52-EDB714441D4B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359834</xdr:colOff>
      <xdr:row>20</xdr:row>
      <xdr:rowOff>52918</xdr:rowOff>
    </xdr:from>
    <xdr:to>
      <xdr:col>14</xdr:col>
      <xdr:colOff>330489</xdr:colOff>
      <xdr:row>22</xdr:row>
      <xdr:rowOff>52916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674C735B-FE31-434B-901E-3E6DB0610999}"/>
            </a:ext>
          </a:extLst>
        </xdr:cNvPr>
        <xdr:cNvCxnSpPr>
          <a:endCxn id="73" idx="0"/>
        </xdr:cNvCxnSpPr>
      </xdr:nvCxnSpPr>
      <xdr:spPr>
        <a:xfrm>
          <a:off x="4474634" y="3129493"/>
          <a:ext cx="732655" cy="3047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373112</xdr:colOff>
      <xdr:row>15</xdr:row>
      <xdr:rowOff>22754</xdr:rowOff>
    </xdr:from>
    <xdr:to>
      <xdr:col>14</xdr:col>
      <xdr:colOff>295672</xdr:colOff>
      <xdr:row>20</xdr:row>
      <xdr:rowOff>90577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F5D283F3-3C23-4BD5-A46F-9EE0020026E0}"/>
            </a:ext>
          </a:extLst>
        </xdr:cNvPr>
        <xdr:cNvCxnSpPr>
          <a:stCxn id="160" idx="6"/>
        </xdr:cNvCxnSpPr>
      </xdr:nvCxnSpPr>
      <xdr:spPr>
        <a:xfrm flipV="1">
          <a:off x="4487912" y="2337329"/>
          <a:ext cx="684560" cy="82982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335491</xdr:colOff>
      <xdr:row>16</xdr:row>
      <xdr:rowOff>119592</xdr:rowOff>
    </xdr:from>
    <xdr:to>
      <xdr:col>14</xdr:col>
      <xdr:colOff>45508</xdr:colOff>
      <xdr:row>18</xdr:row>
      <xdr:rowOff>13759</xdr:rowOff>
    </xdr:to>
    <xdr:grpSp>
      <xdr:nvGrpSpPr>
        <xdr:cNvPr id="177" name="Group 28">
          <a:extLst>
            <a:ext uri="{FF2B5EF4-FFF2-40B4-BE49-F238E27FC236}">
              <a16:creationId xmlns:a16="http://schemas.microsoft.com/office/drawing/2014/main" id="{CE33288C-8F5D-4C05-BDAB-D3B286A3CEAB}"/>
            </a:ext>
          </a:extLst>
        </xdr:cNvPr>
        <xdr:cNvGrpSpPr>
          <a:grpSpLocks/>
        </xdr:cNvGrpSpPr>
      </xdr:nvGrpSpPr>
      <xdr:grpSpPr bwMode="auto">
        <a:xfrm rot="17968288">
          <a:off x="5425016" y="2599267"/>
          <a:ext cx="198967" cy="141817"/>
          <a:chOff x="12267508" y="2212225"/>
          <a:chExt cx="192931" cy="101137"/>
        </a:xfrm>
      </xdr:grpSpPr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4598F3D9-1908-450C-A590-EF117ECCE93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3D96E2F7-A0B0-448F-80CB-033B34576AC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6E2A861-6C7D-4B98-8C0E-068DDD4C655E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311B5C4C-7490-46CE-8671-FFA54BDAF6C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306916</xdr:colOff>
      <xdr:row>21</xdr:row>
      <xdr:rowOff>21167</xdr:rowOff>
    </xdr:from>
    <xdr:to>
      <xdr:col>14</xdr:col>
      <xdr:colOff>116416</xdr:colOff>
      <xdr:row>21</xdr:row>
      <xdr:rowOff>112184</xdr:rowOff>
    </xdr:to>
    <xdr:grpSp>
      <xdr:nvGrpSpPr>
        <xdr:cNvPr id="182" name="Group 28">
          <a:extLst>
            <a:ext uri="{FF2B5EF4-FFF2-40B4-BE49-F238E27FC236}">
              <a16:creationId xmlns:a16="http://schemas.microsoft.com/office/drawing/2014/main" id="{223E11F0-61BA-4198-AC6C-07D54A5A9E6A}"/>
            </a:ext>
          </a:extLst>
        </xdr:cNvPr>
        <xdr:cNvGrpSpPr>
          <a:grpSpLocks/>
        </xdr:cNvGrpSpPr>
      </xdr:nvGrpSpPr>
      <xdr:grpSpPr bwMode="auto">
        <a:xfrm>
          <a:off x="5425016" y="3234267"/>
          <a:ext cx="241300" cy="91017"/>
          <a:chOff x="12267508" y="2212225"/>
          <a:chExt cx="192931" cy="101137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3E19DCA9-09DD-4820-93D7-38FBE362703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C6CB5C41-4B28-4D90-8695-6C9DA50BB84A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1B40A141-9D5A-4C33-8461-5E47B1F8E02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91D75AE3-402F-4D67-8FC8-E7226717954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296334</xdr:colOff>
      <xdr:row>23</xdr:row>
      <xdr:rowOff>42334</xdr:rowOff>
    </xdr:from>
    <xdr:to>
      <xdr:col>15</xdr:col>
      <xdr:colOff>148167</xdr:colOff>
      <xdr:row>24</xdr:row>
      <xdr:rowOff>127000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B28B1674-5516-4F2D-B233-618F1D40C0FE}"/>
            </a:ext>
          </a:extLst>
        </xdr:cNvPr>
        <xdr:cNvCxnSpPr/>
      </xdr:nvCxnSpPr>
      <xdr:spPr>
        <a:xfrm flipV="1">
          <a:off x="5173134" y="3576109"/>
          <a:ext cx="232833" cy="237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317500</xdr:colOff>
      <xdr:row>23</xdr:row>
      <xdr:rowOff>74084</xdr:rowOff>
    </xdr:from>
    <xdr:to>
      <xdr:col>15</xdr:col>
      <xdr:colOff>179916</xdr:colOff>
      <xdr:row>24</xdr:row>
      <xdr:rowOff>127000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E09007D6-5CF6-4361-A51B-9D14F60448A4}"/>
            </a:ext>
          </a:extLst>
        </xdr:cNvPr>
        <xdr:cNvCxnSpPr/>
      </xdr:nvCxnSpPr>
      <xdr:spPr>
        <a:xfrm>
          <a:off x="5194300" y="36078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127000</xdr:colOff>
      <xdr:row>21</xdr:row>
      <xdr:rowOff>127000</xdr:rowOff>
    </xdr:from>
    <xdr:to>
      <xdr:col>14</xdr:col>
      <xdr:colOff>95249</xdr:colOff>
      <xdr:row>22</xdr:row>
      <xdr:rowOff>84666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C3FF4D7F-775A-488D-9735-45E69844D6AD}"/>
            </a:ext>
          </a:extLst>
        </xdr:cNvPr>
        <xdr:cNvCxnSpPr/>
      </xdr:nvCxnSpPr>
      <xdr:spPr>
        <a:xfrm flipV="1">
          <a:off x="4622800" y="3355975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264583</xdr:colOff>
      <xdr:row>21</xdr:row>
      <xdr:rowOff>95250</xdr:rowOff>
    </xdr:from>
    <xdr:to>
      <xdr:col>14</xdr:col>
      <xdr:colOff>126999</xdr:colOff>
      <xdr:row>23</xdr:row>
      <xdr:rowOff>0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759521D9-8220-4208-88B8-B4E987780128}"/>
            </a:ext>
          </a:extLst>
        </xdr:cNvPr>
        <xdr:cNvCxnSpPr/>
      </xdr:nvCxnSpPr>
      <xdr:spPr>
        <a:xfrm>
          <a:off x="4760383" y="3324225"/>
          <a:ext cx="243416" cy="209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338667</xdr:colOff>
      <xdr:row>17</xdr:row>
      <xdr:rowOff>52917</xdr:rowOff>
    </xdr:from>
    <xdr:to>
      <xdr:col>13</xdr:col>
      <xdr:colOff>201083</xdr:colOff>
      <xdr:row>18</xdr:row>
      <xdr:rowOff>105833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A6D198E4-3A7F-420A-B1F3-C7912C2B7053}"/>
            </a:ext>
          </a:extLst>
        </xdr:cNvPr>
        <xdr:cNvCxnSpPr/>
      </xdr:nvCxnSpPr>
      <xdr:spPr>
        <a:xfrm>
          <a:off x="4453467" y="2672292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243417</xdr:colOff>
      <xdr:row>17</xdr:row>
      <xdr:rowOff>137583</xdr:rowOff>
    </xdr:from>
    <xdr:to>
      <xdr:col>13</xdr:col>
      <xdr:colOff>211666</xdr:colOff>
      <xdr:row>18</xdr:row>
      <xdr:rowOff>95249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6040C3B4-EE44-4B0F-8A03-290C426E470C}"/>
            </a:ext>
          </a:extLst>
        </xdr:cNvPr>
        <xdr:cNvCxnSpPr/>
      </xdr:nvCxnSpPr>
      <xdr:spPr>
        <a:xfrm flipV="1">
          <a:off x="4358217" y="2756958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232834</xdr:colOff>
      <xdr:row>14</xdr:row>
      <xdr:rowOff>52917</xdr:rowOff>
    </xdr:from>
    <xdr:to>
      <xdr:col>14</xdr:col>
      <xdr:colOff>201083</xdr:colOff>
      <xdr:row>15</xdr:row>
      <xdr:rowOff>10583</xdr:rowOff>
    </xdr:to>
    <xdr:cxnSp macro="">
      <xdr:nvCxnSpPr>
        <xdr:cNvPr id="193" name="Straight Connector 192">
          <a:extLst>
            <a:ext uri="{FF2B5EF4-FFF2-40B4-BE49-F238E27FC236}">
              <a16:creationId xmlns:a16="http://schemas.microsoft.com/office/drawing/2014/main" id="{97134698-864E-46EA-9633-854E45D99A3E}"/>
            </a:ext>
          </a:extLst>
        </xdr:cNvPr>
        <xdr:cNvCxnSpPr/>
      </xdr:nvCxnSpPr>
      <xdr:spPr>
        <a:xfrm flipV="1">
          <a:off x="4728634" y="2215092"/>
          <a:ext cx="349249" cy="1100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338667</xdr:colOff>
      <xdr:row>14</xdr:row>
      <xdr:rowOff>10584</xdr:rowOff>
    </xdr:from>
    <xdr:to>
      <xdr:col>14</xdr:col>
      <xdr:colOff>201083</xdr:colOff>
      <xdr:row>15</xdr:row>
      <xdr:rowOff>63500</xdr:rowOff>
    </xdr:to>
    <xdr:cxnSp macro="">
      <xdr:nvCxnSpPr>
        <xdr:cNvPr id="194" name="Straight Connector 193">
          <a:extLst>
            <a:ext uri="{FF2B5EF4-FFF2-40B4-BE49-F238E27FC236}">
              <a16:creationId xmlns:a16="http://schemas.microsoft.com/office/drawing/2014/main" id="{7FD11DDB-5AC0-41E7-81B0-35384531628F}"/>
            </a:ext>
          </a:extLst>
        </xdr:cNvPr>
        <xdr:cNvCxnSpPr/>
      </xdr:nvCxnSpPr>
      <xdr:spPr>
        <a:xfrm>
          <a:off x="4834467" y="2172759"/>
          <a:ext cx="243416" cy="20531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370416</xdr:colOff>
      <xdr:row>25</xdr:row>
      <xdr:rowOff>95250</xdr:rowOff>
    </xdr:from>
    <xdr:to>
      <xdr:col>18</xdr:col>
      <xdr:colOff>221588</xdr:colOff>
      <xdr:row>25</xdr:row>
      <xdr:rowOff>96838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888D9553-474E-4063-8F65-3722255FC71C}"/>
            </a:ext>
          </a:extLst>
        </xdr:cNvPr>
        <xdr:cNvCxnSpPr/>
      </xdr:nvCxnSpPr>
      <xdr:spPr>
        <a:xfrm>
          <a:off x="5628216" y="3933825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24</xdr:row>
      <xdr:rowOff>95251</xdr:rowOff>
    </xdr:from>
    <xdr:to>
      <xdr:col>18</xdr:col>
      <xdr:colOff>263922</xdr:colOff>
      <xdr:row>24</xdr:row>
      <xdr:rowOff>96839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F7FB5E45-6B80-4382-8E94-8B713B22890E}"/>
            </a:ext>
          </a:extLst>
        </xdr:cNvPr>
        <xdr:cNvCxnSpPr/>
      </xdr:nvCxnSpPr>
      <xdr:spPr>
        <a:xfrm>
          <a:off x="5670550" y="378142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232832</xdr:colOff>
      <xdr:row>19</xdr:row>
      <xdr:rowOff>116416</xdr:rowOff>
    </xdr:from>
    <xdr:to>
      <xdr:col>14</xdr:col>
      <xdr:colOff>375707</xdr:colOff>
      <xdr:row>21</xdr:row>
      <xdr:rowOff>25400</xdr:rowOff>
    </xdr:to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C5022A2A-C366-43FF-AF42-F838C3B997FD}"/>
            </a:ext>
          </a:extLst>
        </xdr:cNvPr>
        <xdr:cNvSpPr txBox="1"/>
      </xdr:nvSpPr>
      <xdr:spPr>
        <a:xfrm rot="1693368">
          <a:off x="4728632" y="3040591"/>
          <a:ext cx="523875" cy="213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50M</a:t>
          </a:r>
        </a:p>
      </xdr:txBody>
    </xdr:sp>
    <xdr:clientData/>
  </xdr:twoCellAnchor>
  <xdr:twoCellAnchor>
    <xdr:from>
      <xdr:col>10</xdr:col>
      <xdr:colOff>317501</xdr:colOff>
      <xdr:row>19</xdr:row>
      <xdr:rowOff>21166</xdr:rowOff>
    </xdr:from>
    <xdr:to>
      <xdr:col>12</xdr:col>
      <xdr:colOff>137583</xdr:colOff>
      <xdr:row>21</xdr:row>
      <xdr:rowOff>31750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4E9CDCB-9489-475E-9190-F21FD39753B2}"/>
            </a:ext>
          </a:extLst>
        </xdr:cNvPr>
        <xdr:cNvSpPr txBox="1"/>
      </xdr:nvSpPr>
      <xdr:spPr>
        <a:xfrm>
          <a:off x="3670301" y="2945341"/>
          <a:ext cx="582082" cy="31538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2 CJ6-T</a:t>
          </a:r>
        </a:p>
      </xdr:txBody>
    </xdr:sp>
    <xdr:clientData/>
  </xdr:twoCellAnchor>
  <xdr:twoCellAnchor>
    <xdr:from>
      <xdr:col>10</xdr:col>
      <xdr:colOff>285750</xdr:colOff>
      <xdr:row>20</xdr:row>
      <xdr:rowOff>86256</xdr:rowOff>
    </xdr:from>
    <xdr:to>
      <xdr:col>12</xdr:col>
      <xdr:colOff>147506</xdr:colOff>
      <xdr:row>20</xdr:row>
      <xdr:rowOff>116418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2DC5AFE4-789F-420F-8670-C7A027E8C701}"/>
            </a:ext>
          </a:extLst>
        </xdr:cNvPr>
        <xdr:cNvCxnSpPr/>
      </xdr:nvCxnSpPr>
      <xdr:spPr>
        <a:xfrm flipV="1">
          <a:off x="3638550" y="3162831"/>
          <a:ext cx="623756" cy="301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86591</xdr:colOff>
      <xdr:row>52</xdr:row>
      <xdr:rowOff>34636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3B64E5-0C22-4ADD-A7DB-D9964E507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276350"/>
          <a:ext cx="11802341" cy="73212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10</xdr:row>
      <xdr:rowOff>0</xdr:rowOff>
    </xdr:from>
    <xdr:to>
      <xdr:col>28</xdr:col>
      <xdr:colOff>0</xdr:colOff>
      <xdr:row>68</xdr:row>
      <xdr:rowOff>86591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95C85-DF53-43B7-AEF7-9509337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1562100"/>
          <a:ext cx="14344650" cy="94020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unjun.baheransyah/Downloads/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5" style="139" customWidth="1"/>
    <col min="4" max="4" width="12.5" style="139" customWidth="1"/>
    <col min="5" max="5" width="8.6640625" style="116" customWidth="1"/>
    <col min="6" max="6" width="12.5" style="116" customWidth="1"/>
    <col min="7" max="7" width="12.6640625" style="116" customWidth="1"/>
    <col min="8" max="8" width="20.6640625" style="117" hidden="1" customWidth="1"/>
    <col min="9" max="9" width="24.6640625" style="117" hidden="1" customWidth="1"/>
    <col min="10" max="10" width="45.6640625" style="117" hidden="1" customWidth="1"/>
    <col min="11" max="12" width="18.5" style="117" hidden="1" customWidth="1"/>
    <col min="13" max="16384" width="9.1640625" style="118"/>
  </cols>
  <sheetData>
    <row r="1" spans="1:12">
      <c r="C1" s="114" t="s">
        <v>982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1105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32</v>
      </c>
      <c r="E7" s="527" t="s">
        <v>33</v>
      </c>
      <c r="F7" s="527" t="s">
        <v>1106</v>
      </c>
      <c r="G7" s="528" t="s">
        <v>31</v>
      </c>
      <c r="H7" s="524" t="s">
        <v>1013</v>
      </c>
      <c r="I7" s="524" t="s">
        <v>1108</v>
      </c>
      <c r="J7" s="524" t="s">
        <v>997</v>
      </c>
      <c r="K7" s="518" t="s">
        <v>995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1006</v>
      </c>
      <c r="C11" s="131" t="s">
        <v>1107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2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100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56838600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110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16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 ht="16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 ht="16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 ht="16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 ht="16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SUMIFS(RAB!$F$14:$F$143,RAB!$C$14:$C$143,C714)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SUMIFS(RAB!$F$14:$F$143,RAB!$C$14:$C$143,C715)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SUMIFS(RAB!$F$14:$F$143,RAB!$C$14:$C$143,C716)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SUMIFS(RAB!$F$14:$F$143,RAB!$C$14:$C$143,C717)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SUMIFS(RAB!$F$14:$F$143,RAB!$C$14:$C$143,C718)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SUMIFS(RAB!$F$14:$F$143,RAB!$C$14:$C$143,C719)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SUMIFS(RAB!$F$14:$F$143,RAB!$C$14:$C$143,C720)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SUMIFS(RAB!$F$14:$F$143,RAB!$C$14:$C$143,C721)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SUMIFS(RAB!$F$14:$F$143,RAB!$C$14:$C$143,C722)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SUMIFS(RAB!$F$14:$F$143,RAB!$C$14:$C$143,C723)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SUMIFS(RAB!$F$14:$F$143,RAB!$C$14:$C$143,C724)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SUMIFS(RAB!$F$14:$F$143,RAB!$C$14:$C$143,C725)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SUMIFS(RAB!$F$14:$F$143,RAB!$C$14:$C$143,C726)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SUMIFS(RAB!$F$14:$F$143,RAB!$C$14:$C$143,C727)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SUMIFS(RAB!$F$14:$F$143,RAB!$C$14:$C$143,C728)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SUMIFS(RAB!$F$14:$F$143,RAB!$C$14:$C$143,C729)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SUMIFS(RAB!$F$14:$F$143,RAB!$C$14:$C$143,C730)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SUMIFS(RAB!$F$14:$F$143,RAB!$C$14:$C$143,C731)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SUMIFS(RAB!$F$14:$F$143,RAB!$C$14:$C$143,C732)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SUMIFS(RAB!$F$14:$F$143,RAB!$C$14:$C$143,C733)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SUMIFS(RAB!$F$14:$F$143,RAB!$C$14:$C$143,C734)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SUMIFS(RAB!$F$14:$F$143,RAB!$C$14:$C$143,C735)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SUMIFS(RAB!$F$14:$F$143,RAB!$C$14:$C$143,C736)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SUMIFS(RAB!$F$14:$F$143,RAB!$C$14:$C$143,C737)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SUMIFS(RAB!$F$14:$F$143,RAB!$C$14:$C$143,C738)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SUMIFS(RAB!$F$14:$F$143,RAB!$C$14:$C$143,C739)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SUMIFS(RAB!$F$14:$F$143,RAB!$C$14:$C$143,C740)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SUMIFS(RAB!$F$14:$F$143,RAB!$C$14:$C$143,C741)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SUMIFS(RAB!$F$14:$F$143,RAB!$C$14:$C$143,C742)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SUMIFS(RAB!$F$14:$F$143,RAB!$C$14:$C$143,C743)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SUMIFS(RAB!$F$14:$F$143,RAB!$C$14:$C$143,C744)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SUMIFS(RAB!$F$14:$F$143,RAB!$C$14:$C$143,C745)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SUMIFS(RAB!$F$14:$F$143,RAB!$C$14:$C$143,C746)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SUMIFS(RAB!$F$14:$F$143,RAB!$C$14:$C$143,C747)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SUMIFS(RAB!$F$14:$F$143,RAB!$C$14:$C$143,C748)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SUMIFS(RAB!$F$14:$F$143,RAB!$C$14:$C$143,C749)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SUMIFS(RAB!$F$14:$F$143,RAB!$C$14:$C$143,C750)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SUMIFS(RAB!$F$14:$F$143,RAB!$C$14:$C$143,C751)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SUMIFS(RAB!$F$14:$F$143,RAB!$C$14:$C$143,C752)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SUMIFS(RAB!$F$14:$F$143,RAB!$C$14:$C$143,C753)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SUMIFS(RAB!$F$14:$F$143,RAB!$C$14:$C$143,C754)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SUMIFS(RAB!$F$14:$F$143,RAB!$C$14:$C$143,C755)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SUMIFS(RAB!$F$14:$F$143,RAB!$C$14:$C$143,C756)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SUMIFS(RAB!$F$14:$F$143,RAB!$C$14:$C$143,C757)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SUMIFS(RAB!$F$14:$F$143,RAB!$C$14:$C$143,C758)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SUMIFS(RAB!$F$14:$F$143,RAB!$C$14:$C$143,C759)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SUMIFS(RAB!$F$14:$F$143,RAB!$C$14:$C$143,C760)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SUMIFS(RAB!$F$14:$F$143,RAB!$C$14:$C$143,C761)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SUMIFS(RAB!$F$14:$F$143,RAB!$C$14:$C$143,C762)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SUMIFS(RAB!$F$14:$F$143,RAB!$C$14:$C$143,C763)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SUMIFS(RAB!$F$14:$F$143,RAB!$C$14:$C$143,C764)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SUMIFS(RAB!$F$14:$F$143,RAB!$C$14:$C$143,C765)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SUMIFS(RAB!$F$14:$F$143,RAB!$C$14:$C$143,C766)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SUMIFS(RAB!$F$14:$F$143,RAB!$C$14:$C$143,C767)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SUMIFS(RAB!$F$14:$F$143,RAB!$C$14:$C$143,C768)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SUMIFS(RAB!$F$14:$F$143,RAB!$C$14:$C$143,C769)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SUMIFS(RAB!$F$14:$F$143,RAB!$C$14:$C$143,C770)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SUMIFS(RAB!$F$14:$F$143,RAB!$C$14:$C$143,C771)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SUMIFS(RAB!$F$14:$F$143,RAB!$C$14:$C$143,C772)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SUMIFS(RAB!$F$14:$F$143,RAB!$C$14:$C$143,C773)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SUMIFS(RAB!$F$14:$F$143,RAB!$C$14:$C$143,C774)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SUMIFS(RAB!$F$14:$F$143,RAB!$C$14:$C$143,C775)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SUMIFS(RAB!$F$14:$F$143,RAB!$C$14:$C$143,C776)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SUMIFS(RAB!$F$14:$F$143,RAB!$C$14:$C$143,C777)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SUMIFS(RAB!$F$14:$F$143,RAB!$C$14:$C$143,C778)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SUMIFS(RAB!$F$14:$F$143,RAB!$C$14:$C$143,C779)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SUMIFS(RAB!$F$14:$F$143,RAB!$C$14:$C$143,C780)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SUMIFS(RAB!$F$14:$F$143,RAB!$C$14:$C$143,C781)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SUMIFS(RAB!$F$14:$F$143,RAB!$C$14:$C$143,C782)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SUMIFS(RAB!$F$14:$F$143,RAB!$C$14:$C$143,C783)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SUMIFS(RAB!$F$14:$F$143,RAB!$C$14:$C$143,C784)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SUMIFS(RAB!$F$14:$F$143,RAB!$C$14:$C$143,C785)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SUMIFS(RAB!$F$14:$F$143,RAB!$C$14:$C$143,C786)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SUMIFS(RAB!$F$14:$F$143,RAB!$C$14:$C$143,C787)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SUMIFS(RAB!$F$14:$F$143,RAB!$C$14:$C$143,C788)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SUMIFS(RAB!$F$14:$F$143,RAB!$C$14:$C$143,C789)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SUMIFS(RAB!$F$14:$F$143,RAB!$C$14:$C$143,C790)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SUMIFS(RAB!$F$14:$F$143,RAB!$C$14:$C$143,C791)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SUMIFS(RAB!$F$14:$F$143,RAB!$C$14:$C$143,C792)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SUMIFS(RAB!$F$14:$F$143,RAB!$C$14:$C$143,C793)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SUMIFS(RAB!$F$14:$F$143,RAB!$C$14:$C$143,C794)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SUMIFS(RAB!$F$14:$F$143,RAB!$C$14:$C$143,C795)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SUMIFS(RAB!$F$14:$F$143,RAB!$C$14:$C$143,C796)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SUMIFS(RAB!$F$14:$F$143,RAB!$C$14:$C$143,C797)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SUMIFS(RAB!$F$14:$F$143,RAB!$C$14:$C$143,C798)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SUMIFS(RAB!$F$14:$F$143,RAB!$C$14:$C$143,C799)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SUMIFS(RAB!$F$14:$F$143,RAB!$C$14:$C$143,C800)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SUMIFS(RAB!$F$14:$F$143,RAB!$C$14:$C$143,C801)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SUMIFS(RAB!$F$14:$F$143,RAB!$C$14:$C$143,C802)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SUMIFS(RAB!$F$14:$F$143,RAB!$C$14:$C$143,C803)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SUMIFS(RAB!$F$14:$F$143,RAB!$C$14:$C$143,C804)</f>
        <v>1</v>
      </c>
      <c r="E804" s="26">
        <f t="shared" ca="1" si="34"/>
        <v>1</v>
      </c>
      <c r="F804" s="26">
        <f ca="1">IF(D804=0,0,SUM($E$713:E804))</f>
        <v>2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SUMIFS(RAB!$F$14:$F$143,RAB!$C$14:$C$143,C805)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SUMIFS(RAB!$F$14:$F$143,RAB!$C$14:$C$143,C806)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SUMIFS(RAB!$F$14:$F$143,RAB!$C$14:$C$143,C807)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SUMIFS(RAB!$F$14:$F$143,RAB!$C$14:$C$143,C808)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SUMIFS(RAB!$F$14:$F$143,RAB!$C$14:$C$143,C809)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SUMIFS(RAB!$F$14:$F$143,RAB!$C$14:$C$143,C810)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SUMIFS(RAB!$F$14:$F$143,RAB!$C$14:$C$143,C811)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SUMIFS(RAB!$F$14:$F$143,RAB!$C$14:$C$143,C812)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SUMIFS(RAB!$F$14:$F$143,RAB!$C$14:$C$143,C813)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SUMIFS(RAB!$F$14:$F$143,RAB!$C$14:$C$143,C814)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SUMIFS(RAB!$F$14:$F$143,RAB!$C$14:$C$143,C815)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SUMIFS(RAB!$F$14:$F$143,RAB!$C$14:$C$143,C816)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SUMIFS(RAB!$F$14:$F$143,RAB!$C$14:$C$143,C817)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SUMIFS(RAB!$F$14:$F$143,RAB!$C$14:$C$143,C818)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SUMIFS(RAB!$F$14:$F$143,RAB!$C$14:$C$143,C819)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SUMIFS(RAB!$F$14:$F$143,RAB!$C$14:$C$143,C820)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SUMIFS(RAB!$F$14:$F$143,RAB!$C$14:$C$143,C821)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SUMIFS(RAB!$F$14:$F$143,RAB!$C$14:$C$143,C822)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SUMIFS(RAB!$F$14:$F$143,RAB!$C$14:$C$143,C823)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SUMIFS(RAB!$F$14:$F$143,RAB!$C$14:$C$143,C824)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SUMIFS(RAB!$F$14:$F$143,RAB!$C$14:$C$143,C825)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SUMIFS(RAB!$F$14:$F$143,RAB!$C$14:$C$143,C826)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SUMIFS(RAB!$F$14:$F$143,RAB!$C$14:$C$143,C827)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SUMIFS(RAB!$F$14:$F$143,RAB!$C$14:$C$143,C828)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SUMIFS(RAB!$F$14:$F$143,RAB!$C$14:$C$143,C829)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SUMIFS(RAB!$F$14:$F$143,RAB!$C$14:$C$143,C830)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SUMIFS(RAB!$F$14:$F$143,RAB!$C$14:$C$143,C831)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SUMIFS(RAB!$F$14:$F$143,RAB!$C$14:$C$143,C832)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SUMIFS(RAB!$F$14:$F$143,RAB!$C$14:$C$143,C833)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SUMIFS(RAB!$F$14:$F$143,RAB!$C$14:$C$143,C834)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SUMIFS(RAB!$F$14:$F$143,RAB!$C$14:$C$143,C835)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SUMIFS(RAB!$F$14:$F$143,RAB!$C$14:$C$143,C836)</f>
        <v>110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SUMIFS(RAB!$F$14:$F$143,RAB!$C$14:$C$143,C837)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SUMIFS(RAB!$F$14:$F$143,RAB!$C$14:$C$143,C838)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SUMIFS(RAB!$F$14:$F$143,RAB!$C$14:$C$143,C839)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SUMIFS(RAB!$F$14:$F$143,RAB!$C$14:$C$143,C840)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SUMIFS(RAB!$F$14:$F$143,RAB!$C$14:$C$143,C841)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SUMIFS(RAB!$F$14:$F$143,RAB!$C$14:$C$143,C842)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SUMIFS(RAB!$F$14:$F$143,RAB!$C$14:$C$143,C843)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SUMIFS(RAB!$F$14:$F$143,RAB!$C$14:$C$143,C844)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SUMIFS(RAB!$F$14:$F$143,RAB!$C$14:$C$143,C845)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SUMIFS(RAB!$F$14:$F$143,RAB!$C$14:$C$143,C846)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SUMIFS(RAB!$F$14:$F$143,RAB!$C$14:$C$143,C847)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SUMIFS(RAB!$F$14:$F$143,RAB!$C$14:$C$143,C848)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SUMIFS(RAB!$F$14:$F$143,RAB!$C$14:$C$143,C849)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SUMIFS(RAB!$F$14:$F$143,RAB!$C$14:$C$143,C850)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SUMIFS(RAB!$F$14:$F$143,RAB!$C$14:$C$143,C851)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SUMIFS(RAB!$F$14:$F$143,RAB!$C$14:$C$143,C852)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SUMIFS(RAB!$F$14:$F$143,RAB!$C$14:$C$143,C853)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SUMIFS(RAB!$F$14:$F$143,RAB!$C$14:$C$143,C854)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SUMIFS(RAB!$F$14:$F$143,RAB!$C$14:$C$143,C855)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SUMIFS(RAB!$F$14:$F$143,RAB!$C$14:$C$143,C856)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SUMIFS(RAB!$F$14:$F$143,RAB!$C$14:$C$143,C857)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SUMIFS(RAB!$F$14:$F$143,RAB!$C$14:$C$143,C858)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SUMIFS(RAB!$F$14:$F$143,RAB!$C$14:$C$143,C859)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SUMIFS(RAB!$F$14:$F$143,RAB!$C$14:$C$143,C860)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SUMIFS(RAB!$F$14:$F$143,RAB!$C$14:$C$143,C861)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SUMIFS(RAB!$F$14:$F$143,RAB!$C$14:$C$143,C862)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SUMIFS(RAB!$F$14:$F$143,RAB!$C$14:$C$143,C863)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SUMIFS(RAB!$F$14:$F$143,RAB!$C$14:$C$143,C864)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SUMIFS(RAB!$F$14:$F$143,RAB!$C$14:$C$143,C865)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SUMIFS(RAB!$F$14:$F$143,RAB!$C$14:$C$143,C866)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SUMIFS(RAB!$F$14:$F$143,RAB!$C$14:$C$143,C867)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SUMIFS(RAB!$F$14:$F$143,RAB!$C$14:$C$143,C868)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SUMIFS(RAB!$F$14:$F$143,RAB!$C$14:$C$143,C869)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SUMIFS(RAB!$F$14:$F$143,RAB!$C$14:$C$143,C870)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SUMIFS(RAB!$F$14:$F$143,RAB!$C$14:$C$143,C871)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SUMIFS(RAB!$F$14:$F$143,RAB!$C$14:$C$143,C872)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SUMIFS(RAB!$F$14:$F$143,RAB!$C$14:$C$143,C873)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SUMIFS(RAB!$F$14:$F$143,RAB!$C$14:$C$143,C874)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SUMIFS(RAB!$F$14:$F$143,RAB!$C$14:$C$143,C875)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SUMIFS(RAB!$F$14:$F$143,RAB!$C$14:$C$143,C876)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SUMIFS(RAB!$F$14:$F$143,RAB!$C$14:$C$143,C877)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SUMIFS(RAB!$F$14:$F$143,RAB!$C$14:$C$143,C878)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SUMIFS(RAB!$F$14:$F$143,RAB!$C$14:$C$143,C879)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SUMIFS(RAB!$F$14:$F$143,RAB!$C$14:$C$143,C880)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SUMIFS(RAB!$F$14:$F$143,RAB!$C$14:$C$143,C881)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SUMIFS(RAB!$F$14:$F$143,RAB!$C$14:$C$143,C882)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SUMIFS(RAB!$F$14:$F$143,RAB!$C$14:$C$143,C883)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SUMIFS(RAB!$F$14:$F$143,RAB!$C$14:$C$143,C884)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SUMIFS(RAB!$F$14:$F$143,RAB!$C$14:$C$143,C885)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SUMIFS(RAB!$F$14:$F$143,RAB!$C$14:$C$143,C886)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SUMIFS(RAB!$F$14:$F$143,RAB!$C$14:$C$143,C887)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SUMIFS(RAB!$F$14:$F$143,RAB!$C$14:$C$143,C888)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SUMIFS(RAB!$F$14:$F$143,RAB!$C$14:$C$143,C889)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SUMIFS(RAB!$F$14:$F$143,RAB!$C$14:$C$143,C890)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SUMIFS(RAB!$F$14:$F$143,RAB!$C$14:$C$143,C891)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SUMIFS(RAB!$F$14:$F$143,RAB!$C$14:$C$143,C892)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SUMIFS(RAB!$F$14:$F$143,RAB!$C$14:$C$143,C893)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SUMIFS(RAB!$F$14:$F$143,RAB!$C$14:$C$143,C894)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SUMIFS(RAB!$F$14:$F$143,RAB!$C$14:$C$143,C895)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SUMIFS(RAB!$F$14:$F$143,RAB!$C$14:$C$143,C896)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SUMIFS(RAB!$F$14:$F$143,RAB!$C$14:$C$143,C897)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SUMIFS(RAB!$F$14:$F$143,RAB!$C$14:$C$143,C898)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SUMIFS(RAB!$F$14:$F$143,RAB!$C$14:$C$143,C899)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SUMIFS(RAB!$F$14:$F$143,RAB!$C$14:$C$143,C900)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SUMIFS(RAB!$F$14:$F$143,RAB!$C$14:$C$143,C901)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SUMIFS(RAB!$F$14:$F$143,RAB!$C$14:$C$143,C902)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SUMIFS(RAB!$F$14:$F$143,RAB!$C$14:$C$143,C903)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SUMIFS(RAB!$F$14:$F$143,RAB!$C$14:$C$143,C904)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SUMIFS(RAB!$F$14:$F$143,RAB!$C$14:$C$143,C905)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SUMIFS(RAB!$F$14:$F$143,RAB!$C$14:$C$143,C906)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SUMIFS(RAB!$F$14:$F$143,RAB!$C$14:$C$143,C907)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SUMIFS(RAB!$F$14:$F$143,RAB!$C$14:$C$143,C908)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SUMIFS(RAB!$F$14:$F$143,RAB!$C$14:$C$143,C909)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SUMIFS(RAB!$F$14:$F$143,RAB!$C$14:$C$143,C910)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SUMIFS(RAB!$F$14:$F$143,RAB!$C$14:$C$143,C911)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SUMIFS(RAB!$F$14:$F$143,RAB!$C$14:$C$143,C912)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SUMIFS(RAB!$F$14:$F$143,RAB!$C$14:$C$143,C913)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SUMIFS(RAB!$F$14:$F$143,RAB!$C$14:$C$143,C914)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SUMIFS(RAB!$F$14:$F$143,RAB!$C$14:$C$143,C915)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SUMIFS(RAB!$F$14:$F$143,RAB!$C$14:$C$143,C916)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SUMIFS(RAB!$F$14:$F$143,RAB!$C$14:$C$143,C917)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SUMIFS(RAB!$F$14:$F$143,RAB!$C$14:$C$143,C918)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SUMIFS(RAB!$F$14:$F$143,RAB!$C$14:$C$143,C919)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SUMIFS(RAB!$F$14:$F$143,RAB!$C$14:$C$143,C920)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SUMIFS(RAB!$F$14:$F$143,RAB!$C$14:$C$143,C921)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SUMIFS(RAB!$F$14:$F$143,RAB!$C$14:$C$143,C922)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SUMIFS(RAB!$F$14:$F$143,RAB!$C$14:$C$143,C923)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SUMIFS(RAB!$F$14:$F$143,RAB!$C$14:$C$143,C924)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SUMIFS(RAB!$F$14:$F$143,RAB!$C$14:$C$143,C925)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SUMIFS(RAB!$F$14:$F$143,RAB!$C$14:$C$143,C926)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SUMIFS(RAB!$F$14:$F$143,RAB!$C$14:$C$143,C927)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SUMIFS(RAB!$F$14:$F$143,RAB!$C$14:$C$143,C928)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SUMIFS(RAB!$F$14:$F$143,RAB!$C$14:$C$143,C929)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SUMIFS(RAB!$F$14:$F$143,RAB!$C$14:$C$143,C930)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SUMIFS(RAB!$F$14:$F$143,RAB!$C$14:$C$143,C931)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SUMIFS(RAB!$F$14:$F$143,RAB!$C$14:$C$143,C932)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SUMIFS(RAB!$F$14:$F$143,RAB!$C$14:$C$143,C933)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SUMIFS(RAB!$F$14:$F$143,RAB!$C$14:$C$143,C934)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SUMIFS(RAB!$F$14:$F$143,RAB!$C$14:$C$143,C935)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SUMIFS(RAB!$F$14:$F$143,RAB!$C$14:$C$143,C936)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SUMIFS(RAB!$F$14:$F$143,RAB!$C$14:$C$143,C937)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SUMIFS(RAB!$F$14:$F$143,RAB!$C$14:$C$143,C938)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SUMIFS(RAB!$F$14:$F$143,RAB!$C$14:$C$143,C939)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SUMIFS(RAB!$F$14:$F$143,RAB!$C$14:$C$143,C940)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SUMIFS(RAB!$F$14:$F$143,RAB!$C$14:$C$143,C941)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SUMIFS(RAB!$F$14:$F$143,RAB!$C$14:$C$143,C942)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SUMIFS(RAB!$F$14:$F$143,RAB!$C$14:$C$143,C943)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SUMIFS(RAB!$F$14:$F$143,RAB!$C$14:$C$143,C944)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SUMIFS(RAB!$F$14:$F$143,RAB!$C$14:$C$143,C945)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SUMIFS(RAB!$F$14:$F$143,RAB!$C$14:$C$143,C946)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SUMIFS(RAB!$F$14:$F$143,RAB!$C$14:$C$143,C947)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SUMIFS(RAB!$F$14:$F$143,RAB!$C$14:$C$143,C948)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SUMIFS(RAB!$F$14:$F$143,RAB!$C$14:$C$143,C949)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SUMIFS(RAB!$F$14:$F$143,RAB!$C$14:$C$143,C950)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SUMIFS(RAB!$F$14:$F$143,RAB!$C$14:$C$143,C951)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SUMIFS(RAB!$F$14:$F$143,RAB!$C$14:$C$143,C952)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SUMIFS(RAB!$F$14:$F$143,RAB!$C$14:$C$143,C953)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SUMIFS(RAB!$F$14:$F$143,RAB!$C$14:$C$143,C954)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SUMIFS(RAB!$F$14:$F$143,RAB!$C$14:$C$143,C955)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SUMIFS(RAB!$F$14:$F$143,RAB!$C$14:$C$143,C956)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SUMIFS(RAB!$F$14:$F$143,RAB!$C$14:$C$143,C957)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SUMIFS(RAB!$F$14:$F$143,RAB!$C$14:$C$143,C958)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SUMIFS(RAB!$F$14:$F$143,RAB!$C$14:$C$143,C959)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SUMIFS(RAB!$F$14:$F$143,RAB!$C$14:$C$143,C960)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SUMIFS(RAB!$F$14:$F$143,RAB!$C$14:$C$143,C961)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SUMIFS(RAB!$F$14:$F$143,RAB!$C$14:$C$143,C962)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SUMIFS(RAB!$F$14:$F$143,RAB!$C$14:$C$143,C963)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SUMIFS(RAB!$F$14:$F$143,RAB!$C$14:$C$143,C964)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SUMIFS(RAB!$F$14:$F$143,RAB!$C$14:$C$143,C965)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SUMIFS(RAB!$F$14:$F$143,RAB!$C$14:$C$143,C966)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SUMIFS(RAB!$F$14:$F$143,RAB!$C$14:$C$143,C967)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SUMIFS(RAB!$F$14:$F$143,RAB!$C$14:$C$143,C968)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SUMIFS(RAB!$F$14:$F$143,RAB!$C$14:$C$143,C969)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SUMIFS(RAB!$F$14:$F$143,RAB!$C$14:$C$143,C970)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SUMIFS(RAB!$F$14:$F$143,RAB!$C$14:$C$143,C971)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SUMIFS(RAB!$F$14:$F$143,RAB!$C$14:$C$143,C972)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SUMIFS(RAB!$F$14:$F$143,RAB!$C$14:$C$143,C973)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SUMIFS(RAB!$F$14:$F$143,RAB!$C$14:$C$143,C974)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SUMIFS(RAB!$F$14:$F$143,RAB!$C$14:$C$143,C975)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SUMIFS(RAB!$F$14:$F$143,RAB!$C$14:$C$143,C976)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SUMIFS(RAB!$F$14:$F$143,RAB!$C$14:$C$143,C977)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SUMIFS(RAB!$F$14:$F$143,RAB!$C$14:$C$143,C978)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SUMIFS(RAB!$F$14:$F$143,RAB!$C$14:$C$143,C979)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SUMIFS(RAB!$F$14:$F$143,RAB!$C$14:$C$143,C980)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SUMIFS(RAB!$F$14:$F$143,RAB!$C$14:$C$143,C981)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SUMIFS(RAB!$F$14:$F$143,RAB!$C$14:$C$143,C982)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SUMIFS(RAB!$F$14:$F$143,RAB!$C$14:$C$143,C983)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SUMIFS(RAB!$F$14:$F$143,RAB!$C$14:$C$143,C984)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SUMIFS(RAB!$F$14:$F$143,RAB!$C$14:$C$143,C985)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SUMIFS(RAB!$F$14:$F$143,RAB!$C$14:$C$143,C986)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SUMIFS(RAB!$F$14:$F$143,RAB!$C$14:$C$143,C987)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SUMIFS(RAB!$F$14:$F$143,RAB!$C$14:$C$143,C988)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SUMIFS(RAB!$F$14:$F$143,RAB!$C$14:$C$143,C989)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SUMIFS(RAB!$F$14:$F$143,RAB!$C$14:$C$143,C990)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SUMIFS(RAB!$F$14:$F$143,RAB!$C$14:$C$143,C991)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SUMIFS(RAB!$F$14:$F$143,RAB!$C$14:$C$143,C992)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SUMIFS(RAB!$F$14:$F$143,RAB!$C$14:$C$143,C993)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SUMIFS(RAB!$F$14:$F$143,RAB!$C$14:$C$143,C994)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SUMIFS(RAB!$F$14:$F$143,RAB!$C$14:$C$143,C995)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SUMIFS(RAB!$F$14:$F$143,RAB!$C$14:$C$143,C996)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SUMIFS(RAB!$F$14:$F$143,RAB!$C$14:$C$143,C997)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SUMIFS(RAB!$F$14:$F$143,RAB!$C$14:$C$143,C998)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SUMIFS(RAB!$F$14:$F$143,RAB!$C$14:$C$143,C999)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SUMIFS(RAB!$F$14:$F$143,RAB!$C$14:$C$143,C1000)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SUMIFS(RAB!$F$14:$F$143,RAB!$C$14:$C$143,C1001)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SUMIFS(RAB!$F$14:$F$143,RAB!$C$14:$C$143,C1002)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SUMIFS(RAB!$F$14:$F$143,RAB!$C$14:$C$143,C1003)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SUMIFS(RAB!$F$14:$F$143,RAB!$C$14:$C$143,C1004)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SUMIFS(RAB!$F$14:$F$143,RAB!$C$14:$C$143,C1005)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SUMIFS(RAB!$F$14:$F$143,RAB!$C$14:$C$143,C1006)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SUMIFS(RAB!$F$14:$F$143,RAB!$C$14:$C$143,C1007)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SUMIFS(RAB!$F$14:$F$143,RAB!$C$14:$C$143,C1008)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SUMIFS(RAB!$F$14:$F$143,RAB!$C$14:$C$143,C1009)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SUMIFS(RAB!$F$14:$F$143,RAB!$C$14:$C$143,C1010)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SUMIFS(RAB!$F$14:$F$143,RAB!$C$14:$C$143,C1011)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SUMIFS(RAB!$F$14:$F$143,RAB!$C$14:$C$143,C1012)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SUMIFS(RAB!$F$14:$F$143,RAB!$C$14:$C$143,C1013)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SUMIFS(RAB!$F$14:$F$143,RAB!$C$14:$C$143,C1014)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SUMIFS(RAB!$F$14:$F$143,RAB!$C$14:$C$143,C1015)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SUMIFS(RAB!$F$14:$F$143,RAB!$C$14:$C$143,C1016)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SUMIFS(RAB!$F$14:$F$143,RAB!$C$14:$C$143,C1017)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SUMIFS(RAB!$F$14:$F$143,RAB!$C$14:$C$143,C1018)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SUMIFS(RAB!$F$14:$F$143,RAB!$C$14:$C$143,C1019)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SUMIFS(RAB!$F$14:$F$143,RAB!$C$14:$C$143,C1020)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SUMIFS(RAB!$F$14:$F$143,RAB!$C$14:$C$143,C1021)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SUMIFS(RAB!$F$14:$F$143,RAB!$C$14:$C$143,C1022)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SUMIFS(RAB!$F$14:$F$143,RAB!$C$14:$C$143,C1023)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SUMIFS(RAB!$F$14:$F$143,RAB!$C$14:$C$143,C1024)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SUMIFS(RAB!$F$14:$F$143,RAB!$C$14:$C$143,C1025)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SUMIFS(RAB!$F$14:$F$143,RAB!$C$14:$C$143,C1026)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SUMIFS(RAB!$F$14:$F$143,RAB!$C$14:$C$143,C1027)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SUMIFS(RAB!$F$14:$F$143,RAB!$C$14:$C$143,C1028)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SUMIFS(RAB!$F$14:$F$143,RAB!$C$14:$C$143,C1029)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SUMIFS(RAB!$F$14:$F$143,RAB!$C$14:$C$143,C1030)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SUMIFS(RAB!$F$14:$F$143,RAB!$C$14:$C$143,C1031)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SUMIFS(RAB!$F$14:$F$143,RAB!$C$14:$C$143,C1032)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SUMIFS(RAB!$F$14:$F$143,RAB!$C$14:$C$143,C1033)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SUMIFS(RAB!$F$14:$F$143,RAB!$C$14:$C$143,C1034)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SUMIFS(RAB!$F$14:$F$143,RAB!$C$14:$C$143,C1035)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SUMIFS(RAB!$F$14:$F$143,RAB!$C$14:$C$143,C1036)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SUMIFS(RAB!$F$14:$F$143,RAB!$C$14:$C$143,C1037)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SUMIFS(RAB!$F$14:$F$143,RAB!$C$14:$C$143,C1038)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SUMIFS(RAB!$F$14:$F$143,RAB!$C$14:$C$143,C1039)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SUMIFS(RAB!$F$14:$F$143,RAB!$C$14:$C$143,C1040)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SUMIFS(RAB!$F$14:$F$143,RAB!$C$14:$C$143,C1041)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SUMIFS(RAB!$F$14:$F$143,RAB!$C$14:$C$143,C1042)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SUMIFS(RAB!$F$14:$F$143,RAB!$C$14:$C$143,C1043)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SUMIFS(RAB!$F$14:$F$143,RAB!$C$14:$C$143,C1044)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SUMIFS(RAB!$F$14:$F$143,RAB!$C$14:$C$143,C1045)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SUMIFS(RAB!$F$14:$F$143,RAB!$C$14:$C$143,C1046)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SUMIFS(RAB!$F$14:$F$143,RAB!$C$14:$C$143,C1047)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SUMIFS(RAB!$F$14:$F$143,RAB!$C$14:$C$143,C1048)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SUMIFS(RAB!$F$14:$F$143,RAB!$C$14:$C$143,C1049)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SUMIFS(RAB!$F$14:$F$143,RAB!$C$14:$C$143,C1050)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SUMIFS(RAB!$F$14:$F$143,RAB!$C$14:$C$143,C1051)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SUMIFS(RAB!$F$14:$F$143,RAB!$C$14:$C$143,C1052)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SUMIFS(RAB!$F$14:$F$143,RAB!$C$14:$C$143,C1053)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SUMIFS(RAB!$F$14:$F$143,RAB!$C$14:$C$143,C1054)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SUMIFS(RAB!$F$14:$F$143,RAB!$C$14:$C$143,C1055)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SUMIFS(RAB!$F$14:$F$143,RAB!$C$14:$C$143,C1056)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SUMIFS(RAB!$F$14:$F$143,RAB!$C$14:$C$143,C1057)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SUMIFS(RAB!$F$14:$F$143,RAB!$C$14:$C$143,C1058)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SUMIFS(RAB!$F$14:$F$143,RAB!$C$14:$C$143,C1059)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SUMIFS(RAB!$F$14:$F$143,RAB!$C$14:$C$143,C1060)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SUMIFS(RAB!$F$14:$F$143,RAB!$C$14:$C$143,C1061)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SUMIFS(RAB!$F$14:$F$143,RAB!$C$14:$C$143,C1062)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SUMIFS(RAB!$F$14:$F$143,RAB!$C$14:$C$143,C1063)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SUMIFS(RAB!$F$14:$F$143,RAB!$C$14:$C$143,C1064)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SUMIFS(RAB!$F$14:$F$143,RAB!$C$14:$C$143,C1065)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SUMIFS(RAB!$F$14:$F$143,RAB!$C$14:$C$143,C1066)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SUMIFS(RAB!$F$14:$F$143,RAB!$C$14:$C$143,C1067)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SUMIFS(RAB!$F$14:$F$143,RAB!$C$14:$C$143,C1068)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SUMIFS(RAB!$F$14:$F$143,RAB!$C$14:$C$143,C1069)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SUMIFS(RAB!$F$14:$F$143,RAB!$C$14:$C$143,C1070)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SUMIFS(RAB!$F$14:$F$143,RAB!$C$14:$C$143,C1071)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SUMIFS(RAB!$F$14:$F$143,RAB!$C$14:$C$143,C1072)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SUMIFS(RAB!$F$14:$F$143,RAB!$C$14:$C$143,C1073)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SUMIFS(RAB!$F$14:$F$143,RAB!$C$14:$C$143,C1074)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SUMIFS(RAB!$F$14:$F$143,RAB!$C$14:$C$143,C1075)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SUMIFS(RAB!$F$14:$F$143,RAB!$C$14:$C$143,C1076)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SUMIFS(RAB!$F$14:$F$143,RAB!$C$14:$C$143,C1077)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SUMIFS(RAB!$F$14:$F$143,RAB!$C$14:$C$143,C1078)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SUMIFS(RAB!$F$14:$F$143,RAB!$C$14:$C$143,C1079)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SUMIFS(RAB!$F$14:$F$143,RAB!$C$14:$C$143,C1080)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SUMIFS(RAB!$F$14:$F$143,RAB!$C$14:$C$143,C1081)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SUMIFS(RAB!$F$14:$F$143,RAB!$C$14:$C$143,C1082)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SUMIFS(RAB!$F$14:$F$143,RAB!$C$14:$C$143,C1083)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SUMIFS(RAB!$F$14:$F$143,RAB!$C$14:$C$143,C1084)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SUMIFS(RAB!$F$14:$F$143,RAB!$C$14:$C$143,C1085)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SUMIFS(RAB!$F$14:$F$143,RAB!$C$14:$C$143,C1086)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SUMIFS(RAB!$F$14:$F$143,RAB!$C$14:$C$143,C1087)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SUMIFS(RAB!$F$14:$F$143,RAB!$C$14:$C$143,C1088)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SUMIFS(RAB!$F$14:$F$143,RAB!$C$14:$C$143,C1089)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SUMIFS(RAB!$F$14:$F$143,RAB!$C$14:$C$143,C1090)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SUMIFS(RAB!$F$14:$F$143,RAB!$C$14:$C$143,C1091)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SUMIFS(RAB!$F$14:$F$143,RAB!$C$14:$C$143,C1092)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SUMIFS(RAB!$F$14:$F$143,RAB!$C$14:$C$143,C1093)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SUMIFS(RAB!$F$14:$F$143,RAB!$C$14:$C$143,C1094)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SUMIFS(RAB!$F$14:$F$143,RAB!$C$14:$C$143,C1095)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SUMIFS(RAB!$F$14:$F$143,RAB!$C$14:$C$143,C1096)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SUMIFS(RAB!$F$14:$F$143,RAB!$C$14:$C$143,C1097)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SUMIFS(RAB!$F$14:$F$143,RAB!$C$14:$C$143,C1098)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SUMIFS(RAB!$F$14:$F$143,RAB!$C$14:$C$143,C1099)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SUMIFS(RAB!$F$14:$F$143,RAB!$C$14:$C$143,C1100)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SUMIFS(RAB!$F$14:$F$143,RAB!$C$14:$C$143,C1101)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SUMIFS(RAB!$F$14:$F$143,RAB!$C$14:$C$143,C1102)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SUMIFS(RAB!$F$14:$F$143,RAB!$C$14:$C$143,C1103)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SUMIFS(RAB!$F$14:$F$143,RAB!$C$14:$C$143,C1104)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SUMIFS(RAB!$F$14:$F$143,RAB!$C$14:$C$143,C1105)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SUMIFS(RAB!$F$14:$F$143,RAB!$C$14:$C$143,C1106)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SUMIFS(RAB!$F$14:$F$143,RAB!$C$14:$C$143,C1107)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SUMIFS(RAB!$F$14:$F$143,RAB!$C$14:$C$143,C1108)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SUMIFS(RAB!$F$14:$F$143,RAB!$C$14:$C$143,C1109)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SUMIFS(RAB!$F$14:$F$143,RAB!$C$14:$C$143,C1110)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SUMIFS(RAB!$F$14:$F$143,RAB!$C$14:$C$143,C1111)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SUMIFS(RAB!$F$14:$F$143,RAB!$C$14:$C$143,C1112)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SUMIFS(RAB!$F$14:$F$143,RAB!$C$14:$C$143,C1113)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SUMIFS(RAB!$F$14:$F$143,RAB!$C$14:$C$143,C1114)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SUMIFS(RAB!$F$14:$F$143,RAB!$C$14:$C$143,C1115)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SUMIFS(RAB!$F$14:$F$143,RAB!$C$14:$C$143,C1116)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SUMIFS(RAB!$F$14:$F$143,RAB!$C$14:$C$143,C1117)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SUMIFS(RAB!$F$14:$F$143,RAB!$C$14:$C$143,C1118)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SUMIFS(RAB!$F$14:$F$143,RAB!$C$14:$C$143,C1119)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SUMIFS(RAB!$F$14:$F$143,RAB!$C$14:$C$143,C1120)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SUMIFS(RAB!$F$14:$F$143,RAB!$C$14:$C$143,C1121)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SUMIFS(RAB!$F$14:$F$143,RAB!$C$14:$C$143,C1122)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SUMIFS(RAB!$F$14:$F$143,RAB!$C$14:$C$143,C1123)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SUMIFS(RAB!$F$14:$F$143,RAB!$C$14:$C$143,C1124)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SUMIFS(RAB!$F$14:$F$143,RAB!$C$14:$C$143,C1125)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SUMIFS(RAB!$F$14:$F$143,RAB!$C$14:$C$143,C1126)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SUMIFS(RAB!$F$14:$F$143,RAB!$C$14:$C$143,C1127)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SUMIFS(RAB!$F$14:$F$143,RAB!$C$14:$C$143,C1128)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SUMIFS(RAB!$F$14:$F$143,RAB!$C$14:$C$143,C1129)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SUMIFS(RAB!$F$14:$F$143,RAB!$C$14:$C$143,C1130)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SUMIFS(RAB!$F$14:$F$143,RAB!$C$14:$C$143,C1131)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SUMIFS(RAB!$F$14:$F$143,RAB!$C$14:$C$143,C1132)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SUMIFS(RAB!$F$14:$F$143,RAB!$C$14:$C$143,C1133)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SUMIFS(RAB!$F$14:$F$143,RAB!$C$14:$C$143,C1134)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SUMIFS(RAB!$F$14:$F$143,RAB!$C$14:$C$143,C1135)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SUMIFS(RAB!$F$14:$F$143,RAB!$C$14:$C$143,C1136)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SUMIFS(RAB!$F$14:$F$143,RAB!$C$14:$C$143,C1137)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SUMIFS(RAB!$F$14:$F$143,RAB!$C$14:$C$143,C1138)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SUMIFS(RAB!$F$14:$F$143,RAB!$C$14:$C$143,C1139)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SUMIFS(RAB!$F$14:$F$143,RAB!$C$14:$C$143,C1140)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SUMIFS(RAB!$F$14:$F$143,RAB!$C$14:$C$143,C1141)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SUMIFS(RAB!$F$14:$F$143,RAB!$C$14:$C$143,C1142)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SUMIFS(RAB!$F$14:$F$143,RAB!$C$14:$C$143,C1143)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SUMIFS(RAB!$F$14:$F$143,RAB!$C$14:$C$143,C1144)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SUMIFS(RAB!$F$14:$F$143,RAB!$C$14:$C$143,C1145)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SUMIFS(RAB!$F$14:$F$143,RAB!$C$14:$C$143,C1146)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SUMIFS(RAB!$F$14:$F$143,RAB!$C$14:$C$143,C1147)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SUMIFS(RAB!$F$14:$F$143,RAB!$C$14:$C$143,C1148)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SUMIFS(RAB!$F$14:$F$143,RAB!$C$14:$C$143,C1149)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SUMIFS(RAB!$F$14:$F$143,RAB!$C$14:$C$143,C1150)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SUMIFS(RAB!$F$14:$F$143,RAB!$C$14:$C$143,C1151)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SUMIFS(RAB!$F$14:$F$143,RAB!$C$14:$C$143,C1152)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SUMIFS(RAB!$F$14:$F$143,RAB!$C$14:$C$143,C1153)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SUMIFS(RAB!$F$14:$F$143,RAB!$C$14:$C$143,C1154)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SUMIFS(RAB!$F$14:$F$143,RAB!$C$14:$C$143,C1155)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SUMIFS(RAB!$F$14:$F$143,RAB!$C$14:$C$143,C1156)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SUMIFS(RAB!$F$14:$F$143,RAB!$C$14:$C$143,C1157)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SUMIFS(RAB!$F$14:$F$143,RAB!$C$14:$C$143,C1158)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SUMIFS(RAB!$F$14:$F$143,RAB!$C$14:$C$143,C1159)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SUMIFS(RAB!$F$14:$F$143,RAB!$C$14:$C$143,C1160)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SUMIFS(RAB!$F$14:$F$143,RAB!$C$14:$C$143,C1161)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SUMIFS(RAB!$F$14:$F$143,RAB!$C$14:$C$143,C1162)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SUMIFS(RAB!$F$14:$F$143,RAB!$C$14:$C$143,C1163)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SUMIFS(RAB!$F$14:$F$143,RAB!$C$14:$C$143,C1164)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SUMIFS(RAB!$F$14:$F$143,RAB!$C$14:$C$143,C1165)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SUMIFS(RAB!$F$14:$F$143,RAB!$C$14:$C$143,C1166)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SUMIFS(RAB!$F$14:$F$143,RAB!$C$14:$C$143,C1167)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SUMIFS(RAB!$F$14:$F$143,RAB!$C$14:$C$143,C1168)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SUMIFS(RAB!$F$14:$F$143,RAB!$C$14:$C$143,C1169)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SUMIFS(RAB!$F$14:$F$143,RAB!$C$14:$C$143,C1170)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SUMIFS(RAB!$F$14:$F$143,RAB!$C$14:$C$143,C1171)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SUMIFS(RAB!$F$14:$F$143,RAB!$C$14:$C$143,C1172)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SUMIFS(RAB!$F$14:$F$143,RAB!$C$14:$C$143,C1173)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SUMIFS(RAB!$F$14:$F$143,RAB!$C$14:$C$143,C1174)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SUMIFS(RAB!$F$14:$F$143,RAB!$C$14:$C$143,C1175)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SUMIFS(RAB!$F$14:$F$143,RAB!$C$14:$C$143,C1176)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SUMIFS(RAB!$F$14:$F$143,RAB!$C$14:$C$143,C1177)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SUMIFS(RAB!$F$14:$F$143,RAB!$C$14:$C$143,C1178)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SUMIFS(RAB!$F$14:$F$143,RAB!$C$14:$C$143,C1179)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SUMIFS(RAB!$F$14:$F$143,RAB!$C$14:$C$143,C1180)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SUMIFS(RAB!$F$14:$F$143,RAB!$C$14:$C$143,C1181)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SUMIFS(RAB!$F$14:$F$143,RAB!$C$14:$C$143,C1182)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SUMIFS(RAB!$F$14:$F$143,RAB!$C$14:$C$143,C1183)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SUMIFS(RAB!$F$14:$F$143,RAB!$C$14:$C$143,C1184)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SUMIFS(RAB!$F$14:$F$143,RAB!$C$14:$C$143,C1185)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SUMIFS(RAB!$F$14:$F$143,RAB!$C$14:$C$143,C1186)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SUMIFS(RAB!$F$14:$F$143,RAB!$C$14:$C$143,C1187)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SUMIFS(RAB!$F$14:$F$143,RAB!$C$14:$C$143,C1188)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SUMIFS(RAB!$F$14:$F$143,RAB!$C$14:$C$143,C1189)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SUMIFS(RAB!$F$14:$F$143,RAB!$C$14:$C$143,C1190)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SUMIFS(RAB!$F$14:$F$143,RAB!$C$14:$C$143,C1191)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SUMIFS(RAB!$F$14:$F$143,RAB!$C$14:$C$143,C1192)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SUMIFS(RAB!$F$14:$F$143,RAB!$C$14:$C$143,C1193)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SUMIFS(RAB!$F$14:$F$143,RAB!$C$14:$C$143,C1194)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SUMIFS(RAB!$F$14:$F$143,RAB!$C$14:$C$143,C1195)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SUMIFS(RAB!$F$14:$F$143,RAB!$C$14:$C$143,C1196)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SUMIFS(RAB!$F$14:$F$143,RAB!$C$14:$C$143,C1197)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SUMIFS(RAB!$F$14:$F$143,RAB!$C$14:$C$143,C1198)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SUMIFS(RAB!$F$14:$F$143,RAB!$C$14:$C$143,C1199)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SUMIFS(RAB!$F$14:$F$143,RAB!$C$14:$C$143,C1200)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SUMIFS(RAB!$F$14:$F$143,RAB!$C$14:$C$143,C1201)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SUMIFS(RAB!$F$14:$F$143,RAB!$C$14:$C$143,C1202)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SUMIFS(RAB!$F$14:$F$143,RAB!$C$14:$C$143,C1203)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SUMIFS(RAB!$F$14:$F$143,RAB!$C$14:$C$143,C1204)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SUMIFS(RAB!$F$14:$F$143,RAB!$C$14:$C$143,C1205)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SUMIFS(RAB!$F$14:$F$143,RAB!$C$14:$C$143,C1206)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SUMIFS(RAB!$F$14:$F$143,RAB!$C$14:$C$143,C1207)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SUMIFS(RAB!$F$14:$F$143,RAB!$C$14:$C$143,C1208)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SUMIFS(RAB!$F$14:$F$143,RAB!$C$14:$C$143,C1209)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SUMIFS(RAB!$F$14:$F$143,RAB!$C$14:$C$143,C1210)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SUMIFS(RAB!$F$14:$F$143,RAB!$C$14:$C$143,C1211)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SUMIFS(RAB!$F$14:$F$143,RAB!$C$14:$C$143,C1212)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SUMIFS(RAB!$F$14:$F$143,RAB!$C$14:$C$143,C1213)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SUMIFS(RAB!$F$14:$F$143,RAB!$C$14:$C$143,C1214)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SUMIFS(RAB!$F$14:$F$143,RAB!$C$14:$C$143,C1215)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SUMIFS(RAB!$F$14:$F$143,RAB!$C$14:$C$143,C1216)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SUMIFS(RAB!$F$14:$F$143,RAB!$C$14:$C$143,C1217)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SUMIFS(RAB!$F$14:$F$143,RAB!$C$14:$C$143,C1218)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SUMIFS(RAB!$F$14:$F$143,RAB!$C$14:$C$143,C1219)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SUMIFS(RAB!$F$14:$F$143,RAB!$C$14:$C$143,C1220)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SUMIFS(RAB!$F$14:$F$143,RAB!$C$14:$C$143,C1221)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SUMIFS(RAB!$F$14:$F$143,RAB!$C$14:$C$143,C1222)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SUMIFS(RAB!$F$14:$F$143,RAB!$C$14:$C$143,C1223)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SUMIFS(RAB!$F$14:$F$143,RAB!$C$14:$C$143,C1224)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SUMIFS(RAB!$F$14:$F$143,RAB!$C$14:$C$143,C1225)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SUMIFS(RAB!$F$14:$F$143,RAB!$C$14:$C$143,C1226)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SUMIFS(RAB!$F$14:$F$143,RAB!$C$14:$C$143,C1227)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SUMIFS(RAB!$F$14:$F$143,RAB!$C$14:$C$143,C1228)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SUMIFS(RAB!$F$14:$F$143,RAB!$C$14:$C$143,C1229)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SUMIFS(RAB!$F$14:$F$143,RAB!$C$14:$C$143,C1230)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SUMIFS(RAB!$F$14:$F$143,RAB!$C$14:$C$143,C1231)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SUMIFS(RAB!$F$14:$F$143,RAB!$C$14:$C$143,C1232)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SUMIFS(RAB!$F$14:$F$143,RAB!$C$14:$C$143,C1233)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SUMIFS(RAB!$F$14:$F$143,RAB!$C$14:$C$143,C1234)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SUMIFS(RAB!$F$14:$F$143,RAB!$C$14:$C$143,C1235)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SUMIFS(RAB!$F$14:$F$143,RAB!$C$14:$C$143,C1236)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SUMIFS(RAB!$F$14:$F$143,RAB!$C$14:$C$143,C1237)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SUMIFS(RAB!$F$14:$F$143,RAB!$C$14:$C$143,C1238)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SUMIFS(RAB!$F$14:$F$143,RAB!$C$14:$C$143,C1239)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SUMIFS(RAB!$F$14:$F$143,RAB!$C$14:$C$143,C1240)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SUMIFS(RAB!$F$14:$F$143,RAB!$C$14:$C$143,C1241)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SUMIFS(RAB!$F$14:$F$143,RAB!$C$14:$C$143,C1242)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SUMIFS(RAB!$F$14:$F$143,RAB!$C$14:$C$143,C1243)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SUMIFS(RAB!$F$14:$F$143,RAB!$C$14:$C$143,C1244)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SUMIFS(RAB!$F$14:$F$143,RAB!$C$14:$C$143,C1245)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SUMIFS(RAB!$F$14:$F$143,RAB!$C$14:$C$143,C1246)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SUMIFS(RAB!$F$14:$F$143,RAB!$C$14:$C$143,C1247)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SUMIFS(RAB!$F$14:$F$143,RAB!$C$14:$C$143,C1248)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SUMIFS(RAB!$F$14:$F$143,RAB!$C$14:$C$143,C1249)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SUMIFS(RAB!$F$14:$F$143,RAB!$C$14:$C$143,C1250)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SUMIFS(RAB!$F$14:$F$143,RAB!$C$14:$C$143,C1251)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SUMIFS(RAB!$F$14:$F$143,RAB!$C$14:$C$143,C1252)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SUMIFS(RAB!$F$14:$F$143,RAB!$C$14:$C$143,C1253)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SUMIFS(RAB!$F$14:$F$143,RAB!$C$14:$C$143,C1254)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SUMIFS(RAB!$F$14:$F$143,RAB!$C$14:$C$143,C1255)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SUMIFS(RAB!$F$14:$F$143,RAB!$C$14:$C$143,C1256)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SUMIFS(RAB!$F$14:$F$143,RAB!$C$14:$C$143,C1257)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SUMIFS(RAB!$F$14:$F$143,RAB!$C$14:$C$143,C1258)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SUMIFS(RAB!$F$14:$F$143,RAB!$C$14:$C$143,C1259)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SUMIFS(RAB!$F$14:$F$143,RAB!$C$14:$C$143,C1260)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SUMIFS(RAB!$F$14:$F$143,RAB!$C$14:$C$143,C1261)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SUMIFS(RAB!$F$14:$F$143,RAB!$C$14:$C$143,C1262)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SUMIFS(RAB!$F$14:$F$143,RAB!$C$14:$C$143,C1263)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SUMIFS(RAB!$F$14:$F$143,RAB!$C$14:$C$143,C1264)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SUMIFS(RAB!$F$14:$F$143,RAB!$C$14:$C$143,C1265)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SUMIFS(RAB!$F$14:$F$143,RAB!$C$14:$C$143,C1266)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SUMIFS(RAB!$F$14:$F$143,RAB!$C$14:$C$143,C1267)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SUMIFS(RAB!$F$14:$F$143,RAB!$C$14:$C$143,C1268)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SUMIFS(RAB!$F$14:$F$143,RAB!$C$14:$C$143,C1269)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SUMIFS(RAB!$F$14:$F$143,RAB!$C$14:$C$143,C1270)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SUMIFS(RAB!$F$14:$F$143,RAB!$C$14:$C$143,C1271)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SUMIFS(RAB!$F$14:$F$143,RAB!$C$14:$C$143,C1272)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SUMIFS(RAB!$F$14:$F$143,RAB!$C$14:$C$143,C1273)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SUMIFS(RAB!$F$14:$F$143,RAB!$C$14:$C$143,C1274)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SUMIFS(RAB!$F$14:$F$143,RAB!$C$14:$C$143,C1275)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SUMIFS(RAB!$F$14:$F$143,RAB!$C$14:$C$143,C1276)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SUMIFS(RAB!$F$14:$F$143,RAB!$C$14:$C$143,C1277)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SUMIFS(RAB!$F$14:$F$143,RAB!$C$14:$C$143,C1278)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SUMIFS(RAB!$F$14:$F$143,RAB!$C$14:$C$143,C1279)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SUMIFS(RAB!$F$14:$F$143,RAB!$C$14:$C$143,C1280)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SUMIFS(RAB!$F$14:$F$143,RAB!$C$14:$C$143,C1281)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SUMIFS(RAB!$F$14:$F$143,RAB!$C$14:$C$143,C1282)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SUMIFS(RAB!$F$14:$F$143,RAB!$C$14:$C$143,C1283)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SUMIFS(RAB!$F$14:$F$143,RAB!$C$14:$C$143,C1284)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SUMIFS(RAB!$F$14:$F$143,RAB!$C$14:$C$143,C1285)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SUMIFS(RAB!$F$14:$F$143,RAB!$C$14:$C$143,C1286)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SUMIFS(RAB!$F$14:$F$143,RAB!$C$14:$C$143,C1287)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SUMIFS(RAB!$F$14:$F$143,RAB!$C$14:$C$143,C1288)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SUMIFS(RAB!$F$14:$F$143,RAB!$C$14:$C$143,C1289)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SUMIFS(RAB!$F$14:$F$143,RAB!$C$14:$C$143,C1290)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SUMIFS(RAB!$F$14:$F$143,RAB!$C$14:$C$143,C1291)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SUMIFS(RAB!$F$14:$F$143,RAB!$C$14:$C$143,C1292)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SUMIFS(RAB!$F$14:$F$143,RAB!$C$14:$C$143,C1293)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SUMIFS(RAB!$F$14:$F$143,RAB!$C$14:$C$143,C1294)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SUMIFS(RAB!$F$14:$F$143,RAB!$C$14:$C$143,C1295)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SUMIFS(RAB!$F$14:$F$143,RAB!$C$14:$C$143,C1296)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SUMIFS(RAB!$F$14:$F$143,RAB!$C$14:$C$143,C1297)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SUMIFS(RAB!$F$14:$F$143,RAB!$C$14:$C$143,C1298)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SUMIFS(RAB!$F$14:$F$143,RAB!$C$14:$C$143,C1299)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SUMIFS(RAB!$F$14:$F$143,RAB!$C$14:$C$143,C1300)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SUMIFS(RAB!$F$14:$F$143,RAB!$C$14:$C$143,C1301)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SUMIFS(RAB!$F$14:$F$143,RAB!$C$14:$C$143,C1302)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SUMIFS(RAB!$F$14:$F$143,RAB!$C$14:$C$143,C1303)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SUMIFS(RAB!$F$14:$F$143,RAB!$C$14:$C$143,C1304)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SUMIFS(RAB!$F$14:$F$143,RAB!$C$14:$C$143,C1305)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SUMIFS(RAB!$F$14:$F$143,RAB!$C$14:$C$143,C1306)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SUMIFS(RAB!$F$14:$F$143,RAB!$C$14:$C$143,C1307)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SUMIFS(RAB!$F$14:$F$143,RAB!$C$14:$C$143,C1308)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SUMIFS(RAB!$F$14:$F$143,RAB!$C$14:$C$143,C1309)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SUMIFS(RAB!$F$14:$F$143,RAB!$C$14:$C$143,C1310)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SUMIFS(RAB!$F$14:$F$143,RAB!$C$14:$C$143,C1311)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SUMIFS(RAB!$F$14:$F$143,RAB!$C$14:$C$143,C1312)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SUMIFS(RAB!$F$14:$F$143,RAB!$C$14:$C$143,C1313)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SUMIFS(RAB!$F$14:$F$143,RAB!$C$14:$C$143,C1314)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SUMIFS(RAB!$F$14:$F$143,RAB!$C$14:$C$143,C1315)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SUMIFS(RAB!$F$14:$F$143,RAB!$C$14:$C$143,C1316)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SUMIFS(RAB!$F$14:$F$143,RAB!$C$14:$C$143,C1317)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SUMIFS(RAB!$F$14:$F$143,RAB!$C$14:$C$143,C1318)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SUMIFS(RAB!$F$14:$F$143,RAB!$C$14:$C$143,C1319)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SUMIFS(RAB!$F$14:$F$143,RAB!$C$14:$C$143,C1320)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3" priority="5" operator="equal">
      <formula>0</formula>
    </cfRule>
  </conditionalFormatting>
  <conditionalFormatting sqref="A10:L65536">
    <cfRule type="cellIs" dxfId="62" priority="1" operator="equal">
      <formula>0</formula>
    </cfRule>
  </conditionalFormatting>
  <conditionalFormatting sqref="C12:C711">
    <cfRule type="cellIs" dxfId="61" priority="66" stopIfTrue="1" operator="equal">
      <formula>0</formula>
    </cfRule>
  </conditionalFormatting>
  <conditionalFormatting sqref="E712:E65536">
    <cfRule type="cellIs" dxfId="60" priority="16" stopIfTrue="1" operator="equal">
      <formula>0</formula>
    </cfRule>
  </conditionalFormatting>
  <conditionalFormatting sqref="G1:G11 E6:E11 E1:E3 H7 H10:H11 F10:F711 G712:G65536">
    <cfRule type="cellIs" dxfId="59" priority="69" stopIfTrue="1" operator="equal">
      <formula>0</formula>
    </cfRule>
  </conditionalFormatting>
  <conditionalFormatting sqref="G12:H711">
    <cfRule type="cellIs" dxfId="58" priority="12" stopIfTrue="1" operator="equal">
      <formula>0</formula>
    </cfRule>
  </conditionalFormatting>
  <conditionalFormatting sqref="I7:K7">
    <cfRule type="cellIs" dxfId="57" priority="4" stopIfTrue="1" operator="equal">
      <formula>0</formula>
    </cfRule>
  </conditionalFormatting>
  <conditionalFormatting sqref="I10:L711">
    <cfRule type="cellIs" dxfId="56" priority="2" stopIfTrue="1" operator="equal">
      <formula>0</formula>
    </cfRule>
  </conditionalFormatting>
  <conditionalFormatting sqref="L1:L6">
    <cfRule type="cellIs" dxfId="55" priority="10" operator="equal">
      <formula>0</formula>
    </cfRule>
  </conditionalFormatting>
  <conditionalFormatting sqref="M1:IV1048576 A8:G9">
    <cfRule type="cellIs" dxfId="5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1098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38" t="str">
        <f>RAB!G6</f>
        <v>GUNAWAN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BANDUNGREJO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32</v>
      </c>
      <c r="E11" s="551" t="s">
        <v>33</v>
      </c>
      <c r="F11" s="551" t="s">
        <v>2</v>
      </c>
      <c r="G11" s="552" t="s">
        <v>31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36</v>
      </c>
      <c r="I12" s="543" t="s">
        <v>5</v>
      </c>
      <c r="J12" s="541" t="s">
        <v>37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1099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981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452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29" t="s">
        <v>453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PROPER([89]!terbilang(K40))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SUMIFS(RAB!$F$14:$F$143,RAB!$C$14:$C$143,'REKAP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SUMIFS(RAB!$F$14:$F$143,RAB!$C$14:$C$143,'REKAP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SUMIFS(RAB!$F$14:$F$143,RAB!$C$14:$C$143,'REKAP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SUMIFS(RAB!$F$14:$F$143,RAB!$C$14:$C$143,'REKAP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SUMIFS(RAB!$F$14:$F$143,RAB!$C$14:$C$143,'REKAP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SUMIFS(RAB!$F$14:$F$143,RAB!$C$14:$C$143,'REKAP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SUMIFS(RAB!$F$14:$F$143,RAB!$C$14:$C$143,'REKAP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SUMIFS(RAB!$F$14:$F$143,RAB!$C$14:$C$143,'REKAP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SUMIFS(RAB!$F$14:$F$143,RAB!$C$14:$C$143,'REKAP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SUMIFS(RAB!$F$14:$F$143,RAB!$C$14:$C$143,'REKAP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SUMIFS(RAB!$F$14:$F$143,RAB!$C$14:$C$143,'REKAP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SUMIFS(RAB!$F$14:$F$143,RAB!$C$14:$C$143,'REKAP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SUMIFS(RAB!$F$14:$F$143,RAB!$C$14:$C$143,'REKAP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SUMIFS(RAB!$F$14:$F$143,RAB!$C$14:$C$143,'REKAP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SUMIFS(RAB!$F$14:$F$143,RAB!$C$14:$C$143,'REKAP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SUMIFS(RAB!$F$14:$F$143,RAB!$C$14:$C$143,'REKAP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SUMIFS(RAB!$F$14:$F$143,RAB!$C$14:$C$143,'REKAP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SUMIFS(RAB!$F$14:$F$143,RAB!$C$14:$C$143,'REKAP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SUMIFS(RAB!$F$14:$F$143,RAB!$C$14:$C$143,'REKAP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SUMIFS(RAB!$F$14:$F$143,RAB!$C$14:$C$143,'REKAP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66406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6640625" style="29" customWidth="1"/>
    <col min="13" max="13" width="6.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66406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1005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1008</v>
      </c>
      <c r="F6" s="144" t="s">
        <v>9</v>
      </c>
      <c r="G6" s="538" t="str">
        <f>RAB!G6</f>
        <v>GUNAWAN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1009</v>
      </c>
      <c r="F7" s="144" t="s">
        <v>9</v>
      </c>
      <c r="G7" s="106" t="str">
        <f>RAB!G7</f>
        <v>DS BANDUNGREJO</v>
      </c>
      <c r="H7" s="107"/>
      <c r="S7" s="73"/>
      <c r="T7" s="82"/>
      <c r="U7" s="73"/>
    </row>
    <row r="8" spans="1:21">
      <c r="C8" s="31"/>
      <c r="D8" s="25"/>
      <c r="E8" s="106" t="s">
        <v>1010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32</v>
      </c>
      <c r="E11" s="551" t="s">
        <v>33</v>
      </c>
      <c r="F11" s="551" t="s">
        <v>2</v>
      </c>
      <c r="G11" s="552" t="s">
        <v>31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36</v>
      </c>
      <c r="I12" s="543" t="s">
        <v>5</v>
      </c>
      <c r="J12" s="541" t="s">
        <v>37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1006</v>
      </c>
      <c r="C15" s="76" t="s">
        <v>1005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2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100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56838600</v>
      </c>
      <c r="H17" s="42">
        <f t="shared" ca="1" si="1"/>
        <v>56838600</v>
      </c>
      <c r="I17" s="42">
        <f t="shared" ca="1" si="2"/>
        <v>0</v>
      </c>
      <c r="J17" s="42">
        <f t="shared" ca="1" si="3"/>
        <v>0</v>
      </c>
      <c r="K17" s="43">
        <f t="shared" ca="1" si="0"/>
        <v>56838600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110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5995000</v>
      </c>
      <c r="I18" s="42">
        <f t="shared" ca="1" si="2"/>
        <v>0</v>
      </c>
      <c r="J18" s="42">
        <f t="shared" ca="1" si="3"/>
        <v>0</v>
      </c>
      <c r="K18" s="43">
        <f t="shared" ca="1" si="0"/>
        <v>5995000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981</v>
      </c>
      <c r="D168" s="539"/>
      <c r="E168" s="539"/>
      <c r="F168" s="539"/>
      <c r="G168" s="77" t="s">
        <v>9</v>
      </c>
      <c r="H168" s="55">
        <f ca="1">SUM(H14:H167)</f>
        <v>64337800</v>
      </c>
      <c r="I168" s="55">
        <f ca="1">SUM(I14:I167)</f>
        <v>0</v>
      </c>
      <c r="J168" s="55">
        <f ca="1">SUM(J14:J167)</f>
        <v>0</v>
      </c>
      <c r="K168" s="55">
        <f ca="1">SUM(K14:K167)</f>
        <v>64337800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452</v>
      </c>
      <c r="D169" s="540"/>
      <c r="E169" s="540"/>
      <c r="F169" s="540"/>
      <c r="G169" s="59" t="s">
        <v>9</v>
      </c>
      <c r="H169" s="60">
        <f ca="1">H168*0.1</f>
        <v>6433780</v>
      </c>
      <c r="I169" s="60">
        <f ca="1">I168*0.1</f>
        <v>0</v>
      </c>
      <c r="J169" s="60">
        <f ca="1">J168*0.1</f>
        <v>0</v>
      </c>
      <c r="K169" s="60">
        <f ca="1">K168*0.1</f>
        <v>6433780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29" t="s">
        <v>453</v>
      </c>
      <c r="D170" s="529"/>
      <c r="E170" s="529"/>
      <c r="F170" s="529"/>
      <c r="G170" s="61" t="s">
        <v>9</v>
      </c>
      <c r="H170" s="78">
        <f ca="1">SUM(H168:H169)</f>
        <v>70771580</v>
      </c>
      <c r="I170" s="78">
        <f ca="1">SUM(I168:I169)</f>
        <v>0</v>
      </c>
      <c r="J170" s="61">
        <f ca="1">SUM(J168:J169)</f>
        <v>0</v>
      </c>
      <c r="K170" s="61">
        <f ca="1">SUM(K168:K169)</f>
        <v>70771580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PROPER([89]!terbilang(K170))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SUMIFS(RAB!$F$14:$F$143,RAB!$C$14:$C$143,C224)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SUMIFS(RAB!$F$14:$F$143,RAB!$C$14:$C$143,C225)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SUMIFS(RAB!$F$14:$F$143,RAB!$C$14:$C$143,C226)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SUMIFS(RAB!$F$14:$F$143,RAB!$C$14:$C$143,C227)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SUMIFS(RAB!$F$14:$F$143,RAB!$C$14:$C$143,C228)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SUMIFS(RAB!$F$14:$F$143,RAB!$C$14:$C$143,C229)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SUMIFS(RAB!$F$14:$F$143,RAB!$C$14:$C$143,C230)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SUMIFS(RAB!$F$14:$F$143,RAB!$C$14:$C$143,C231)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SUMIFS(RAB!$F$14:$F$143,RAB!$C$14:$C$143,C232)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SUMIFS(RAB!$F$14:$F$143,RAB!$C$14:$C$143,C233)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SUMIFS(RAB!$F$14:$F$143,RAB!$C$14:$C$143,C234)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SUMIFS(RAB!$F$14:$F$143,RAB!$C$14:$C$143,C235)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SUMIFS(RAB!$F$14:$F$143,RAB!$C$14:$C$143,C236)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SUMIFS(RAB!$F$14:$F$143,RAB!$C$14:$C$143,C237)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SUMIFS(RAB!$F$14:$F$143,RAB!$C$14:$C$143,C238)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SUMIFS(RAB!$F$14:$F$143,RAB!$C$14:$C$143,C239)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SUMIFS(RAB!$F$14:$F$143,RAB!$C$14:$C$143,C240)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SUMIFS(RAB!$F$14:$F$143,RAB!$C$14:$C$143,C241)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SUMIFS(RAB!$F$14:$F$143,RAB!$C$14:$C$143,C242)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SUMIFS(RAB!$F$14:$F$143,RAB!$C$14:$C$143,C243)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SUMIFS(RAB!$F$14:$F$143,RAB!$C$14:$C$143,C244)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SUMIFS(RAB!$F$14:$F$143,RAB!$C$14:$C$143,C245)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SUMIFS(RAB!$F$14:$F$143,RAB!$C$14:$C$143,C246)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SUMIFS(RAB!$F$14:$F$143,RAB!$C$14:$C$143,C247)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SUMIFS(RAB!$F$14:$F$143,RAB!$C$14:$C$143,C248)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SUMIFS(RAB!$F$14:$F$143,RAB!$C$14:$C$143,C249)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SUMIFS(RAB!$F$14:$F$143,RAB!$C$14:$C$143,C250)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SUMIFS(RAB!$F$14:$F$143,RAB!$C$14:$C$143,C251)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SUMIFS(RAB!$F$14:$F$143,RAB!$C$14:$C$143,C252)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SUMIFS(RAB!$F$14:$F$143,RAB!$C$14:$C$143,C253)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SUMIFS(RAB!$F$14:$F$143,RAB!$C$14:$C$143,C254)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SUMIFS(RAB!$F$14:$F$143,RAB!$C$14:$C$143,C255)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SUMIFS(RAB!$F$14:$F$143,RAB!$C$14:$C$143,C256)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SUMIFS(RAB!$F$14:$F$143,RAB!$C$14:$C$143,C257)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SUMIFS(RAB!$F$14:$F$143,RAB!$C$14:$C$143,C258)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SUMIFS(RAB!$F$14:$F$143,RAB!$C$14:$C$143,C259)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SUMIFS(RAB!$F$14:$F$143,RAB!$C$14:$C$143,C260)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SUMIFS(RAB!$F$14:$F$143,RAB!$C$14:$C$143,C261)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SUMIFS(RAB!$F$14:$F$143,RAB!$C$14:$C$143,C262)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SUMIFS(RAB!$F$14:$F$143,RAB!$C$14:$C$143,C263)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SUMIFS(RAB!$F$14:$F$143,RAB!$C$14:$C$143,C264)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SUMIFS(RAB!$F$14:$F$143,RAB!$C$14:$C$143,C265)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SUMIFS(RAB!$F$14:$F$143,RAB!$C$14:$C$143,C266)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SUMIFS(RAB!$F$14:$F$143,RAB!$C$14:$C$143,C267)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SUMIFS(RAB!$F$14:$F$143,RAB!$C$14:$C$143,C268)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SUMIFS(RAB!$F$14:$F$143,RAB!$C$14:$C$143,C269)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SUMIFS(RAB!$F$14:$F$143,RAB!$C$14:$C$143,C270)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SUMIFS(RAB!$F$14:$F$143,RAB!$C$14:$C$143,C271)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SUMIFS(RAB!$F$14:$F$143,RAB!$C$14:$C$143,C272)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SUMIFS(RAB!$F$14:$F$143,RAB!$C$14:$C$143,C273)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SUMIFS(RAB!$F$14:$F$143,RAB!$C$14:$C$143,C274)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SUMIFS(RAB!$F$14:$F$143,RAB!$C$14:$C$143,C275)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SUMIFS(RAB!$F$14:$F$143,RAB!$C$14:$C$143,C276)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SUMIFS(RAB!$F$14:$F$143,RAB!$C$14:$C$143,C277)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SUMIFS(RAB!$F$14:$F$143,RAB!$C$14:$C$143,C278)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SUMIFS(RAB!$F$14:$F$143,RAB!$C$14:$C$143,C279)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SUMIFS(RAB!$F$14:$F$143,RAB!$C$14:$C$143,C280)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SUMIFS(RAB!$F$14:$F$143,RAB!$C$14:$C$143,C281)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SUMIFS(RAB!$F$14:$F$143,RAB!$C$14:$C$143,C282)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SUMIFS(RAB!$F$14:$F$143,RAB!$C$14:$C$143,C283)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SUMIFS(RAB!$F$14:$F$143,RAB!$C$14:$C$143,C284)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SUMIFS(RAB!$F$14:$F$143,RAB!$C$14:$C$143,C285)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SUMIFS(RAB!$F$14:$F$143,RAB!$C$14:$C$143,C286)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SUMIFS(RAB!$F$14:$F$143,RAB!$C$14:$C$143,C287)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SUMIFS(RAB!$F$14:$F$143,RAB!$C$14:$C$143,C288)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SUMIFS(RAB!$F$14:$F$143,RAB!$C$14:$C$143,C289)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SUMIFS(RAB!$F$14:$F$143,RAB!$C$14:$C$143,C290)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SUMIFS(RAB!$F$14:$F$143,RAB!$C$14:$C$143,C291)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SUMIFS(RAB!$F$14:$F$143,RAB!$C$14:$C$143,C292)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SUMIFS(RAB!$F$14:$F$143,RAB!$C$14:$C$143,C293)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SUMIFS(RAB!$F$14:$F$143,RAB!$C$14:$C$143,C294)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SUMIFS(RAB!$F$14:$F$143,RAB!$C$14:$C$143,C295)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SUMIFS(RAB!$F$14:$F$143,RAB!$C$14:$C$143,C296)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SUMIFS(RAB!$F$14:$F$143,RAB!$C$14:$C$143,C297)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SUMIFS(RAB!$F$14:$F$143,RAB!$C$14:$C$143,C298)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SUMIFS(RAB!$F$14:$F$143,RAB!$C$14:$C$143,C299)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SUMIFS(RAB!$F$14:$F$143,RAB!$C$14:$C$143,C300)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SUMIFS(RAB!$F$14:$F$143,RAB!$C$14:$C$143,C301)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SUMIFS(RAB!$F$14:$F$143,RAB!$C$14:$C$143,C302)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SUMIFS(RAB!$F$14:$F$143,RAB!$C$14:$C$143,C303)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SUMIFS(RAB!$F$14:$F$143,RAB!$C$14:$C$143,C304)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SUMIFS(RAB!$F$14:$F$143,RAB!$C$14:$C$143,C305)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SUMIFS(RAB!$F$14:$F$143,RAB!$C$14:$C$143,C306)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SUMIFS(RAB!$F$14:$F$143,RAB!$C$14:$C$143,C307)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SUMIFS(RAB!$F$14:$F$143,RAB!$C$14:$C$143,C308)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SUMIFS(RAB!$F$14:$F$143,RAB!$C$14:$C$143,C309)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SUMIFS(RAB!$F$14:$F$143,RAB!$C$14:$C$143,C310)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SUMIFS(RAB!$F$14:$F$143,RAB!$C$14:$C$143,C311)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SUMIFS(RAB!$F$14:$F$143,RAB!$C$14:$C$143,C312)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SUMIFS(RAB!$F$14:$F$143,RAB!$C$14:$C$143,C313)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SUMIFS(RAB!$F$14:$F$143,RAB!$C$14:$C$143,C314)</f>
        <v>1</v>
      </c>
      <c r="E314" s="24">
        <f t="shared" ca="1" si="22"/>
        <v>1</v>
      </c>
      <c r="F314" s="24">
        <f ca="1">IF(D314=0,0,SUM($E$223:E314))</f>
        <v>2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SUMIFS(RAB!$F$14:$F$143,RAB!$C$14:$C$143,C315)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SUMIFS(RAB!$F$14:$F$143,RAB!$C$14:$C$143,C316)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SUMIFS(RAB!$F$14:$F$143,RAB!$C$14:$C$143,C317)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SUMIFS(RAB!$F$14:$F$143,RAB!$C$14:$C$143,C318)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SUMIFS(RAB!$F$14:$F$143,RAB!$C$14:$C$143,C319)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SUMIFS(RAB!$F$14:$F$143,RAB!$C$14:$C$143,C320)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SUMIFS(RAB!$F$14:$F$143,RAB!$C$14:$C$143,C321)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SUMIFS(RAB!$F$14:$F$143,RAB!$C$14:$C$143,C322)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SUMIFS(RAB!$F$14:$F$143,RAB!$C$14:$C$143,C323)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SUMIFS(RAB!$F$14:$F$143,RAB!$C$14:$C$143,C324)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SUMIFS(RAB!$F$14:$F$143,RAB!$C$14:$C$143,C325)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SUMIFS(RAB!$F$14:$F$143,RAB!$C$14:$C$143,C326)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SUMIFS(RAB!$F$14:$F$143,RAB!$C$14:$C$143,C327)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SUMIFS(RAB!$F$14:$F$143,RAB!$C$14:$C$143,C328)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SUMIFS(RAB!$F$14:$F$143,RAB!$C$14:$C$143,C329)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SUMIFS(RAB!$F$14:$F$143,RAB!$C$14:$C$143,C330)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SUMIFS(RAB!$F$14:$F$143,RAB!$C$14:$C$143,C331)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SUMIFS(RAB!$F$14:$F$143,RAB!$C$14:$C$143,C332)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SUMIFS(RAB!$F$14:$F$143,RAB!$C$14:$C$143,C333)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SUMIFS(RAB!$F$14:$F$143,RAB!$C$14:$C$143,C334)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SUMIFS(RAB!$F$14:$F$143,RAB!$C$14:$C$143,C335)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SUMIFS(RAB!$F$14:$F$143,RAB!$C$14:$C$143,C336)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SUMIFS(RAB!$F$14:$F$143,RAB!$C$14:$C$143,C337)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SUMIFS(RAB!$F$14:$F$143,RAB!$C$14:$C$143,C338)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SUMIFS(RAB!$F$14:$F$143,RAB!$C$14:$C$143,C339)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SUMIFS(RAB!$F$14:$F$143,RAB!$C$14:$C$143,C340)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SUMIFS(RAB!$F$14:$F$143,RAB!$C$14:$C$143,C341)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SUMIFS(RAB!$F$14:$F$143,RAB!$C$14:$C$143,C342)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SUMIFS(RAB!$F$14:$F$143,RAB!$C$14:$C$143,C343)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SUMIFS(RAB!$F$14:$F$143,RAB!$C$14:$C$143,C344)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SUMIFS(RAB!$F$14:$F$143,RAB!$C$14:$C$143,C345)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SUMIFS(RAB!$F$14:$F$143,RAB!$C$14:$C$143,C346)</f>
        <v>110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SUMIFS(RAB!$F$14:$F$143,RAB!$C$14:$C$143,C347)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SUMIFS(RAB!$F$14:$F$143,RAB!$C$14:$C$143,C348)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SUMIFS(RAB!$F$14:$F$143,RAB!$C$14:$C$143,C349)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SUMIFS(RAB!$F$14:$F$143,RAB!$C$14:$C$143,C350)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SUMIFS(RAB!$F$14:$F$143,RAB!$C$14:$C$143,C351)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SUMIFS(RAB!$F$14:$F$143,RAB!$C$14:$C$143,C352)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SUMIFS(RAB!$F$14:$F$143,RAB!$C$14:$C$143,C353)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SUMIFS(RAB!$F$14:$F$143,RAB!$C$14:$C$143,C354)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SUMIFS(RAB!$F$14:$F$143,RAB!$C$14:$C$143,C355)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SUMIFS(RAB!$F$14:$F$143,RAB!$C$14:$C$143,C356)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SUMIFS(RAB!$F$14:$F$143,RAB!$C$14:$C$143,C357)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SUMIFS(RAB!$F$14:$F$143,RAB!$C$14:$C$143,C358)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SUMIFS(RAB!$F$14:$F$143,RAB!$C$14:$C$143,C359)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SUMIFS(RAB!$F$14:$F$143,RAB!$C$14:$C$143,C360)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SUMIFS(RAB!$F$14:$F$143,RAB!$C$14:$C$143,C361)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SUMIFS(RAB!$F$14:$F$143,RAB!$C$14:$C$143,C362)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SUMIFS(RAB!$F$14:$F$143,RAB!$C$14:$C$143,C363)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SUMIFS(RAB!$F$14:$F$143,RAB!$C$14:$C$143,C364)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SUMIFS(RAB!$F$14:$F$143,RAB!$C$14:$C$143,C365)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SUMIFS(RAB!$F$14:$F$143,RAB!$C$14:$C$143,C366)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SUMIFS(RAB!$F$14:$F$143,RAB!$C$14:$C$143,C367)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SUMIFS(RAB!$F$14:$F$143,RAB!$C$14:$C$143,C368)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SUMIFS(RAB!$F$14:$F$143,RAB!$C$14:$C$143,C369)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SUMIFS(RAB!$F$14:$F$143,RAB!$C$14:$C$143,C370)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SUMIFS(RAB!$F$14:$F$143,RAB!$C$14:$C$143,C371)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SUMIFS(RAB!$F$14:$F$143,RAB!$C$14:$C$143,C372)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SUMIFS(RAB!$F$14:$F$143,RAB!$C$14:$C$143,C373)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1" priority="5" operator="equal">
      <formula>0</formula>
    </cfRule>
  </conditionalFormatting>
  <conditionalFormatting sqref="C16:C165">
    <cfRule type="cellIs" dxfId="50" priority="4" stopIfTrue="1" operator="equal">
      <formula>0</formula>
    </cfRule>
  </conditionalFormatting>
  <conditionalFormatting sqref="C16:E165">
    <cfRule type="cellIs" dxfId="49" priority="1" operator="equal">
      <formula>0</formula>
    </cfRule>
  </conditionalFormatting>
  <conditionalFormatting sqref="D224:F373">
    <cfRule type="cellIs" dxfId="48" priority="8" operator="equal">
      <formula>0</formula>
    </cfRule>
  </conditionalFormatting>
  <conditionalFormatting sqref="E1:E3 G1:G115 E6:E15 H12:I12 N13 F14:F15 H14:K115 E166:K166 G166:G223 E167:F167 H167:K167">
    <cfRule type="cellIs" dxfId="47" priority="43" stopIfTrue="1" operator="equal">
      <formula>0</formula>
    </cfRule>
  </conditionalFormatting>
  <conditionalFormatting sqref="E171:E65536">
    <cfRule type="cellIs" dxfId="46" priority="9" stopIfTrue="1" operator="equal">
      <formula>0</formula>
    </cfRule>
  </conditionalFormatting>
  <conditionalFormatting sqref="G224">
    <cfRule type="cellIs" dxfId="45" priority="10" operator="equal">
      <formula>0</formula>
    </cfRule>
  </conditionalFormatting>
  <conditionalFormatting sqref="G225:G65536">
    <cfRule type="cellIs" dxfId="44" priority="14" stopIfTrue="1" operator="equal">
      <formula>0</formula>
    </cfRule>
  </conditionalFormatting>
  <conditionalFormatting sqref="R14:T166 G116:K165">
    <cfRule type="cellIs" dxfId="4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5" customWidth="1"/>
  </cols>
  <sheetData>
    <row r="1" spans="4:4" ht="89.25" customHeight="1"/>
    <row r="3" spans="4:4" ht="50.25" customHeight="1">
      <c r="D3" s="370"/>
    </row>
    <row r="4" spans="4:4" ht="57" customHeight="1">
      <c r="D4" s="370">
        <v>3</v>
      </c>
    </row>
    <row r="5" spans="4:4" ht="57" customHeight="1">
      <c r="D5" s="37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5" activePane="bottomRight" state="frozen"/>
      <selection activeCell="D209" sqref="D209"/>
      <selection pane="topRight" activeCell="D209" sqref="D209"/>
      <selection pane="bottomLeft" activeCell="D209" sqref="D209"/>
      <selection pane="bottomRight" activeCell="C141" sqref="C141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5" style="5" customWidth="1"/>
    <col min="252" max="252" width="3.66406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57" t="s">
        <v>31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13</v>
      </c>
      <c r="C4" s="559" t="s">
        <v>983</v>
      </c>
      <c r="D4" s="559" t="s">
        <v>32</v>
      </c>
      <c r="E4" s="558" t="s">
        <v>33</v>
      </c>
      <c r="F4" s="108" t="s">
        <v>1575</v>
      </c>
      <c r="G4" s="108" t="s">
        <v>1574</v>
      </c>
      <c r="H4" s="556" t="s">
        <v>996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82" t="s">
        <v>1574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1112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1111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1168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1169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1167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1113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1518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1519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1520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1521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1522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1523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1524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1525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1294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1295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1296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1297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1298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1299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1300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1301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1302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1303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1304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1305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1306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1307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1308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1309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1310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1311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1312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1313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1314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1315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1352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1353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1354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1355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1356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1357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1358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1359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1360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1361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1362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1363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1364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1365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1366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1367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1316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1317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1165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1166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984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985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986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987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988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1164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1368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1369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1370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1114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1115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1116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1117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1118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1119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1120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1121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1122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1123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1526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1014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1015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1016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1017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1527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1371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1372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1124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1004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1528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1529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1018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573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574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1530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1100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1531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1532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1373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1374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1429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1430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572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1533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1534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1535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1536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1537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1538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1539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1540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1541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1542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1543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1544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1545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1546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1547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1548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1549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1550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1551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1552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1553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1554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1555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1556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1557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1558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1559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1560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1561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1562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1563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1564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1565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1566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1567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1568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1569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1431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1432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575</v>
      </c>
      <c r="C315" s="109" t="s">
        <v>576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1127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1125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1126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577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1433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1434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1435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1436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1375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578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579</v>
      </c>
      <c r="C361" s="109" t="s">
        <v>580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581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582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1128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583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584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585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586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587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588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1437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96" t="s">
        <v>589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989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990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590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591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592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1019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1020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1021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1022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1023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1024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593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594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595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96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596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597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598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599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600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1438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1439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601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602</v>
      </c>
      <c r="C557" s="109" t="s">
        <v>603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1440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1441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1442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1443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1444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1445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1446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1447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1448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1449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1450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1451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1452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1453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1454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1455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1456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1457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1458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1459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1460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1461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1462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1463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1464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604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605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1063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606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1064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607</v>
      </c>
      <c r="C598" s="109" t="s">
        <v>1025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1026</v>
      </c>
      <c r="D599" s="202" t="s">
        <v>35</v>
      </c>
      <c r="E599" s="203" t="s">
        <v>1061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1027</v>
      </c>
      <c r="D600" s="202" t="s">
        <v>35</v>
      </c>
      <c r="E600" s="203" t="s">
        <v>1061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1129</v>
      </c>
      <c r="D601" s="202" t="s">
        <v>35</v>
      </c>
      <c r="E601" s="203" t="s">
        <v>1061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1130</v>
      </c>
      <c r="D602" s="202" t="s">
        <v>35</v>
      </c>
      <c r="E602" s="203" t="s">
        <v>1061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1131</v>
      </c>
      <c r="D603" s="202" t="s">
        <v>35</v>
      </c>
      <c r="E603" s="203" t="s">
        <v>1061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1028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1132</v>
      </c>
      <c r="D605" s="202" t="s">
        <v>35</v>
      </c>
      <c r="E605" s="203" t="s">
        <v>1061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792</v>
      </c>
      <c r="C607" s="109" t="s">
        <v>1030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1037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1038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1039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1040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1041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1042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1043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1044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1045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1046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1047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1048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1049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1050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1051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1052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1135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1053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1054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1055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1056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1057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1058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1059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1060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975</v>
      </c>
      <c r="C634" s="109" t="s">
        <v>1075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1161</v>
      </c>
      <c r="C635" s="109" t="s">
        <v>1318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1076</v>
      </c>
      <c r="D636" s="202" t="s">
        <v>37</v>
      </c>
      <c r="E636" s="203" t="s">
        <v>1092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1077</v>
      </c>
      <c r="D637" s="202" t="s">
        <v>37</v>
      </c>
      <c r="E637" s="203" t="s">
        <v>1093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1078</v>
      </c>
      <c r="D638" s="202" t="s">
        <v>37</v>
      </c>
      <c r="E638" s="203" t="s">
        <v>1094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1079</v>
      </c>
      <c r="D639" s="202" t="s">
        <v>37</v>
      </c>
      <c r="E639" s="203" t="s">
        <v>1094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1080</v>
      </c>
      <c r="D640" s="202" t="s">
        <v>35</v>
      </c>
      <c r="E640" s="203" t="s">
        <v>1094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1081</v>
      </c>
      <c r="D641" s="202" t="s">
        <v>35</v>
      </c>
      <c r="E641" s="203" t="s">
        <v>1094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1082</v>
      </c>
      <c r="D642" s="202" t="s">
        <v>35</v>
      </c>
      <c r="E642" s="203" t="s">
        <v>1094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1083</v>
      </c>
      <c r="D643" s="202" t="s">
        <v>35</v>
      </c>
      <c r="E643" s="203" t="s">
        <v>1094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1084</v>
      </c>
      <c r="D644" s="202" t="s">
        <v>35</v>
      </c>
      <c r="E644" s="203" t="s">
        <v>1095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1162</v>
      </c>
      <c r="C646" s="109" t="s">
        <v>1085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1086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1087</v>
      </c>
      <c r="D648" s="202" t="s">
        <v>37</v>
      </c>
      <c r="E648" s="203" t="s">
        <v>1094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1088</v>
      </c>
      <c r="D649" s="202" t="s">
        <v>37</v>
      </c>
      <c r="E649" s="203" t="s">
        <v>1094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1089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1090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1163</v>
      </c>
      <c r="C653" s="109" t="s">
        <v>1091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1029</v>
      </c>
      <c r="C655" s="109" t="s">
        <v>608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1002</v>
      </c>
      <c r="C656" s="109" t="s">
        <v>609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610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611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612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613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614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615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616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617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618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619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620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621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622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623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624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625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626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627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628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629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630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1002</v>
      </c>
      <c r="C679" s="109" t="s">
        <v>631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632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633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634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635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636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637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638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639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640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641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642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643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644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645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646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647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648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649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650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651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652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653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654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655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656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657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658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659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660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661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662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663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664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665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1465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1466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1467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1468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1469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1470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1471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1472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1473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1474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1475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1476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1477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1478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1479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1480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1002</v>
      </c>
      <c r="C731" s="109" t="s">
        <v>666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667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668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669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670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671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672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1002</v>
      </c>
      <c r="C739" s="109" t="s">
        <v>673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674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675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676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677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678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679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680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681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682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683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1481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684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685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686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687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688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689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690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691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692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693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694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695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696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697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698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1482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699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700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701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1483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702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703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1484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1485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704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705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706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707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708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709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710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711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712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1002</v>
      </c>
      <c r="C785" s="109" t="s">
        <v>713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714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715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1486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716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717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718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719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720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1488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1487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721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722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723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724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1002</v>
      </c>
      <c r="C801" s="109" t="s">
        <v>1030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1031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1032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1033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1034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1035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1036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1133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1134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1002</v>
      </c>
      <c r="C811" s="109" t="s">
        <v>725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726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727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728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729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730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731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732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733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734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735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736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737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738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739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740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741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742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743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744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745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746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747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748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749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750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751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752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753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754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755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756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757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758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759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760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1136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1137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991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992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1002</v>
      </c>
      <c r="C853" s="109" t="s">
        <v>1139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1140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1141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1142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1143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1002</v>
      </c>
      <c r="C859" s="109" t="s">
        <v>761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762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763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764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765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766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767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768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769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1570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1096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1002</v>
      </c>
      <c r="C917" s="109" t="s">
        <v>770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1002</v>
      </c>
      <c r="C926" s="109" t="s">
        <v>761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1170</v>
      </c>
      <c r="D927" s="202" t="s">
        <v>37</v>
      </c>
      <c r="E927" s="203" t="s">
        <v>1073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1171</v>
      </c>
      <c r="D928" s="202" t="s">
        <v>37</v>
      </c>
      <c r="E928" s="203" t="s">
        <v>1073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1172</v>
      </c>
      <c r="D929" s="202" t="s">
        <v>37</v>
      </c>
      <c r="E929" s="203" t="s">
        <v>1073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1173</v>
      </c>
      <c r="D930" s="202" t="s">
        <v>37</v>
      </c>
      <c r="E930" s="203" t="s">
        <v>1073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1174</v>
      </c>
      <c r="D931" s="202" t="s">
        <v>37</v>
      </c>
      <c r="E931" s="203" t="s">
        <v>1073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1175</v>
      </c>
      <c r="D932" s="202" t="s">
        <v>37</v>
      </c>
      <c r="E932" s="203" t="s">
        <v>1073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1176</v>
      </c>
      <c r="D933" s="202" t="s">
        <v>37</v>
      </c>
      <c r="E933" s="203" t="s">
        <v>1073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1177</v>
      </c>
      <c r="D934" s="202" t="s">
        <v>37</v>
      </c>
      <c r="E934" s="203" t="s">
        <v>1073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1178</v>
      </c>
      <c r="D935" s="202" t="s">
        <v>37</v>
      </c>
      <c r="E935" s="203" t="s">
        <v>1073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1179</v>
      </c>
      <c r="D936" s="202" t="s">
        <v>37</v>
      </c>
      <c r="E936" s="203" t="s">
        <v>1073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1180</v>
      </c>
      <c r="D937" s="202" t="s">
        <v>37</v>
      </c>
      <c r="E937" s="203" t="s">
        <v>1073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1181</v>
      </c>
      <c r="D938" s="202" t="s">
        <v>37</v>
      </c>
      <c r="E938" s="203" t="s">
        <v>1073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1182</v>
      </c>
      <c r="D939" s="202" t="s">
        <v>37</v>
      </c>
      <c r="E939" s="203" t="s">
        <v>1073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1183</v>
      </c>
      <c r="D940" s="202" t="s">
        <v>37</v>
      </c>
      <c r="E940" s="203" t="s">
        <v>1073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1184</v>
      </c>
      <c r="D941" s="202" t="s">
        <v>37</v>
      </c>
      <c r="E941" s="203" t="s">
        <v>1073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1185</v>
      </c>
      <c r="D942" s="202" t="s">
        <v>37</v>
      </c>
      <c r="E942" s="203" t="s">
        <v>1073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1186</v>
      </c>
      <c r="D943" s="202" t="s">
        <v>37</v>
      </c>
      <c r="E943" s="203" t="s">
        <v>1073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1187</v>
      </c>
      <c r="D944" s="202" t="s">
        <v>37</v>
      </c>
      <c r="E944" s="203" t="s">
        <v>1073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1188</v>
      </c>
      <c r="D945" s="202" t="s">
        <v>37</v>
      </c>
      <c r="E945" s="203" t="s">
        <v>1073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1189</v>
      </c>
      <c r="D946" s="202" t="s">
        <v>37</v>
      </c>
      <c r="E946" s="203" t="s">
        <v>1073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1190</v>
      </c>
      <c r="D947" s="202" t="s">
        <v>37</v>
      </c>
      <c r="E947" s="203" t="s">
        <v>1073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1191</v>
      </c>
      <c r="D948" s="202" t="s">
        <v>37</v>
      </c>
      <c r="E948" s="203" t="s">
        <v>1073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1192</v>
      </c>
      <c r="D949" s="202" t="s">
        <v>37</v>
      </c>
      <c r="E949" s="203" t="s">
        <v>1073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1193</v>
      </c>
      <c r="D950" s="202" t="s">
        <v>37</v>
      </c>
      <c r="E950" s="203" t="s">
        <v>1073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1194</v>
      </c>
      <c r="D951" s="202" t="s">
        <v>37</v>
      </c>
      <c r="E951" s="203" t="s">
        <v>1073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1195</v>
      </c>
      <c r="D952" s="202" t="s">
        <v>37</v>
      </c>
      <c r="E952" s="203" t="s">
        <v>1073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1196</v>
      </c>
      <c r="D953" s="202" t="s">
        <v>37</v>
      </c>
      <c r="E953" s="203" t="s">
        <v>1073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1197</v>
      </c>
      <c r="D954" s="202" t="s">
        <v>37</v>
      </c>
      <c r="E954" s="203" t="s">
        <v>1073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1198</v>
      </c>
      <c r="D955" s="202" t="s">
        <v>37</v>
      </c>
      <c r="E955" s="203" t="s">
        <v>1073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1199</v>
      </c>
      <c r="D956" s="202" t="s">
        <v>37</v>
      </c>
      <c r="E956" s="203" t="s">
        <v>1073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1200</v>
      </c>
      <c r="D957" s="202" t="s">
        <v>37</v>
      </c>
      <c r="E957" s="203" t="s">
        <v>1073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1201</v>
      </c>
      <c r="D958" s="202" t="s">
        <v>37</v>
      </c>
      <c r="E958" s="203" t="s">
        <v>1073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1202</v>
      </c>
      <c r="D959" s="202" t="s">
        <v>37</v>
      </c>
      <c r="E959" s="203" t="s">
        <v>1073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1203</v>
      </c>
      <c r="D960" s="202" t="s">
        <v>37</v>
      </c>
      <c r="E960" s="203" t="s">
        <v>1073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1204</v>
      </c>
      <c r="D961" s="202" t="s">
        <v>37</v>
      </c>
      <c r="E961" s="203" t="s">
        <v>1073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1205</v>
      </c>
      <c r="D962" s="202" t="s">
        <v>37</v>
      </c>
      <c r="E962" s="203" t="s">
        <v>1073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1206</v>
      </c>
      <c r="D963" s="202" t="s">
        <v>37</v>
      </c>
      <c r="E963" s="203" t="s">
        <v>1073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1207</v>
      </c>
      <c r="D964" s="202" t="s">
        <v>37</v>
      </c>
      <c r="E964" s="203" t="s">
        <v>1073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1208</v>
      </c>
      <c r="D965" s="202" t="s">
        <v>37</v>
      </c>
      <c r="E965" s="203" t="s">
        <v>1073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1209</v>
      </c>
      <c r="D966" s="202" t="s">
        <v>37</v>
      </c>
      <c r="E966" s="203" t="s">
        <v>1073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1210</v>
      </c>
      <c r="D967" s="202" t="s">
        <v>37</v>
      </c>
      <c r="E967" s="203" t="s">
        <v>1073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1211</v>
      </c>
      <c r="D968" s="202" t="s">
        <v>37</v>
      </c>
      <c r="E968" s="203" t="s">
        <v>1073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1212</v>
      </c>
      <c r="D969" s="202" t="s">
        <v>37</v>
      </c>
      <c r="E969" s="203" t="s">
        <v>1073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1213</v>
      </c>
      <c r="D970" s="202" t="s">
        <v>37</v>
      </c>
      <c r="E970" s="203" t="s">
        <v>1073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1214</v>
      </c>
      <c r="D971" s="202" t="s">
        <v>37</v>
      </c>
      <c r="E971" s="203" t="s">
        <v>1073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1215</v>
      </c>
      <c r="D972" s="202" t="s">
        <v>37</v>
      </c>
      <c r="E972" s="203" t="s">
        <v>1073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1216</v>
      </c>
      <c r="D973" s="202" t="s">
        <v>37</v>
      </c>
      <c r="E973" s="203" t="s">
        <v>1073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1217</v>
      </c>
      <c r="D974" s="202" t="s">
        <v>37</v>
      </c>
      <c r="E974" s="203" t="s">
        <v>1073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1218</v>
      </c>
      <c r="D975" s="202" t="s">
        <v>37</v>
      </c>
      <c r="E975" s="203" t="s">
        <v>1073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1219</v>
      </c>
      <c r="D976" s="202" t="s">
        <v>37</v>
      </c>
      <c r="E976" s="203" t="s">
        <v>1073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1220</v>
      </c>
      <c r="D977" s="202" t="s">
        <v>37</v>
      </c>
      <c r="E977" s="203" t="s">
        <v>1073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1221</v>
      </c>
      <c r="D978" s="202" t="s">
        <v>37</v>
      </c>
      <c r="E978" s="203" t="s">
        <v>1073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1222</v>
      </c>
      <c r="D979" s="202" t="s">
        <v>37</v>
      </c>
      <c r="E979" s="203" t="s">
        <v>1073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1223</v>
      </c>
      <c r="D980" s="202" t="s">
        <v>37</v>
      </c>
      <c r="E980" s="203" t="s">
        <v>1073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1224</v>
      </c>
      <c r="D981" s="202" t="s">
        <v>37</v>
      </c>
      <c r="E981" s="203" t="s">
        <v>1073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1002</v>
      </c>
      <c r="C983" s="109" t="s">
        <v>770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1225</v>
      </c>
      <c r="D984" s="202" t="s">
        <v>37</v>
      </c>
      <c r="E984" s="203" t="s">
        <v>1073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1226</v>
      </c>
      <c r="D985" s="202" t="s">
        <v>37</v>
      </c>
      <c r="E985" s="203" t="s">
        <v>1073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1227</v>
      </c>
      <c r="D986" s="202" t="s">
        <v>37</v>
      </c>
      <c r="E986" s="203" t="s">
        <v>1073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1228</v>
      </c>
      <c r="D987" s="202" t="s">
        <v>37</v>
      </c>
      <c r="E987" s="203" t="s">
        <v>1073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1229</v>
      </c>
      <c r="D988" s="202" t="s">
        <v>37</v>
      </c>
      <c r="E988" s="203" t="s">
        <v>1073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1230</v>
      </c>
      <c r="D989" s="202" t="s">
        <v>37</v>
      </c>
      <c r="E989" s="203" t="s">
        <v>1073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1231</v>
      </c>
      <c r="D990" s="202" t="s">
        <v>37</v>
      </c>
      <c r="E990" s="203" t="s">
        <v>1073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1002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771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772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773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774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775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776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777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778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1571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1572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1489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1490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1002</v>
      </c>
      <c r="C1006" s="109" t="s">
        <v>779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1101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1102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1002</v>
      </c>
      <c r="C1034" s="109" t="s">
        <v>780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781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782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783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784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785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1065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1491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1492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1493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1494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1495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786</v>
      </c>
      <c r="D1049" s="202" t="s">
        <v>37</v>
      </c>
      <c r="E1049" s="203" t="s">
        <v>787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1002</v>
      </c>
      <c r="C1051" s="109" t="s">
        <v>788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789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790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791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1138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1496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1573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793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1002</v>
      </c>
      <c r="C1062" s="109" t="s">
        <v>609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794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795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796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797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798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799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800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801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802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803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804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805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806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807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808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809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810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811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812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813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814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1002</v>
      </c>
      <c r="C1085" s="109" t="s">
        <v>631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815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816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817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818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819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820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821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822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823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824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825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826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827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828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829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830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831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832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833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834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835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836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837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838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839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840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841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842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843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844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845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846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847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848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1002</v>
      </c>
      <c r="C1121" s="109" t="s">
        <v>666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849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850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851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852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853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854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1002</v>
      </c>
      <c r="C1129" s="109" t="s">
        <v>673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855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856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857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858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859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860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861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862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863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864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865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866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867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868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869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870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871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872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873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874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875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876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877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878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879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880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881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882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883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884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885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886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887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888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889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890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891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892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893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1002</v>
      </c>
      <c r="C1170" s="109" t="s">
        <v>713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894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895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896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897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898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899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900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901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902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903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904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905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1002</v>
      </c>
      <c r="C1184" s="109" t="s">
        <v>1030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1144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1145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1146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1147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1148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1149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1150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1151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1002</v>
      </c>
      <c r="C1194" s="109" t="s">
        <v>725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906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907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908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909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910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911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912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913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914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915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916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917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918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919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920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921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922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923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924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925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926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927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928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929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930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931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932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933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934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935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936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937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938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939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940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1152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1153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993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1154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1002</v>
      </c>
      <c r="C1236" s="109" t="s">
        <v>1139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1155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1156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1157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1158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1002</v>
      </c>
      <c r="C1242" s="109" t="s">
        <v>761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941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942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943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944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945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946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947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948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949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950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951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1097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1002</v>
      </c>
      <c r="C1299" s="109" t="s">
        <v>770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1002</v>
      </c>
      <c r="C1308" s="109" t="s">
        <v>761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1232</v>
      </c>
      <c r="D1309" s="202" t="s">
        <v>37</v>
      </c>
      <c r="E1309" s="203" t="s">
        <v>1073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1233</v>
      </c>
      <c r="D1310" s="202" t="s">
        <v>37</v>
      </c>
      <c r="E1310" s="203" t="s">
        <v>1073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1234</v>
      </c>
      <c r="D1311" s="202" t="s">
        <v>37</v>
      </c>
      <c r="E1311" s="203" t="s">
        <v>1073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1235</v>
      </c>
      <c r="D1312" s="202" t="s">
        <v>37</v>
      </c>
      <c r="E1312" s="203" t="s">
        <v>1073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1236</v>
      </c>
      <c r="D1313" s="202" t="s">
        <v>37</v>
      </c>
      <c r="E1313" s="203" t="s">
        <v>1073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1237</v>
      </c>
      <c r="D1314" s="202" t="s">
        <v>37</v>
      </c>
      <c r="E1314" s="203" t="s">
        <v>1073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1238</v>
      </c>
      <c r="D1315" s="202" t="s">
        <v>37</v>
      </c>
      <c r="E1315" s="203" t="s">
        <v>1073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1239</v>
      </c>
      <c r="D1316" s="202" t="s">
        <v>37</v>
      </c>
      <c r="E1316" s="203" t="s">
        <v>1073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1240</v>
      </c>
      <c r="D1317" s="202" t="s">
        <v>37</v>
      </c>
      <c r="E1317" s="203" t="s">
        <v>1073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1241</v>
      </c>
      <c r="D1318" s="202" t="s">
        <v>37</v>
      </c>
      <c r="E1318" s="203" t="s">
        <v>1073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1242</v>
      </c>
      <c r="D1319" s="202" t="s">
        <v>37</v>
      </c>
      <c r="E1319" s="203" t="s">
        <v>1073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1243</v>
      </c>
      <c r="D1320" s="202" t="s">
        <v>37</v>
      </c>
      <c r="E1320" s="203" t="s">
        <v>1073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1244</v>
      </c>
      <c r="D1321" s="202" t="s">
        <v>37</v>
      </c>
      <c r="E1321" s="203" t="s">
        <v>1073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1245</v>
      </c>
      <c r="D1322" s="202" t="s">
        <v>37</v>
      </c>
      <c r="E1322" s="203" t="s">
        <v>1073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1246</v>
      </c>
      <c r="D1323" s="202" t="s">
        <v>37</v>
      </c>
      <c r="E1323" s="203" t="s">
        <v>1073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1247</v>
      </c>
      <c r="D1324" s="202" t="s">
        <v>37</v>
      </c>
      <c r="E1324" s="203" t="s">
        <v>1073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1248</v>
      </c>
      <c r="D1325" s="202" t="s">
        <v>37</v>
      </c>
      <c r="E1325" s="203" t="s">
        <v>1073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1249</v>
      </c>
      <c r="D1326" s="202" t="s">
        <v>37</v>
      </c>
      <c r="E1326" s="203" t="s">
        <v>1073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1250</v>
      </c>
      <c r="D1327" s="202" t="s">
        <v>37</v>
      </c>
      <c r="E1327" s="203" t="s">
        <v>1073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1251</v>
      </c>
      <c r="D1328" s="202" t="s">
        <v>37</v>
      </c>
      <c r="E1328" s="203" t="s">
        <v>1073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1252</v>
      </c>
      <c r="D1329" s="202" t="s">
        <v>37</v>
      </c>
      <c r="E1329" s="203" t="s">
        <v>1073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1253</v>
      </c>
      <c r="D1330" s="202" t="s">
        <v>37</v>
      </c>
      <c r="E1330" s="203" t="s">
        <v>1073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1254</v>
      </c>
      <c r="D1331" s="202" t="s">
        <v>37</v>
      </c>
      <c r="E1331" s="203" t="s">
        <v>1073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1255</v>
      </c>
      <c r="D1332" s="202" t="s">
        <v>37</v>
      </c>
      <c r="E1332" s="203" t="s">
        <v>1073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1256</v>
      </c>
      <c r="D1333" s="202" t="s">
        <v>37</v>
      </c>
      <c r="E1333" s="203" t="s">
        <v>1073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1257</v>
      </c>
      <c r="D1334" s="202" t="s">
        <v>37</v>
      </c>
      <c r="E1334" s="203" t="s">
        <v>1073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1258</v>
      </c>
      <c r="D1335" s="202" t="s">
        <v>37</v>
      </c>
      <c r="E1335" s="203" t="s">
        <v>1073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1259</v>
      </c>
      <c r="D1336" s="202" t="s">
        <v>37</v>
      </c>
      <c r="E1336" s="203" t="s">
        <v>1073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1260</v>
      </c>
      <c r="D1337" s="202" t="s">
        <v>37</v>
      </c>
      <c r="E1337" s="203" t="s">
        <v>1073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1261</v>
      </c>
      <c r="D1338" s="202" t="s">
        <v>37</v>
      </c>
      <c r="E1338" s="203" t="s">
        <v>1073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1262</v>
      </c>
      <c r="D1339" s="202" t="s">
        <v>37</v>
      </c>
      <c r="E1339" s="203" t="s">
        <v>1073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1263</v>
      </c>
      <c r="D1340" s="202" t="s">
        <v>37</v>
      </c>
      <c r="E1340" s="203" t="s">
        <v>1073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1264</v>
      </c>
      <c r="D1341" s="202" t="s">
        <v>37</v>
      </c>
      <c r="E1341" s="203" t="s">
        <v>1073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1265</v>
      </c>
      <c r="D1342" s="202" t="s">
        <v>37</v>
      </c>
      <c r="E1342" s="203" t="s">
        <v>1073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1266</v>
      </c>
      <c r="D1343" s="202" t="s">
        <v>37</v>
      </c>
      <c r="E1343" s="203" t="s">
        <v>1073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1267</v>
      </c>
      <c r="D1344" s="202" t="s">
        <v>37</v>
      </c>
      <c r="E1344" s="203" t="s">
        <v>1073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1268</v>
      </c>
      <c r="D1345" s="202" t="s">
        <v>37</v>
      </c>
      <c r="E1345" s="203" t="s">
        <v>1073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1269</v>
      </c>
      <c r="D1346" s="202" t="s">
        <v>37</v>
      </c>
      <c r="E1346" s="203" t="s">
        <v>1073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1270</v>
      </c>
      <c r="D1347" s="202" t="s">
        <v>37</v>
      </c>
      <c r="E1347" s="203" t="s">
        <v>1073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1271</v>
      </c>
      <c r="D1348" s="202" t="s">
        <v>37</v>
      </c>
      <c r="E1348" s="203" t="s">
        <v>1073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1272</v>
      </c>
      <c r="D1349" s="202" t="s">
        <v>37</v>
      </c>
      <c r="E1349" s="203" t="s">
        <v>1073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1273</v>
      </c>
      <c r="D1350" s="202" t="s">
        <v>37</v>
      </c>
      <c r="E1350" s="203" t="s">
        <v>1073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1274</v>
      </c>
      <c r="D1351" s="202" t="s">
        <v>37</v>
      </c>
      <c r="E1351" s="203" t="s">
        <v>1073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1275</v>
      </c>
      <c r="D1352" s="202" t="s">
        <v>37</v>
      </c>
      <c r="E1352" s="203" t="s">
        <v>1073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1276</v>
      </c>
      <c r="D1353" s="202" t="s">
        <v>37</v>
      </c>
      <c r="E1353" s="203" t="s">
        <v>1073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1277</v>
      </c>
      <c r="D1354" s="202" t="s">
        <v>37</v>
      </c>
      <c r="E1354" s="203" t="s">
        <v>1073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1278</v>
      </c>
      <c r="D1355" s="202" t="s">
        <v>37</v>
      </c>
      <c r="E1355" s="203" t="s">
        <v>1073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1279</v>
      </c>
      <c r="D1356" s="202" t="s">
        <v>37</v>
      </c>
      <c r="E1356" s="203" t="s">
        <v>1073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1280</v>
      </c>
      <c r="D1357" s="202" t="s">
        <v>37</v>
      </c>
      <c r="E1357" s="203" t="s">
        <v>1073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1281</v>
      </c>
      <c r="D1358" s="202" t="s">
        <v>37</v>
      </c>
      <c r="E1358" s="203" t="s">
        <v>1073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1282</v>
      </c>
      <c r="D1359" s="202" t="s">
        <v>37</v>
      </c>
      <c r="E1359" s="203" t="s">
        <v>1073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1283</v>
      </c>
      <c r="D1360" s="202" t="s">
        <v>37</v>
      </c>
      <c r="E1360" s="203" t="s">
        <v>1073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1284</v>
      </c>
      <c r="D1361" s="202" t="s">
        <v>37</v>
      </c>
      <c r="E1361" s="203" t="s">
        <v>1073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1285</v>
      </c>
      <c r="D1362" s="202" t="s">
        <v>37</v>
      </c>
      <c r="E1362" s="203" t="s">
        <v>1073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1286</v>
      </c>
      <c r="D1363" s="202" t="s">
        <v>37</v>
      </c>
      <c r="E1363" s="203" t="s">
        <v>1073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1002</v>
      </c>
      <c r="C1365" s="109" t="s">
        <v>770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1287</v>
      </c>
      <c r="D1366" s="202" t="s">
        <v>37</v>
      </c>
      <c r="E1366" s="203" t="s">
        <v>1073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1288</v>
      </c>
      <c r="D1367" s="202" t="s">
        <v>37</v>
      </c>
      <c r="E1367" s="203" t="s">
        <v>1073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1289</v>
      </c>
      <c r="D1368" s="202" t="s">
        <v>37</v>
      </c>
      <c r="E1368" s="203" t="s">
        <v>1073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1290</v>
      </c>
      <c r="D1369" s="202" t="s">
        <v>37</v>
      </c>
      <c r="E1369" s="203" t="s">
        <v>1073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1291</v>
      </c>
      <c r="D1370" s="202" t="s">
        <v>37</v>
      </c>
      <c r="E1370" s="203" t="s">
        <v>1073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1292</v>
      </c>
      <c r="D1371" s="202" t="s">
        <v>37</v>
      </c>
      <c r="E1371" s="203" t="s">
        <v>1073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1293</v>
      </c>
      <c r="D1372" s="202" t="s">
        <v>37</v>
      </c>
      <c r="E1372" s="203" t="s">
        <v>1073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1002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952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953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954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955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956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957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958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959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960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1002</v>
      </c>
      <c r="C1385" s="109" t="s">
        <v>779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1103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1104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1002</v>
      </c>
      <c r="C1413" s="109" t="s">
        <v>780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1066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961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962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963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964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965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966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967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968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969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970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971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1067</v>
      </c>
      <c r="D1433" s="202" t="s">
        <v>37</v>
      </c>
      <c r="E1433" s="203" t="s">
        <v>463</v>
      </c>
      <c r="F1433" s="397">
        <v>2740</v>
      </c>
      <c r="G1433" s="397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1002</v>
      </c>
      <c r="C1435" s="109" t="s">
        <v>788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972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973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974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1159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1160</v>
      </c>
      <c r="C1443" s="109" t="s">
        <v>976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1062</v>
      </c>
      <c r="D1444" s="202" t="s">
        <v>37</v>
      </c>
      <c r="E1444" s="203" t="s">
        <v>977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979</v>
      </c>
      <c r="D1445" s="202" t="s">
        <v>37</v>
      </c>
      <c r="E1445" s="203" t="s">
        <v>978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980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1068</v>
      </c>
      <c r="D1447" s="202" t="s">
        <v>37</v>
      </c>
      <c r="E1447" s="203" t="s">
        <v>1074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1069</v>
      </c>
      <c r="D1448" s="202" t="s">
        <v>37</v>
      </c>
      <c r="E1448" s="203" t="s">
        <v>1074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1070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1071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1072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1376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1377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1378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1379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1380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1002</v>
      </c>
      <c r="C1458" s="188" t="s">
        <v>1381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1382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1383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1002</v>
      </c>
      <c r="C1462" s="188" t="s">
        <v>1384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1002</v>
      </c>
      <c r="C1463" s="188" t="s">
        <v>1385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1002</v>
      </c>
      <c r="C1464" s="188" t="s">
        <v>1386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1002</v>
      </c>
      <c r="C1465" s="188" t="s">
        <v>1387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1002</v>
      </c>
      <c r="C1467" s="188" t="s">
        <v>1388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1389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1390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1002</v>
      </c>
      <c r="C1471" s="188" t="s">
        <v>1391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1392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1393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1394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1395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1396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8" t="s">
        <v>1397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8" t="s">
        <v>1398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8" t="s">
        <v>1399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8" t="s">
        <v>1400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1401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1402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8" t="s">
        <v>1402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1006</v>
      </c>
      <c r="C1487" s="188" t="s">
        <v>1403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1404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1405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1406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998</v>
      </c>
      <c r="C1491" s="188" t="s">
        <v>1407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1408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1409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2" priority="138" operator="equal">
      <formula>0</formula>
    </cfRule>
  </conditionalFormatting>
  <conditionalFormatting sqref="B8:C135">
    <cfRule type="cellIs" dxfId="41" priority="51" operator="equal">
      <formula>0</formula>
    </cfRule>
  </conditionalFormatting>
  <conditionalFormatting sqref="B150:G1493">
    <cfRule type="cellIs" dxfId="40" priority="1" operator="equal">
      <formula>0</formula>
    </cfRule>
  </conditionalFormatting>
  <conditionalFormatting sqref="C143:G149">
    <cfRule type="cellIs" dxfId="39" priority="5" operator="equal">
      <formula>0</formula>
    </cfRule>
  </conditionalFormatting>
  <conditionalFormatting sqref="D9:G142">
    <cfRule type="cellIs" dxfId="38" priority="11" operator="equal">
      <formula>0</formula>
    </cfRule>
  </conditionalFormatting>
  <conditionalFormatting sqref="D1:IV5 A1:C7 D6:K6 H1455:IV1457 H1458:XFD1485 H1486:H1493 I1486:XFD1494 A1494:H1494 A1495:XFD65536">
    <cfRule type="cellIs" dxfId="37" priority="163" operator="equal">
      <formula>0</formula>
    </cfRule>
  </conditionalFormatting>
  <conditionalFormatting sqref="D7:IV8 C136:C142 B136:B149">
    <cfRule type="cellIs" dxfId="36" priority="62" operator="equal">
      <formula>0</formula>
    </cfRule>
  </conditionalFormatting>
  <conditionalFormatting sqref="H9:H1418">
    <cfRule type="cellIs" dxfId="35" priority="129" operator="equal">
      <formula>0</formula>
    </cfRule>
  </conditionalFormatting>
  <conditionalFormatting sqref="H1419:I1454">
    <cfRule type="cellIs" dxfId="34" priority="128" operator="equal">
      <formula>0</formula>
    </cfRule>
  </conditionalFormatting>
  <conditionalFormatting sqref="I108:I1418">
    <cfRule type="cellIs" dxfId="33" priority="125" operator="equal">
      <formula>0</formula>
    </cfRule>
  </conditionalFormatting>
  <conditionalFormatting sqref="J108:IV1454">
    <cfRule type="cellIs" dxfId="32" priority="139" operator="equal">
      <formula>0</formula>
    </cfRule>
  </conditionalFormatting>
  <conditionalFormatting sqref="M6:IV6">
    <cfRule type="cellIs" dxfId="3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0" sqref="N10"/>
    </sheetView>
  </sheetViews>
  <sheetFormatPr baseColWidth="10" defaultColWidth="9.1640625" defaultRowHeight="15"/>
  <cols>
    <col min="1" max="1" width="4.33203125" style="191" customWidth="1"/>
    <col min="2" max="2" width="33.33203125" style="191" customWidth="1"/>
    <col min="3" max="3" width="3.6640625" style="192" customWidth="1"/>
    <col min="4" max="4" width="15" style="191" customWidth="1"/>
    <col min="5" max="5" width="12.5" style="191" customWidth="1"/>
    <col min="6" max="6" width="5.5" style="191" customWidth="1"/>
    <col min="7" max="7" width="5.5" style="191" hidden="1" customWidth="1"/>
    <col min="8" max="8" width="5.1640625" style="191" customWidth="1"/>
    <col min="9" max="9" width="34.1640625" style="191" customWidth="1"/>
    <col min="10" max="10" width="3.5" style="191" customWidth="1"/>
    <col min="11" max="11" width="12.6640625" style="191" customWidth="1"/>
    <col min="12" max="12" width="12.5" style="191" customWidth="1"/>
    <col min="13" max="13" width="15" style="191" customWidth="1"/>
    <col min="14" max="14" width="17" style="191" customWidth="1"/>
    <col min="15" max="15" width="18.1640625" style="191" customWidth="1"/>
    <col min="16" max="16" width="20.33203125" style="191" customWidth="1"/>
    <col min="17" max="17" width="14.5" style="191" customWidth="1"/>
    <col min="18" max="16384" width="9.1640625" style="191"/>
  </cols>
  <sheetData>
    <row r="2" spans="1:12" s="194" customFormat="1" ht="18.75" customHeight="1">
      <c r="B2" s="564" t="s">
        <v>1426</v>
      </c>
      <c r="C2" s="564"/>
      <c r="D2" s="564"/>
      <c r="E2" s="564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69" t="s">
        <v>1500</v>
      </c>
      <c r="C4" s="570"/>
      <c r="D4" s="570"/>
      <c r="E4" s="571"/>
      <c r="F4" s="352"/>
      <c r="G4" s="352"/>
      <c r="H4" s="353"/>
      <c r="I4" s="596" t="s">
        <v>1501</v>
      </c>
      <c r="J4" s="597"/>
      <c r="K4" s="597"/>
      <c r="L4" s="598"/>
    </row>
    <row r="5" spans="1:12" ht="34.5" customHeight="1">
      <c r="A5" s="193"/>
      <c r="B5" s="355" t="s">
        <v>1350</v>
      </c>
      <c r="C5" s="200" t="s">
        <v>9</v>
      </c>
      <c r="D5" s="565" t="str">
        <f>DATA!D14</f>
        <v>GUNAWAN</v>
      </c>
      <c r="E5" s="566"/>
      <c r="F5" s="197"/>
      <c r="G5" s="197"/>
      <c r="I5" s="356" t="s">
        <v>1350</v>
      </c>
      <c r="J5" s="200" t="s">
        <v>9</v>
      </c>
      <c r="K5" s="599" t="str">
        <f>D5</f>
        <v>GUNAWAN</v>
      </c>
      <c r="L5" s="600"/>
    </row>
    <row r="6" spans="1:12" ht="31.5" customHeight="1">
      <c r="A6" s="193"/>
      <c r="B6" s="355" t="s">
        <v>1497</v>
      </c>
      <c r="C6" s="200" t="s">
        <v>9</v>
      </c>
      <c r="D6" s="574">
        <f>DATA!D17*1000</f>
        <v>41500</v>
      </c>
      <c r="E6" s="575"/>
      <c r="F6" s="197"/>
      <c r="G6" s="197"/>
      <c r="I6" s="356" t="s">
        <v>1498</v>
      </c>
      <c r="J6" s="200" t="s">
        <v>9</v>
      </c>
      <c r="K6" s="601">
        <f>DATA!D20*1000</f>
        <v>53000</v>
      </c>
      <c r="L6" s="602"/>
    </row>
    <row r="7" spans="1:12" ht="30.75" customHeight="1">
      <c r="A7" s="193"/>
      <c r="B7" s="355" t="s">
        <v>1412</v>
      </c>
      <c r="C7" s="200" t="s">
        <v>9</v>
      </c>
      <c r="D7" s="572">
        <f>DATA!D18</f>
        <v>3</v>
      </c>
      <c r="E7" s="573"/>
      <c r="F7" s="354" t="s">
        <v>1425</v>
      </c>
      <c r="I7" s="356" t="s">
        <v>1412</v>
      </c>
      <c r="J7" s="200" t="s">
        <v>9</v>
      </c>
      <c r="K7" s="603">
        <f>DATA!D21</f>
        <v>3</v>
      </c>
      <c r="L7" s="604"/>
    </row>
    <row r="8" spans="1:12" ht="51" customHeight="1">
      <c r="A8" s="193"/>
      <c r="B8" s="355" t="s">
        <v>1413</v>
      </c>
      <c r="C8" s="200" t="s">
        <v>9</v>
      </c>
      <c r="D8" s="572">
        <f>DATA!D19</f>
        <v>380</v>
      </c>
      <c r="E8" s="573"/>
      <c r="F8" s="354" t="s">
        <v>1425</v>
      </c>
      <c r="G8" s="349">
        <v>220</v>
      </c>
      <c r="I8" s="356" t="s">
        <v>1413</v>
      </c>
      <c r="J8" s="200" t="s">
        <v>9</v>
      </c>
      <c r="K8" s="603">
        <f>DATA!D22</f>
        <v>380</v>
      </c>
      <c r="L8" s="604"/>
    </row>
    <row r="9" spans="1:12" ht="30" customHeight="1" thickBot="1">
      <c r="A9" s="193"/>
      <c r="B9" s="361" t="s">
        <v>1509</v>
      </c>
      <c r="C9" s="351" t="s">
        <v>9</v>
      </c>
      <c r="D9" s="567">
        <f>IF(D7=1,D6/(380/3^0.5),(D6/(380*3^0.5)))</f>
        <v>63.052726766761765</v>
      </c>
      <c r="E9" s="568"/>
      <c r="F9" s="196"/>
      <c r="G9" s="350">
        <v>380</v>
      </c>
      <c r="I9" s="362" t="s">
        <v>1509</v>
      </c>
      <c r="J9" s="351" t="s">
        <v>9</v>
      </c>
      <c r="K9" s="607">
        <f>IF(K7=1,K6/(380/3^0.5),(K6/(380*3^0.5)))</f>
        <v>80.525169123816227</v>
      </c>
      <c r="L9" s="608"/>
    </row>
    <row r="10" spans="1:12" ht="24.75" customHeight="1">
      <c r="B10" s="363"/>
      <c r="C10" s="360"/>
      <c r="D10" s="364"/>
      <c r="E10" s="364"/>
      <c r="F10" s="196"/>
      <c r="G10" s="350"/>
      <c r="I10" s="363"/>
      <c r="J10" s="360"/>
      <c r="K10" s="364"/>
      <c r="L10" s="364"/>
    </row>
    <row r="11" spans="1:12" ht="18" thickBot="1">
      <c r="B11" s="357" t="s">
        <v>1510</v>
      </c>
      <c r="I11" s="357" t="s">
        <v>1504</v>
      </c>
    </row>
    <row r="12" spans="1:12" ht="34.5" customHeight="1">
      <c r="A12" s="193"/>
      <c r="B12" s="385" t="s">
        <v>1502</v>
      </c>
      <c r="C12" s="379" t="s">
        <v>9</v>
      </c>
      <c r="D12" s="576" t="s">
        <v>1643</v>
      </c>
      <c r="E12" s="577"/>
      <c r="F12" s="197"/>
      <c r="G12" s="197"/>
      <c r="I12" s="378" t="s">
        <v>1502</v>
      </c>
      <c r="J12" s="379" t="s">
        <v>9</v>
      </c>
      <c r="K12" s="609" t="s">
        <v>1643</v>
      </c>
      <c r="L12" s="610"/>
    </row>
    <row r="13" spans="1:12" ht="31.5" customHeight="1">
      <c r="A13" s="193"/>
      <c r="B13" s="386" t="s">
        <v>1351</v>
      </c>
      <c r="C13" s="366" t="s">
        <v>9</v>
      </c>
      <c r="D13" s="580" t="s">
        <v>1644</v>
      </c>
      <c r="E13" s="581"/>
      <c r="F13" s="197"/>
      <c r="G13" s="197"/>
      <c r="I13" s="380" t="s">
        <v>1351</v>
      </c>
      <c r="J13" s="366" t="s">
        <v>9</v>
      </c>
      <c r="K13" s="605" t="s">
        <v>1644</v>
      </c>
      <c r="L13" s="606"/>
    </row>
    <row r="14" spans="1:12" ht="30.75" customHeight="1">
      <c r="A14" s="193"/>
      <c r="B14" s="386" t="s">
        <v>1503</v>
      </c>
      <c r="C14" s="366" t="s">
        <v>9</v>
      </c>
      <c r="D14" s="588">
        <v>50</v>
      </c>
      <c r="E14" s="589"/>
      <c r="F14" s="354" t="s">
        <v>1425</v>
      </c>
      <c r="G14" s="358">
        <v>50</v>
      </c>
      <c r="I14" s="380" t="s">
        <v>1503</v>
      </c>
      <c r="J14" s="366" t="s">
        <v>9</v>
      </c>
      <c r="K14" s="590">
        <v>100</v>
      </c>
      <c r="L14" s="591"/>
    </row>
    <row r="15" spans="1:12" ht="57" customHeight="1">
      <c r="A15" s="193"/>
      <c r="B15" s="386" t="s">
        <v>1412</v>
      </c>
      <c r="C15" s="366" t="s">
        <v>9</v>
      </c>
      <c r="D15" s="372">
        <v>3</v>
      </c>
      <c r="E15" s="381"/>
      <c r="F15" s="354" t="s">
        <v>1425</v>
      </c>
      <c r="G15" s="358">
        <v>100</v>
      </c>
      <c r="I15" s="380" t="s">
        <v>1412</v>
      </c>
      <c r="J15" s="366" t="s">
        <v>9</v>
      </c>
      <c r="K15" s="372">
        <v>3</v>
      </c>
      <c r="L15" s="381"/>
    </row>
    <row r="16" spans="1:12" ht="44.25" customHeight="1">
      <c r="A16" s="193"/>
      <c r="B16" s="386" t="s">
        <v>1513</v>
      </c>
      <c r="C16" s="366"/>
      <c r="D16" s="592">
        <v>54</v>
      </c>
      <c r="E16" s="593"/>
      <c r="F16" s="354"/>
      <c r="G16" s="358">
        <v>160</v>
      </c>
      <c r="I16" s="380" t="s">
        <v>1505</v>
      </c>
      <c r="J16" s="366" t="s">
        <v>9</v>
      </c>
      <c r="K16" s="594">
        <f>K9</f>
        <v>80.525169123816227</v>
      </c>
      <c r="L16" s="595"/>
    </row>
    <row r="17" spans="1:12" ht="34.5" customHeight="1">
      <c r="A17" s="193"/>
      <c r="B17" s="386" t="s">
        <v>1506</v>
      </c>
      <c r="C17" s="366" t="s">
        <v>9</v>
      </c>
      <c r="D17" s="582">
        <f>IF(D15=1,D14/(20/3^0.5),(D14/(20*3^0.5)))</f>
        <v>1.4433756729740645</v>
      </c>
      <c r="E17" s="583"/>
      <c r="F17" s="354" t="s">
        <v>1425</v>
      </c>
      <c r="G17" s="359">
        <v>200</v>
      </c>
      <c r="I17" s="380" t="s">
        <v>1506</v>
      </c>
      <c r="J17" s="366" t="s">
        <v>9</v>
      </c>
      <c r="K17" s="586">
        <f>IF(K15=1,K14/(20/3^0.5),(K14/(20*3^0.5)))</f>
        <v>2.8867513459481291</v>
      </c>
      <c r="L17" s="587"/>
    </row>
    <row r="18" spans="1:12" ht="34.5" customHeight="1">
      <c r="A18" s="193"/>
      <c r="B18" s="386" t="s">
        <v>1507</v>
      </c>
      <c r="C18" s="366" t="s">
        <v>9</v>
      </c>
      <c r="D18" s="582">
        <f>IF(D15=1,D14/(380/3^0.5),(D14/(380*3^0.5)))*1000</f>
        <v>75.96714068284551</v>
      </c>
      <c r="E18" s="583"/>
      <c r="F18" s="354" t="s">
        <v>1425</v>
      </c>
      <c r="G18" s="359">
        <v>250</v>
      </c>
      <c r="I18" s="380" t="s">
        <v>1507</v>
      </c>
      <c r="J18" s="366" t="s">
        <v>9</v>
      </c>
      <c r="K18" s="586">
        <f>IF(K15=1,K14/(380/3^0.5),(K14/(380*3^0.5)))*1000</f>
        <v>151.93428136569102</v>
      </c>
      <c r="L18" s="587"/>
    </row>
    <row r="19" spans="1:12" ht="30" customHeight="1">
      <c r="A19" s="193"/>
      <c r="B19" s="387" t="s">
        <v>1499</v>
      </c>
      <c r="C19" s="365" t="s">
        <v>9</v>
      </c>
      <c r="D19" s="582" t="e">
        <f>IF(D15=1,D13/(380/3^0.5),(D13/(380*3^0.5)))</f>
        <v>#VALUE!</v>
      </c>
      <c r="E19" s="583"/>
      <c r="F19" s="196"/>
      <c r="G19" s="350"/>
      <c r="I19" s="382" t="s">
        <v>1499</v>
      </c>
      <c r="J19" s="365" t="s">
        <v>9</v>
      </c>
      <c r="K19" s="586" t="e">
        <f>IF(K15=1,K13/(380/3^0.5),(K13/(380*3^0.5)))</f>
        <v>#VALUE!</v>
      </c>
      <c r="L19" s="587"/>
    </row>
    <row r="20" spans="1:12" ht="30" customHeight="1" thickBot="1">
      <c r="A20" s="193"/>
      <c r="B20" s="388" t="s">
        <v>1508</v>
      </c>
      <c r="C20" s="384" t="s">
        <v>9</v>
      </c>
      <c r="D20" s="578">
        <f>D16/D18</f>
        <v>0.71083365142626709</v>
      </c>
      <c r="E20" s="579"/>
      <c r="F20" s="196"/>
      <c r="G20" s="350"/>
      <c r="I20" s="383" t="s">
        <v>1499</v>
      </c>
      <c r="J20" s="384" t="s">
        <v>9</v>
      </c>
      <c r="K20" s="584">
        <f>K16/K18</f>
        <v>0.52999999999999992</v>
      </c>
      <c r="L20" s="585"/>
    </row>
    <row r="21" spans="1:12" ht="9.75" customHeight="1">
      <c r="A21" s="193"/>
      <c r="B21" s="373" t="s">
        <v>1508</v>
      </c>
      <c r="C21" s="374" t="s">
        <v>9</v>
      </c>
      <c r="D21" s="563">
        <v>1</v>
      </c>
      <c r="E21" s="563"/>
      <c r="F21" s="375"/>
      <c r="G21" s="376"/>
      <c r="H21" s="377"/>
      <c r="I21" s="373" t="s">
        <v>1499</v>
      </c>
      <c r="J21" s="374" t="s">
        <v>9</v>
      </c>
      <c r="K21" s="563">
        <v>1</v>
      </c>
      <c r="L21" s="563"/>
    </row>
    <row r="22" spans="1:12" ht="6.75" customHeight="1">
      <c r="B22" s="363"/>
      <c r="C22" s="360"/>
      <c r="D22" s="371"/>
      <c r="E22" s="371"/>
      <c r="F22" s="196"/>
      <c r="G22" s="350"/>
      <c r="J22" s="360"/>
      <c r="K22" s="371"/>
      <c r="L22" s="371"/>
    </row>
    <row r="23" spans="1:12" ht="16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368"/>
    </row>
    <row r="27" spans="1:12">
      <c r="D27" s="36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30" priority="5" stopIfTrue="1" operator="greaterThan">
      <formula>0.89</formula>
    </cfRule>
    <cfRule type="cellIs" dxfId="2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D44" zoomScaleNormal="100" workbookViewId="0">
      <selection activeCell="D20" sqref="D20"/>
    </sheetView>
  </sheetViews>
  <sheetFormatPr baseColWidth="10" defaultColWidth="9.1640625" defaultRowHeight="15"/>
  <cols>
    <col min="1" max="1" width="1.33203125" style="210" customWidth="1"/>
    <col min="2" max="2" width="25.1640625" style="210" customWidth="1"/>
    <col min="3" max="3" width="3.33203125" style="210" customWidth="1"/>
    <col min="4" max="4" width="26.33203125" style="224" customWidth="1"/>
    <col min="5" max="5" width="6.5" style="210" customWidth="1"/>
    <col min="6" max="6" width="12" style="210" bestFit="1" customWidth="1"/>
    <col min="7" max="8" width="9.1640625" style="210" hidden="1" customWidth="1"/>
    <col min="9" max="9" width="9.1640625" style="210"/>
    <col min="10" max="10" width="3.83203125" style="210" customWidth="1"/>
    <col min="11" max="11" width="2.6640625" style="210" customWidth="1"/>
    <col min="12" max="16384" width="9.1640625" style="210"/>
  </cols>
  <sheetData>
    <row r="1" spans="2:11" ht="12.75" customHeight="1">
      <c r="B1" s="611"/>
      <c r="C1" s="611"/>
      <c r="D1" s="611"/>
    </row>
    <row r="2" spans="2:11" ht="15.75" customHeight="1">
      <c r="B2" s="211" t="s">
        <v>1415</v>
      </c>
      <c r="C2" s="212"/>
      <c r="D2" s="213"/>
    </row>
    <row r="3" spans="2:11" ht="20" customHeight="1">
      <c r="B3" s="214" t="s">
        <v>1320</v>
      </c>
      <c r="C3" s="215" t="s">
        <v>9</v>
      </c>
      <c r="D3" s="216">
        <v>2022</v>
      </c>
    </row>
    <row r="4" spans="2:11" ht="20" customHeight="1">
      <c r="B4" s="214" t="s">
        <v>1001</v>
      </c>
      <c r="C4" s="215" t="s">
        <v>9</v>
      </c>
      <c r="D4" s="217">
        <v>0.12</v>
      </c>
    </row>
    <row r="5" spans="2:11" ht="20" customHeight="1">
      <c r="B5" s="214" t="s">
        <v>1321</v>
      </c>
      <c r="C5" s="215" t="s">
        <v>9</v>
      </c>
      <c r="D5" s="399">
        <v>1084.1250458865841</v>
      </c>
      <c r="F5" s="395" t="s">
        <v>1576</v>
      </c>
      <c r="K5" s="394"/>
    </row>
    <row r="6" spans="2:11" ht="20" customHeight="1">
      <c r="B6" s="214" t="s">
        <v>1322</v>
      </c>
      <c r="C6" s="215" t="s">
        <v>9</v>
      </c>
      <c r="D6" s="219">
        <v>25</v>
      </c>
      <c r="F6" s="395"/>
    </row>
    <row r="7" spans="2:11" ht="20" customHeight="1">
      <c r="B7" s="214" t="s">
        <v>1323</v>
      </c>
      <c r="C7" s="215" t="s">
        <v>9</v>
      </c>
      <c r="D7" s="220">
        <v>2.2499999999999999E-2</v>
      </c>
    </row>
    <row r="8" spans="2:11" ht="20" customHeight="1">
      <c r="B8" s="214" t="s">
        <v>1416</v>
      </c>
      <c r="C8" s="215" t="s">
        <v>9</v>
      </c>
      <c r="D8" s="221">
        <f>D20-D17</f>
        <v>11.5</v>
      </c>
    </row>
    <row r="9" spans="2:11" ht="20" customHeight="1">
      <c r="B9" s="214" t="s">
        <v>1417</v>
      </c>
      <c r="C9" s="215" t="s">
        <v>9</v>
      </c>
      <c r="D9" s="221">
        <f>(D8*D25)*1000</f>
        <v>10775500</v>
      </c>
    </row>
    <row r="10" spans="2:11" ht="20" customHeight="1">
      <c r="B10" s="214" t="s">
        <v>1418</v>
      </c>
      <c r="C10" s="215" t="s">
        <v>9</v>
      </c>
      <c r="D10" s="221">
        <f ca="1">RAB!K149</f>
        <v>82490359.92825</v>
      </c>
    </row>
    <row r="11" spans="2:11" ht="20" customHeight="1">
      <c r="B11" s="214" t="s">
        <v>1327</v>
      </c>
      <c r="C11" s="215" t="s">
        <v>9</v>
      </c>
      <c r="D11" s="218">
        <f ca="1">2%*D10</f>
        <v>1649807.198565</v>
      </c>
    </row>
    <row r="12" spans="2:11" ht="9" customHeight="1">
      <c r="B12" s="612"/>
      <c r="C12" s="612"/>
      <c r="D12" s="612"/>
    </row>
    <row r="13" spans="2:11" ht="15.75" customHeight="1">
      <c r="B13" s="222"/>
      <c r="C13" s="222"/>
      <c r="D13" s="222"/>
    </row>
    <row r="14" spans="2:11" ht="33.75" customHeight="1">
      <c r="B14" s="339" t="s">
        <v>1350</v>
      </c>
      <c r="C14" s="340" t="s">
        <v>9</v>
      </c>
      <c r="D14" s="345" t="s">
        <v>1630</v>
      </c>
      <c r="E14" s="223" t="s">
        <v>1425</v>
      </c>
    </row>
    <row r="15" spans="2:11" ht="20" customHeight="1">
      <c r="B15" s="341" t="s">
        <v>1419</v>
      </c>
      <c r="C15" s="342" t="s">
        <v>9</v>
      </c>
      <c r="D15" s="346" t="s">
        <v>1583</v>
      </c>
      <c r="E15" s="223" t="s">
        <v>1425</v>
      </c>
    </row>
    <row r="16" spans="2:11" ht="20" customHeight="1">
      <c r="B16" s="341" t="s">
        <v>1420</v>
      </c>
      <c r="C16" s="342" t="s">
        <v>9</v>
      </c>
      <c r="D16" s="346" t="s">
        <v>1423</v>
      </c>
      <c r="E16" s="223" t="s">
        <v>1425</v>
      </c>
    </row>
    <row r="17" spans="2:5" ht="20" customHeight="1">
      <c r="B17" s="341" t="s">
        <v>1421</v>
      </c>
      <c r="C17" s="342" t="s">
        <v>9</v>
      </c>
      <c r="D17" s="347">
        <v>41.5</v>
      </c>
      <c r="E17" s="223" t="s">
        <v>1425</v>
      </c>
    </row>
    <row r="18" spans="2:5" ht="20" hidden="1" customHeight="1">
      <c r="B18" s="341" t="s">
        <v>1511</v>
      </c>
      <c r="C18" s="342"/>
      <c r="D18" s="347">
        <f>IF((D17&lt;=11),1,3)</f>
        <v>3</v>
      </c>
      <c r="E18" s="223"/>
    </row>
    <row r="19" spans="2:5" ht="20" hidden="1" customHeight="1">
      <c r="B19" s="341" t="s">
        <v>1512</v>
      </c>
      <c r="C19" s="342"/>
      <c r="D19" s="347">
        <f>IF((D17&lt;=11),220,380)</f>
        <v>380</v>
      </c>
      <c r="E19" s="223"/>
    </row>
    <row r="20" spans="2:5" ht="20" customHeight="1">
      <c r="B20" s="341" t="s">
        <v>1422</v>
      </c>
      <c r="C20" s="342" t="s">
        <v>9</v>
      </c>
      <c r="D20" s="347">
        <v>53</v>
      </c>
      <c r="E20" s="223" t="s">
        <v>1425</v>
      </c>
    </row>
    <row r="21" spans="2:5" ht="20" hidden="1" customHeight="1">
      <c r="B21" s="341" t="s">
        <v>1511</v>
      </c>
      <c r="C21" s="342"/>
      <c r="D21" s="347">
        <f>IF((D20&lt;=11),1,3)</f>
        <v>3</v>
      </c>
      <c r="E21" s="223"/>
    </row>
    <row r="22" spans="2:5" ht="20" hidden="1" customHeight="1">
      <c r="B22" s="341" t="s">
        <v>1512</v>
      </c>
      <c r="C22" s="342"/>
      <c r="D22" s="347">
        <f>IF((D20&lt;=11),220,380)</f>
        <v>380</v>
      </c>
      <c r="E22" s="223"/>
    </row>
    <row r="23" spans="2:5" ht="20" customHeight="1">
      <c r="B23" s="341" t="s">
        <v>1324</v>
      </c>
      <c r="C23" s="342" t="s">
        <v>9</v>
      </c>
      <c r="D23" s="346">
        <v>1444.7</v>
      </c>
      <c r="E23" s="223" t="s">
        <v>1425</v>
      </c>
    </row>
    <row r="24" spans="2:5" ht="20" customHeight="1">
      <c r="B24" s="341" t="s">
        <v>1325</v>
      </c>
      <c r="C24" s="342" t="s">
        <v>9</v>
      </c>
      <c r="D24" s="346">
        <v>1444.7</v>
      </c>
      <c r="E24" s="223" t="s">
        <v>1425</v>
      </c>
    </row>
    <row r="25" spans="2:5" ht="20" customHeight="1">
      <c r="B25" s="341" t="s">
        <v>1424</v>
      </c>
      <c r="C25" s="342" t="s">
        <v>9</v>
      </c>
      <c r="D25" s="347">
        <v>937</v>
      </c>
      <c r="E25" s="223" t="s">
        <v>1425</v>
      </c>
    </row>
    <row r="26" spans="2:5" ht="20" customHeight="1">
      <c r="B26" s="343" t="s">
        <v>1326</v>
      </c>
      <c r="C26" s="344" t="s">
        <v>9</v>
      </c>
      <c r="D26" s="348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topLeftCell="D1" zoomScale="85" zoomScaleNormal="85" workbookViewId="0">
      <pane ySplit="6" topLeftCell="A29" activePane="bottomLeft" state="frozen"/>
      <selection activeCell="H1093" sqref="H1093"/>
      <selection pane="bottomLeft" activeCell="F11" sqref="F11"/>
    </sheetView>
  </sheetViews>
  <sheetFormatPr baseColWidth="10" defaultColWidth="9.1640625" defaultRowHeight="15"/>
  <cols>
    <col min="1" max="1" width="5" style="225" customWidth="1"/>
    <col min="2" max="2" width="6.33203125" style="225" customWidth="1"/>
    <col min="3" max="3" width="15.1640625" style="225" customWidth="1"/>
    <col min="4" max="4" width="15" style="225" customWidth="1"/>
    <col min="5" max="5" width="15.1640625" style="225" bestFit="1" customWidth="1"/>
    <col min="6" max="6" width="12.1640625" style="225" bestFit="1" customWidth="1"/>
    <col min="7" max="7" width="10" style="225" bestFit="1" customWidth="1"/>
    <col min="8" max="8" width="15.5" style="225" bestFit="1" customWidth="1"/>
    <col min="9" max="9" width="14.1640625" style="225" bestFit="1" customWidth="1"/>
    <col min="10" max="10" width="13.83203125" style="225" bestFit="1" customWidth="1"/>
    <col min="11" max="11" width="15.5" style="225" customWidth="1"/>
    <col min="12" max="12" width="11.1640625" style="225" bestFit="1" customWidth="1"/>
    <col min="13" max="13" width="13.83203125" style="225" bestFit="1" customWidth="1"/>
    <col min="14" max="14" width="12.83203125" style="225" bestFit="1" customWidth="1"/>
    <col min="15" max="15" width="7" style="225" customWidth="1"/>
    <col min="16" max="17" width="12.83203125" style="225" bestFit="1" customWidth="1"/>
    <col min="18" max="18" width="1.33203125" style="225" hidden="1" customWidth="1"/>
    <col min="19" max="19" width="3" style="227" hidden="1" customWidth="1"/>
    <col min="20" max="16384" width="9.1640625" style="225"/>
  </cols>
  <sheetData>
    <row r="1" spans="1:21">
      <c r="G1" s="226"/>
    </row>
    <row r="2" spans="1:21">
      <c r="G2" s="226"/>
      <c r="K2" s="226"/>
    </row>
    <row r="3" spans="1:21">
      <c r="B3" s="613" t="s">
        <v>1328</v>
      </c>
      <c r="C3" s="613"/>
      <c r="D3" s="613"/>
      <c r="E3" s="613"/>
      <c r="F3" s="228" t="str">
        <f>DATA!D14</f>
        <v>GUNAWAN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" customHeight="1">
      <c r="B5" s="614" t="s">
        <v>1320</v>
      </c>
      <c r="C5" s="614" t="s">
        <v>1329</v>
      </c>
      <c r="D5" s="615" t="s">
        <v>1330</v>
      </c>
      <c r="E5" s="615" t="s">
        <v>1331</v>
      </c>
      <c r="F5" s="614" t="s">
        <v>1332</v>
      </c>
      <c r="G5" s="614"/>
      <c r="H5" s="614"/>
      <c r="I5" s="614"/>
      <c r="J5" s="614"/>
      <c r="K5" s="614" t="s">
        <v>1333</v>
      </c>
      <c r="L5" s="614"/>
      <c r="M5" s="230"/>
      <c r="N5" s="618" t="s">
        <v>1334</v>
      </c>
      <c r="O5" s="615" t="s">
        <v>1335</v>
      </c>
      <c r="P5" s="615" t="s">
        <v>1336</v>
      </c>
      <c r="Q5" s="615" t="s">
        <v>1337</v>
      </c>
      <c r="R5" s="231"/>
      <c r="S5" s="232"/>
      <c r="T5" s="616" t="s">
        <v>1338</v>
      </c>
      <c r="U5" s="233"/>
    </row>
    <row r="6" spans="1:21" ht="20" customHeight="1">
      <c r="B6" s="614"/>
      <c r="C6" s="614"/>
      <c r="D6" s="614"/>
      <c r="E6" s="614"/>
      <c r="F6" s="234" t="s">
        <v>1339</v>
      </c>
      <c r="G6" s="234" t="s">
        <v>1340</v>
      </c>
      <c r="H6" s="234" t="s">
        <v>1341</v>
      </c>
      <c r="I6" s="234" t="s">
        <v>1342</v>
      </c>
      <c r="J6" s="234" t="s">
        <v>1003</v>
      </c>
      <c r="K6" s="234" t="s">
        <v>1343</v>
      </c>
      <c r="L6" s="234" t="s">
        <v>1344</v>
      </c>
      <c r="M6" s="234" t="s">
        <v>1003</v>
      </c>
      <c r="N6" s="619"/>
      <c r="O6" s="614"/>
      <c r="P6" s="614"/>
      <c r="Q6" s="614"/>
      <c r="R6" s="231"/>
      <c r="S6" s="232"/>
      <c r="T6" s="614"/>
      <c r="U6" s="235"/>
    </row>
    <row r="7" spans="1:21" ht="20" customHeight="1">
      <c r="A7" s="236">
        <v>0</v>
      </c>
      <c r="B7" s="237">
        <v>2023</v>
      </c>
      <c r="C7" s="389">
        <f>DATA!D8*DATA!D26*8</f>
        <v>3680</v>
      </c>
      <c r="D7" s="239">
        <f>C7*4/24</f>
        <v>613.33333333333337</v>
      </c>
      <c r="E7" s="239">
        <f>C7-D7</f>
        <v>3066.6666666666665</v>
      </c>
      <c r="F7" s="240">
        <f ca="1">DATA!D10/1000000</f>
        <v>82.490359928250001</v>
      </c>
      <c r="G7" s="241">
        <f ca="1">DATA!$D$11/1000000</f>
        <v>1.649807198565</v>
      </c>
      <c r="H7" s="241">
        <f>C7*DATA!$D$5/1000000</f>
        <v>3.9895801688626293</v>
      </c>
      <c r="I7" s="241">
        <f>(C7*DATA!$D$5*DATA!$D$7)/1000000</f>
        <v>8.9765553799409162E-2</v>
      </c>
      <c r="J7" s="239">
        <f ca="1">SUM(F7:I7)</f>
        <v>88.219512849477042</v>
      </c>
      <c r="K7" s="242">
        <f>DATA!D9/1000000</f>
        <v>10.775499999999999</v>
      </c>
      <c r="L7" s="239">
        <f>((D7*DATA!$D$23)/1000000)+((E7*DATA!$D$24)/1000000)</f>
        <v>5.3164959999999999</v>
      </c>
      <c r="M7" s="239">
        <f>K7+L7</f>
        <v>16.091995999999998</v>
      </c>
      <c r="N7" s="239">
        <f ca="1">M7-J7</f>
        <v>-72.127516849477047</v>
      </c>
      <c r="O7" s="237">
        <v>1</v>
      </c>
      <c r="P7" s="239">
        <f ca="1">O7*N7</f>
        <v>-72.127516849477047</v>
      </c>
      <c r="Q7" s="239">
        <f ca="1">P7</f>
        <v>-72.127516849477047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" customHeight="1">
      <c r="A8" s="236">
        <f>A7+1</f>
        <v>1</v>
      </c>
      <c r="B8" s="237">
        <f>B7+1</f>
        <v>2024</v>
      </c>
      <c r="C8" s="238">
        <f>DATA!D8*DATA!D26*12</f>
        <v>5520</v>
      </c>
      <c r="D8" s="239">
        <f>C8*4/24</f>
        <v>920</v>
      </c>
      <c r="E8" s="239">
        <f t="shared" ref="E8:E32" si="0">C8-D8</f>
        <v>4600</v>
      </c>
      <c r="F8" s="237"/>
      <c r="G8" s="241">
        <f ca="1">DATA!$D$11/1000000</f>
        <v>1.649807198565</v>
      </c>
      <c r="H8" s="241">
        <f>C8*DATA!$D$5/1000000</f>
        <v>5.9843702532939442</v>
      </c>
      <c r="I8" s="241">
        <f>(C8*DATA!$D$5*DATA!$D$7)/1000000</f>
        <v>0.13464833069911375</v>
      </c>
      <c r="J8" s="239">
        <f t="shared" ref="J8:J32" ca="1" si="1">SUM(F8:I8)</f>
        <v>7.768825782558058</v>
      </c>
      <c r="K8" s="244"/>
      <c r="L8" s="239">
        <f>((D8*DATA!$D$23)/1000000)+((E8*DATA!$D$24)/1000000)</f>
        <v>7.9747440000000003</v>
      </c>
      <c r="M8" s="239">
        <f t="shared" ref="M8:M32" si="2">K8+L8</f>
        <v>7.9747440000000003</v>
      </c>
      <c r="N8" s="239">
        <f ca="1">M8-J8</f>
        <v>0.20591821744194228</v>
      </c>
      <c r="O8" s="238">
        <f>1/(1+'[91]Asumsi I'!$C$3)^(KKF!A8)</f>
        <v>0.89285714285714279</v>
      </c>
      <c r="P8" s="239">
        <f ca="1">O8*N8</f>
        <v>0.18385555128744846</v>
      </c>
      <c r="Q8" s="239">
        <f ca="1">Q7+P8</f>
        <v>-71.943661298189596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" customHeight="1">
      <c r="A9" s="236">
        <f t="shared" ref="A9:B24" si="4">A8+1</f>
        <v>2</v>
      </c>
      <c r="B9" s="237">
        <f t="shared" si="4"/>
        <v>2025</v>
      </c>
      <c r="C9" s="245">
        <f>+C8</f>
        <v>5520</v>
      </c>
      <c r="D9" s="239">
        <f t="shared" ref="D9:D32" si="5">C9*4/24</f>
        <v>920</v>
      </c>
      <c r="E9" s="239">
        <f t="shared" si="0"/>
        <v>4600</v>
      </c>
      <c r="F9" s="237"/>
      <c r="G9" s="241">
        <f ca="1">DATA!$D$11/1000000</f>
        <v>1.649807198565</v>
      </c>
      <c r="H9" s="241">
        <f>C9*DATA!$D$5/1000000</f>
        <v>5.9843702532939442</v>
      </c>
      <c r="I9" s="241">
        <f>(C9*DATA!$D$5*DATA!$D$7)/1000000</f>
        <v>0.13464833069911375</v>
      </c>
      <c r="J9" s="239">
        <f t="shared" ca="1" si="1"/>
        <v>7.768825782558058</v>
      </c>
      <c r="K9" s="239"/>
      <c r="L9" s="239">
        <f>((D9*DATA!$D$23)/1000000)+((E9*DATA!$D$24)/1000000)</f>
        <v>7.9747440000000003</v>
      </c>
      <c r="M9" s="239">
        <f t="shared" si="2"/>
        <v>7.9747440000000003</v>
      </c>
      <c r="N9" s="239">
        <f t="shared" ref="N9:N32" ca="1" si="6">M9-J9</f>
        <v>0.20591821744194228</v>
      </c>
      <c r="O9" s="245">
        <f>1/(1+'[91]Asumsi I'!$C$3)^(KKF!A9)</f>
        <v>0.79719387755102034</v>
      </c>
      <c r="P9" s="239">
        <f t="shared" ref="P9:P32" ca="1" si="7">O9*N9</f>
        <v>0.1641567422209361</v>
      </c>
      <c r="Q9" s="239">
        <f ca="1">Q8+P9</f>
        <v>-71.779504555968657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5520</v>
      </c>
      <c r="D10" s="239">
        <f t="shared" si="5"/>
        <v>920</v>
      </c>
      <c r="E10" s="239">
        <f t="shared" si="0"/>
        <v>4600</v>
      </c>
      <c r="F10" s="237"/>
      <c r="G10" s="241">
        <f ca="1">DATA!$D$11/1000000</f>
        <v>1.649807198565</v>
      </c>
      <c r="H10" s="241">
        <f>C10*DATA!$D$5/1000000</f>
        <v>5.9843702532939442</v>
      </c>
      <c r="I10" s="241">
        <f>(C10*DATA!$D$5*DATA!$D$7)/1000000</f>
        <v>0.13464833069911375</v>
      </c>
      <c r="J10" s="239">
        <f t="shared" ca="1" si="1"/>
        <v>7.768825782558058</v>
      </c>
      <c r="K10" s="237"/>
      <c r="L10" s="239">
        <f>((D10*DATA!$D$23)/1000000)+((E10*DATA!$D$24)/1000000)</f>
        <v>7.9747440000000003</v>
      </c>
      <c r="M10" s="239">
        <f t="shared" si="2"/>
        <v>7.9747440000000003</v>
      </c>
      <c r="N10" s="239">
        <f t="shared" ca="1" si="6"/>
        <v>0.20591821744194228</v>
      </c>
      <c r="O10" s="238">
        <f>1/(1+'[91]Asumsi I'!$C$3)^(KKF!A10)</f>
        <v>0.71178024781341087</v>
      </c>
      <c r="P10" s="239">
        <f t="shared" ca="1" si="7"/>
        <v>0.14656851984012151</v>
      </c>
      <c r="Q10" s="239">
        <f t="shared" ref="Q10:Q30" ca="1" si="9">Q9+P10</f>
        <v>-71.632936036128541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" customHeight="1">
      <c r="A11" s="236">
        <f t="shared" si="4"/>
        <v>4</v>
      </c>
      <c r="B11" s="237">
        <f t="shared" si="4"/>
        <v>2027</v>
      </c>
      <c r="C11" s="238">
        <f>+C10</f>
        <v>5520</v>
      </c>
      <c r="D11" s="239">
        <f t="shared" si="5"/>
        <v>920</v>
      </c>
      <c r="E11" s="239">
        <f t="shared" si="0"/>
        <v>4600</v>
      </c>
      <c r="F11" s="237"/>
      <c r="G11" s="241">
        <f ca="1">DATA!$D$11/1000000</f>
        <v>1.649807198565</v>
      </c>
      <c r="H11" s="241">
        <f>C11*DATA!$D$5/1000000</f>
        <v>5.9843702532939442</v>
      </c>
      <c r="I11" s="241">
        <f>(C11*DATA!$D$5*DATA!$D$7)/1000000</f>
        <v>0.13464833069911375</v>
      </c>
      <c r="J11" s="239">
        <f t="shared" ca="1" si="1"/>
        <v>7.768825782558058</v>
      </c>
      <c r="K11" s="237"/>
      <c r="L11" s="239">
        <f>((D11*DATA!$D$23)/1000000)+((E11*DATA!$D$24)/1000000)</f>
        <v>7.9747440000000003</v>
      </c>
      <c r="M11" s="239">
        <f t="shared" si="2"/>
        <v>7.9747440000000003</v>
      </c>
      <c r="N11" s="239">
        <f t="shared" ca="1" si="6"/>
        <v>0.20591821744194228</v>
      </c>
      <c r="O11" s="238">
        <f>1/(1+'[91]Asumsi I'!$C$3)^(KKF!A11)</f>
        <v>0.63551807840483121</v>
      </c>
      <c r="P11" s="239">
        <f t="shared" ca="1" si="7"/>
        <v>0.13086474985725136</v>
      </c>
      <c r="Q11" s="239">
        <f t="shared" ca="1" si="9"/>
        <v>-71.502071286271288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" customHeight="1">
      <c r="A12" s="236">
        <f t="shared" si="4"/>
        <v>5</v>
      </c>
      <c r="B12" s="237">
        <f t="shared" si="4"/>
        <v>2028</v>
      </c>
      <c r="C12" s="238">
        <f t="shared" si="8"/>
        <v>5520</v>
      </c>
      <c r="D12" s="239">
        <f t="shared" si="5"/>
        <v>920</v>
      </c>
      <c r="E12" s="239">
        <f t="shared" si="0"/>
        <v>4600</v>
      </c>
      <c r="F12" s="237"/>
      <c r="G12" s="241">
        <f ca="1">DATA!$D$11/1000000</f>
        <v>1.649807198565</v>
      </c>
      <c r="H12" s="241">
        <f>C12*DATA!$D$5/1000000</f>
        <v>5.9843702532939442</v>
      </c>
      <c r="I12" s="241">
        <f>(C12*DATA!$D$5*DATA!$D$7)/1000000</f>
        <v>0.13464833069911375</v>
      </c>
      <c r="J12" s="239">
        <f t="shared" ca="1" si="1"/>
        <v>7.768825782558058</v>
      </c>
      <c r="K12" s="237"/>
      <c r="L12" s="239">
        <f>((D12*DATA!$D$23)/1000000)+((E12*DATA!$D$24)/1000000)</f>
        <v>7.9747440000000003</v>
      </c>
      <c r="M12" s="239">
        <f t="shared" si="2"/>
        <v>7.9747440000000003</v>
      </c>
      <c r="N12" s="239">
        <f t="shared" ca="1" si="6"/>
        <v>0.20591821744194228</v>
      </c>
      <c r="O12" s="238">
        <f>1/(1+'[91]Asumsi I'!$C$3)^(KKF!A12)</f>
        <v>0.56742685571859919</v>
      </c>
      <c r="P12" s="239">
        <f t="shared" ca="1" si="7"/>
        <v>0.11684352665826012</v>
      </c>
      <c r="Q12" s="239">
        <f t="shared" ca="1" si="9"/>
        <v>-71.385227759613031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" customHeight="1">
      <c r="A13" s="236">
        <f t="shared" si="4"/>
        <v>6</v>
      </c>
      <c r="B13" s="237">
        <f t="shared" si="4"/>
        <v>2029</v>
      </c>
      <c r="C13" s="238">
        <f t="shared" si="8"/>
        <v>5520</v>
      </c>
      <c r="D13" s="239">
        <f t="shared" si="5"/>
        <v>920</v>
      </c>
      <c r="E13" s="239">
        <f t="shared" si="0"/>
        <v>4600</v>
      </c>
      <c r="F13" s="237"/>
      <c r="G13" s="241">
        <f ca="1">DATA!$D$11/1000000</f>
        <v>1.649807198565</v>
      </c>
      <c r="H13" s="241">
        <f>C13*DATA!$D$5/1000000</f>
        <v>5.9843702532939442</v>
      </c>
      <c r="I13" s="241">
        <f>(C13*DATA!$D$5*DATA!$D$7)/1000000</f>
        <v>0.13464833069911375</v>
      </c>
      <c r="J13" s="239">
        <f t="shared" ca="1" si="1"/>
        <v>7.768825782558058</v>
      </c>
      <c r="K13" s="237"/>
      <c r="L13" s="239">
        <f>((D13*DATA!$D$23)/1000000)+((E13*DATA!$D$24)/1000000)</f>
        <v>7.9747440000000003</v>
      </c>
      <c r="M13" s="239">
        <f t="shared" si="2"/>
        <v>7.9747440000000003</v>
      </c>
      <c r="N13" s="239">
        <f t="shared" ca="1" si="6"/>
        <v>0.20591821744194228</v>
      </c>
      <c r="O13" s="238">
        <f>1/(1+'[91]Asumsi I'!$C$3)^(KKF!A13)</f>
        <v>0.50663112117732068</v>
      </c>
      <c r="P13" s="239">
        <f t="shared" ca="1" si="7"/>
        <v>0.10432457737344653</v>
      </c>
      <c r="Q13" s="239">
        <f t="shared" ca="1" si="9"/>
        <v>-71.280903182239584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" customHeight="1">
      <c r="A14" s="236">
        <f t="shared" si="4"/>
        <v>7</v>
      </c>
      <c r="B14" s="237">
        <f t="shared" si="4"/>
        <v>2030</v>
      </c>
      <c r="C14" s="238">
        <f t="shared" si="8"/>
        <v>5520</v>
      </c>
      <c r="D14" s="239">
        <f t="shared" si="5"/>
        <v>920</v>
      </c>
      <c r="E14" s="239">
        <f t="shared" si="0"/>
        <v>4600</v>
      </c>
      <c r="F14" s="237"/>
      <c r="G14" s="241">
        <f ca="1">DATA!$D$11/1000000</f>
        <v>1.649807198565</v>
      </c>
      <c r="H14" s="241">
        <f>C14*DATA!$D$5/1000000</f>
        <v>5.9843702532939442</v>
      </c>
      <c r="I14" s="241">
        <f>(C14*DATA!$D$5*DATA!$D$7)/1000000</f>
        <v>0.13464833069911375</v>
      </c>
      <c r="J14" s="239">
        <f t="shared" ca="1" si="1"/>
        <v>7.768825782558058</v>
      </c>
      <c r="K14" s="237"/>
      <c r="L14" s="239">
        <f>((D14*DATA!$D$23)/1000000)+((E14*DATA!$D$24)/1000000)</f>
        <v>7.9747440000000003</v>
      </c>
      <c r="M14" s="239">
        <f t="shared" si="2"/>
        <v>7.9747440000000003</v>
      </c>
      <c r="N14" s="239">
        <f t="shared" ca="1" si="6"/>
        <v>0.20591821744194228</v>
      </c>
      <c r="O14" s="238">
        <f>1/(1+'[91]Asumsi I'!$C$3)^(KKF!A14)</f>
        <v>0.45234921533689343</v>
      </c>
      <c r="P14" s="239">
        <f t="shared" ca="1" si="7"/>
        <v>9.3146944083434394E-2</v>
      </c>
      <c r="Q14" s="239">
        <f t="shared" ca="1" si="9"/>
        <v>-71.187756238156155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" customHeight="1">
      <c r="A15" s="236">
        <f t="shared" si="4"/>
        <v>8</v>
      </c>
      <c r="B15" s="237">
        <f t="shared" si="4"/>
        <v>2031</v>
      </c>
      <c r="C15" s="238">
        <f t="shared" si="8"/>
        <v>5520</v>
      </c>
      <c r="D15" s="239">
        <f t="shared" si="5"/>
        <v>920</v>
      </c>
      <c r="E15" s="239">
        <f t="shared" si="0"/>
        <v>4600</v>
      </c>
      <c r="F15" s="237"/>
      <c r="G15" s="241">
        <f ca="1">DATA!$D$11/1000000</f>
        <v>1.649807198565</v>
      </c>
      <c r="H15" s="241">
        <f>C15*DATA!$D$5/1000000</f>
        <v>5.9843702532939442</v>
      </c>
      <c r="I15" s="241">
        <f>(C15*DATA!$D$5*DATA!$D$7)/1000000</f>
        <v>0.13464833069911375</v>
      </c>
      <c r="J15" s="239">
        <f t="shared" ca="1" si="1"/>
        <v>7.768825782558058</v>
      </c>
      <c r="K15" s="237"/>
      <c r="L15" s="239">
        <f>((D15*DATA!$D$23)/1000000)+((E15*DATA!$D$24)/1000000)</f>
        <v>7.9747440000000003</v>
      </c>
      <c r="M15" s="239">
        <f t="shared" si="2"/>
        <v>7.9747440000000003</v>
      </c>
      <c r="N15" s="239">
        <f t="shared" ca="1" si="6"/>
        <v>0.20591821744194228</v>
      </c>
      <c r="O15" s="238">
        <f>1/(1+'[91]Asumsi I'!$C$3)^(KKF!A15)</f>
        <v>0.4038832279793691</v>
      </c>
      <c r="P15" s="239">
        <f t="shared" ca="1" si="7"/>
        <v>8.3166914360209274E-2</v>
      </c>
      <c r="Q15" s="239">
        <f t="shared" ca="1" si="9"/>
        <v>-71.104589323795949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" customHeight="1">
      <c r="A16" s="236">
        <f t="shared" si="4"/>
        <v>9</v>
      </c>
      <c r="B16" s="237">
        <f t="shared" si="4"/>
        <v>2032</v>
      </c>
      <c r="C16" s="238">
        <f t="shared" si="8"/>
        <v>5520</v>
      </c>
      <c r="D16" s="239">
        <f t="shared" si="5"/>
        <v>920</v>
      </c>
      <c r="E16" s="239">
        <f t="shared" si="0"/>
        <v>4600</v>
      </c>
      <c r="F16" s="237"/>
      <c r="G16" s="241">
        <f ca="1">DATA!$D$11/1000000</f>
        <v>1.649807198565</v>
      </c>
      <c r="H16" s="241">
        <f>C16*DATA!$D$5/1000000</f>
        <v>5.9843702532939442</v>
      </c>
      <c r="I16" s="241">
        <f>(C16*DATA!$D$5*DATA!$D$7)/1000000</f>
        <v>0.13464833069911375</v>
      </c>
      <c r="J16" s="239">
        <f t="shared" ca="1" si="1"/>
        <v>7.768825782558058</v>
      </c>
      <c r="K16" s="237"/>
      <c r="L16" s="239">
        <f>((D16*DATA!$D$23)/1000000)+((E16*DATA!$D$24)/1000000)</f>
        <v>7.9747440000000003</v>
      </c>
      <c r="M16" s="239">
        <f t="shared" si="2"/>
        <v>7.9747440000000003</v>
      </c>
      <c r="N16" s="239">
        <f t="shared" ca="1" si="6"/>
        <v>0.20591821744194228</v>
      </c>
      <c r="O16" s="238">
        <f>1/(1+'[91]Asumsi I'!$C$3)^(KKF!A16)</f>
        <v>0.36061002498157957</v>
      </c>
      <c r="P16" s="239">
        <f t="shared" ca="1" si="7"/>
        <v>7.4256173535901138E-2</v>
      </c>
      <c r="Q16" s="239">
        <f t="shared" ca="1" si="9"/>
        <v>-71.030333150260049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" customHeight="1">
      <c r="A17" s="236">
        <f t="shared" si="4"/>
        <v>10</v>
      </c>
      <c r="B17" s="237">
        <f t="shared" si="4"/>
        <v>2033</v>
      </c>
      <c r="C17" s="238">
        <f t="shared" si="8"/>
        <v>5520</v>
      </c>
      <c r="D17" s="239">
        <f t="shared" si="5"/>
        <v>920</v>
      </c>
      <c r="E17" s="239">
        <f t="shared" si="0"/>
        <v>4600</v>
      </c>
      <c r="F17" s="237"/>
      <c r="G17" s="241">
        <f ca="1">DATA!$D$11/1000000</f>
        <v>1.649807198565</v>
      </c>
      <c r="H17" s="241">
        <f>C17*DATA!$D$5/1000000</f>
        <v>5.9843702532939442</v>
      </c>
      <c r="I17" s="241">
        <f>(C17*DATA!$D$5*DATA!$D$7)/1000000</f>
        <v>0.13464833069911375</v>
      </c>
      <c r="J17" s="239">
        <f t="shared" ca="1" si="1"/>
        <v>7.768825782558058</v>
      </c>
      <c r="K17" s="237"/>
      <c r="L17" s="239">
        <f>((D17*DATA!$D$23)/1000000)+((E17*DATA!$D$24)/1000000)</f>
        <v>7.9747440000000003</v>
      </c>
      <c r="M17" s="239">
        <f t="shared" si="2"/>
        <v>7.9747440000000003</v>
      </c>
      <c r="N17" s="239">
        <f t="shared" ca="1" si="6"/>
        <v>0.20591821744194228</v>
      </c>
      <c r="O17" s="238">
        <f>1/(1+'[91]Asumsi I'!$C$3)^(KKF!A17)</f>
        <v>0.32197323659069599</v>
      </c>
      <c r="P17" s="239">
        <f t="shared" ca="1" si="7"/>
        <v>6.6300154942768863E-2</v>
      </c>
      <c r="Q17" s="239">
        <f t="shared" ca="1" si="9"/>
        <v>-70.964032995317282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" customHeight="1">
      <c r="A18" s="236">
        <f t="shared" si="4"/>
        <v>11</v>
      </c>
      <c r="B18" s="237">
        <f t="shared" si="4"/>
        <v>2034</v>
      </c>
      <c r="C18" s="238">
        <f t="shared" si="8"/>
        <v>5520</v>
      </c>
      <c r="D18" s="239">
        <f t="shared" si="5"/>
        <v>920</v>
      </c>
      <c r="E18" s="239">
        <f t="shared" si="0"/>
        <v>4600</v>
      </c>
      <c r="F18" s="237"/>
      <c r="G18" s="241">
        <f ca="1">DATA!$D$11/1000000</f>
        <v>1.649807198565</v>
      </c>
      <c r="H18" s="241">
        <f>C18*DATA!$D$5/1000000</f>
        <v>5.9843702532939442</v>
      </c>
      <c r="I18" s="241">
        <f>(C18*DATA!$D$5*DATA!$D$7)/1000000</f>
        <v>0.13464833069911375</v>
      </c>
      <c r="J18" s="239">
        <f t="shared" ca="1" si="1"/>
        <v>7.768825782558058</v>
      </c>
      <c r="K18" s="237"/>
      <c r="L18" s="239">
        <f>((D18*DATA!$D$23)/1000000)+((E18*DATA!$D$24)/1000000)</f>
        <v>7.9747440000000003</v>
      </c>
      <c r="M18" s="239">
        <f t="shared" si="2"/>
        <v>7.9747440000000003</v>
      </c>
      <c r="N18" s="239">
        <f t="shared" ca="1" si="6"/>
        <v>0.20591821744194228</v>
      </c>
      <c r="O18" s="238">
        <f>1/(1+'[91]Asumsi I'!$C$3)^(KKF!A18)</f>
        <v>0.28747610409883567</v>
      </c>
      <c r="P18" s="239">
        <f t="shared" ca="1" si="7"/>
        <v>5.9196566913186477E-2</v>
      </c>
      <c r="Q18" s="239">
        <f t="shared" ca="1" si="9"/>
        <v>-70.904836428404096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" customHeight="1">
      <c r="A19" s="236">
        <f t="shared" si="4"/>
        <v>12</v>
      </c>
      <c r="B19" s="237">
        <f t="shared" si="4"/>
        <v>2035</v>
      </c>
      <c r="C19" s="238">
        <f t="shared" si="8"/>
        <v>5520</v>
      </c>
      <c r="D19" s="239">
        <f t="shared" si="5"/>
        <v>920</v>
      </c>
      <c r="E19" s="239">
        <f t="shared" si="0"/>
        <v>4600</v>
      </c>
      <c r="F19" s="237"/>
      <c r="G19" s="241">
        <f ca="1">DATA!$D$11/1000000</f>
        <v>1.649807198565</v>
      </c>
      <c r="H19" s="241">
        <f>C19*DATA!$D$5/1000000</f>
        <v>5.9843702532939442</v>
      </c>
      <c r="I19" s="241">
        <f>(C19*DATA!$D$5*DATA!$D$7)/1000000</f>
        <v>0.13464833069911375</v>
      </c>
      <c r="J19" s="239">
        <f t="shared" ca="1" si="1"/>
        <v>7.768825782558058</v>
      </c>
      <c r="K19" s="237"/>
      <c r="L19" s="239">
        <f>((D19*DATA!$D$23)/1000000)+((E19*DATA!$D$24)/1000000)</f>
        <v>7.9747440000000003</v>
      </c>
      <c r="M19" s="239">
        <f t="shared" si="2"/>
        <v>7.9747440000000003</v>
      </c>
      <c r="N19" s="239">
        <f t="shared" ca="1" si="6"/>
        <v>0.20591821744194228</v>
      </c>
      <c r="O19" s="238">
        <f>1/(1+'[91]Asumsi I'!$C$3)^(KKF!A19)</f>
        <v>0.25667509294538904</v>
      </c>
      <c r="P19" s="239">
        <f t="shared" ca="1" si="7"/>
        <v>5.2854077601059361E-2</v>
      </c>
      <c r="Q19" s="239">
        <f t="shared" ca="1" si="9"/>
        <v>-70.851982350803041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" customHeight="1">
      <c r="A20" s="236">
        <f t="shared" si="4"/>
        <v>13</v>
      </c>
      <c r="B20" s="237">
        <f t="shared" si="4"/>
        <v>2036</v>
      </c>
      <c r="C20" s="238">
        <f t="shared" si="8"/>
        <v>5520</v>
      </c>
      <c r="D20" s="239">
        <f t="shared" si="5"/>
        <v>920</v>
      </c>
      <c r="E20" s="239">
        <f t="shared" si="0"/>
        <v>4600</v>
      </c>
      <c r="F20" s="237"/>
      <c r="G20" s="241">
        <f ca="1">DATA!$D$11/1000000</f>
        <v>1.649807198565</v>
      </c>
      <c r="H20" s="241">
        <f>C20*DATA!$D$5/1000000</f>
        <v>5.9843702532939442</v>
      </c>
      <c r="I20" s="241">
        <f>(C20*DATA!$D$5*DATA!$D$7)/1000000</f>
        <v>0.13464833069911375</v>
      </c>
      <c r="J20" s="239">
        <f t="shared" ca="1" si="1"/>
        <v>7.768825782558058</v>
      </c>
      <c r="K20" s="237"/>
      <c r="L20" s="239">
        <f>((D20*DATA!$D$23)/1000000)+((E20*DATA!$D$24)/1000000)</f>
        <v>7.9747440000000003</v>
      </c>
      <c r="M20" s="239">
        <f t="shared" si="2"/>
        <v>7.9747440000000003</v>
      </c>
      <c r="N20" s="239">
        <f t="shared" ca="1" si="6"/>
        <v>0.20591821744194228</v>
      </c>
      <c r="O20" s="238">
        <f>1/(1+'[91]Asumsi I'!$C$3)^(KKF!A20)</f>
        <v>0.22917419012981158</v>
      </c>
      <c r="P20" s="239">
        <f t="shared" ca="1" si="7"/>
        <v>4.7191140715231561E-2</v>
      </c>
      <c r="Q20" s="239">
        <f t="shared" ca="1" si="9"/>
        <v>-70.804791210087814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" customHeight="1">
      <c r="A21" s="236">
        <f t="shared" si="4"/>
        <v>14</v>
      </c>
      <c r="B21" s="237">
        <f t="shared" si="4"/>
        <v>2037</v>
      </c>
      <c r="C21" s="238">
        <f t="shared" si="8"/>
        <v>5520</v>
      </c>
      <c r="D21" s="239">
        <f t="shared" si="5"/>
        <v>920</v>
      </c>
      <c r="E21" s="239">
        <f t="shared" si="0"/>
        <v>4600</v>
      </c>
      <c r="F21" s="237"/>
      <c r="G21" s="241">
        <f ca="1">DATA!$D$11/1000000</f>
        <v>1.649807198565</v>
      </c>
      <c r="H21" s="241">
        <f>C21*DATA!$D$5/1000000</f>
        <v>5.9843702532939442</v>
      </c>
      <c r="I21" s="241">
        <f>(C21*DATA!$D$5*DATA!$D$7)/1000000</f>
        <v>0.13464833069911375</v>
      </c>
      <c r="J21" s="239">
        <f t="shared" ca="1" si="1"/>
        <v>7.768825782558058</v>
      </c>
      <c r="K21" s="237"/>
      <c r="L21" s="239">
        <f>((D21*DATA!$D$23)/1000000)+((E21*DATA!$D$24)/1000000)</f>
        <v>7.9747440000000003</v>
      </c>
      <c r="M21" s="239">
        <f t="shared" si="2"/>
        <v>7.9747440000000003</v>
      </c>
      <c r="N21" s="239">
        <f t="shared" ca="1" si="6"/>
        <v>0.20591821744194228</v>
      </c>
      <c r="O21" s="238">
        <f>1/(1+'[91]Asumsi I'!$C$3)^(KKF!A21)</f>
        <v>0.20461981261590317</v>
      </c>
      <c r="P21" s="239">
        <f t="shared" ca="1" si="7"/>
        <v>4.2134947067171032E-2</v>
      </c>
      <c r="Q21" s="239">
        <f t="shared" ca="1" si="9"/>
        <v>-70.762656263020645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" customHeight="1">
      <c r="A22" s="236">
        <f t="shared" si="4"/>
        <v>15</v>
      </c>
      <c r="B22" s="237">
        <f t="shared" si="4"/>
        <v>2038</v>
      </c>
      <c r="C22" s="238">
        <f t="shared" si="8"/>
        <v>5520</v>
      </c>
      <c r="D22" s="239">
        <f t="shared" si="5"/>
        <v>920</v>
      </c>
      <c r="E22" s="239">
        <f t="shared" si="0"/>
        <v>4600</v>
      </c>
      <c r="F22" s="237"/>
      <c r="G22" s="241">
        <f ca="1">DATA!$D$11/1000000</f>
        <v>1.649807198565</v>
      </c>
      <c r="H22" s="241">
        <f>C22*DATA!$D$5/1000000</f>
        <v>5.9843702532939442</v>
      </c>
      <c r="I22" s="241">
        <f>(C22*DATA!$D$5*DATA!$D$7)/1000000</f>
        <v>0.13464833069911375</v>
      </c>
      <c r="J22" s="239">
        <f t="shared" ca="1" si="1"/>
        <v>7.768825782558058</v>
      </c>
      <c r="K22" s="237"/>
      <c r="L22" s="239">
        <f>((D22*DATA!$D$23)/1000000)+((E22*DATA!$D$24)/1000000)</f>
        <v>7.9747440000000003</v>
      </c>
      <c r="M22" s="239">
        <f t="shared" si="2"/>
        <v>7.9747440000000003</v>
      </c>
      <c r="N22" s="239">
        <f t="shared" ca="1" si="6"/>
        <v>0.20591821744194228</v>
      </c>
      <c r="O22" s="238">
        <f>1/(1+'[91]Asumsi I'!$C$3)^(KKF!A22)</f>
        <v>0.18269626126419927</v>
      </c>
      <c r="P22" s="239">
        <f t="shared" ca="1" si="7"/>
        <v>3.762048845283128E-2</v>
      </c>
      <c r="Q22" s="239">
        <f t="shared" ca="1" si="9"/>
        <v>-70.725035774567814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" customHeight="1">
      <c r="A23" s="236">
        <f t="shared" si="4"/>
        <v>16</v>
      </c>
      <c r="B23" s="237">
        <f t="shared" si="4"/>
        <v>2039</v>
      </c>
      <c r="C23" s="238">
        <f t="shared" si="8"/>
        <v>5520</v>
      </c>
      <c r="D23" s="239">
        <f t="shared" si="5"/>
        <v>920</v>
      </c>
      <c r="E23" s="239">
        <f t="shared" si="0"/>
        <v>4600</v>
      </c>
      <c r="F23" s="237"/>
      <c r="G23" s="241">
        <f ca="1">DATA!$D$11/1000000</f>
        <v>1.649807198565</v>
      </c>
      <c r="H23" s="241">
        <f>C23*DATA!$D$5/1000000</f>
        <v>5.9843702532939442</v>
      </c>
      <c r="I23" s="241">
        <f>(C23*DATA!$D$5*DATA!$D$7)/1000000</f>
        <v>0.13464833069911375</v>
      </c>
      <c r="J23" s="239">
        <f t="shared" ca="1" si="1"/>
        <v>7.768825782558058</v>
      </c>
      <c r="K23" s="237"/>
      <c r="L23" s="239">
        <f>((D23*DATA!$D$23)/1000000)+((E23*DATA!$D$24)/1000000)</f>
        <v>7.9747440000000003</v>
      </c>
      <c r="M23" s="239">
        <f t="shared" si="2"/>
        <v>7.9747440000000003</v>
      </c>
      <c r="N23" s="239">
        <f t="shared" ca="1" si="6"/>
        <v>0.20591821744194228</v>
      </c>
      <c r="O23" s="238">
        <f>1/(1+'[91]Asumsi I'!$C$3)^(KKF!A23)</f>
        <v>0.16312166184303503</v>
      </c>
      <c r="P23" s="239">
        <f t="shared" ca="1" si="7"/>
        <v>3.3589721832885069E-2</v>
      </c>
      <c r="Q23" s="239">
        <f t="shared" ca="1" si="9"/>
        <v>-70.691446052734932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" customHeight="1">
      <c r="A24" s="236">
        <f t="shared" si="4"/>
        <v>17</v>
      </c>
      <c r="B24" s="237">
        <f t="shared" si="4"/>
        <v>2040</v>
      </c>
      <c r="C24" s="238">
        <f t="shared" si="8"/>
        <v>5520</v>
      </c>
      <c r="D24" s="239">
        <f t="shared" si="5"/>
        <v>920</v>
      </c>
      <c r="E24" s="239">
        <f t="shared" si="0"/>
        <v>4600</v>
      </c>
      <c r="F24" s="237"/>
      <c r="G24" s="241">
        <f ca="1">DATA!$D$11/1000000</f>
        <v>1.649807198565</v>
      </c>
      <c r="H24" s="241">
        <f>C24*DATA!$D$5/1000000</f>
        <v>5.9843702532939442</v>
      </c>
      <c r="I24" s="241">
        <f>(C24*DATA!$D$5*DATA!$D$7)/1000000</f>
        <v>0.13464833069911375</v>
      </c>
      <c r="J24" s="239">
        <f t="shared" ca="1" si="1"/>
        <v>7.768825782558058</v>
      </c>
      <c r="K24" s="237"/>
      <c r="L24" s="239">
        <f>((D24*DATA!$D$23)/1000000)+((E24*DATA!$D$24)/1000000)</f>
        <v>7.9747440000000003</v>
      </c>
      <c r="M24" s="239">
        <f t="shared" si="2"/>
        <v>7.9747440000000003</v>
      </c>
      <c r="N24" s="239">
        <f t="shared" ca="1" si="6"/>
        <v>0.20591821744194228</v>
      </c>
      <c r="O24" s="238">
        <f>1/(1+'[91]Asumsi I'!$C$3)^(KKF!A24)</f>
        <v>0.14564434093128129</v>
      </c>
      <c r="P24" s="239">
        <f t="shared" ca="1" si="7"/>
        <v>2.9990823065075955E-2</v>
      </c>
      <c r="Q24" s="239">
        <f t="shared" ca="1" si="9"/>
        <v>-70.661455229669855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5520</v>
      </c>
      <c r="D25" s="239">
        <f t="shared" si="5"/>
        <v>920</v>
      </c>
      <c r="E25" s="239">
        <f t="shared" si="0"/>
        <v>4600</v>
      </c>
      <c r="F25" s="237"/>
      <c r="G25" s="241">
        <f ca="1">DATA!$D$11/1000000</f>
        <v>1.649807198565</v>
      </c>
      <c r="H25" s="241">
        <f>C25*DATA!$D$5/1000000</f>
        <v>5.9843702532939442</v>
      </c>
      <c r="I25" s="241">
        <f>(C25*DATA!$D$5*DATA!$D$7)/1000000</f>
        <v>0.13464833069911375</v>
      </c>
      <c r="J25" s="239">
        <f t="shared" ca="1" si="1"/>
        <v>7.768825782558058</v>
      </c>
      <c r="K25" s="237"/>
      <c r="L25" s="239">
        <f>((D25*DATA!$D$23)/1000000)+((E25*DATA!$D$24)/1000000)</f>
        <v>7.9747440000000003</v>
      </c>
      <c r="M25" s="239">
        <f t="shared" si="2"/>
        <v>7.9747440000000003</v>
      </c>
      <c r="N25" s="239">
        <f t="shared" ca="1" si="6"/>
        <v>0.20591821744194228</v>
      </c>
      <c r="O25" s="238">
        <f>1/(1+'[91]Asumsi I'!$C$3)^(KKF!A25)</f>
        <v>0.13003959011721541</v>
      </c>
      <c r="P25" s="239">
        <f t="shared" ca="1" si="7"/>
        <v>2.677752059381781E-2</v>
      </c>
      <c r="Q25" s="239">
        <f t="shared" ca="1" si="9"/>
        <v>-70.634677709076044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" customHeight="1">
      <c r="A26" s="236">
        <f t="shared" si="11"/>
        <v>19</v>
      </c>
      <c r="B26" s="237">
        <f t="shared" si="11"/>
        <v>2042</v>
      </c>
      <c r="C26" s="238">
        <f t="shared" si="8"/>
        <v>5520</v>
      </c>
      <c r="D26" s="239">
        <f t="shared" si="5"/>
        <v>920</v>
      </c>
      <c r="E26" s="239">
        <f t="shared" si="0"/>
        <v>4600</v>
      </c>
      <c r="F26" s="237"/>
      <c r="G26" s="241">
        <f ca="1">DATA!$D$11/1000000</f>
        <v>1.649807198565</v>
      </c>
      <c r="H26" s="241">
        <f>C26*DATA!$D$5/1000000</f>
        <v>5.9843702532939442</v>
      </c>
      <c r="I26" s="241">
        <f>(C26*DATA!$D$5*DATA!$D$7)/1000000</f>
        <v>0.13464833069911375</v>
      </c>
      <c r="J26" s="239">
        <f t="shared" ca="1" si="1"/>
        <v>7.768825782558058</v>
      </c>
      <c r="K26" s="237"/>
      <c r="L26" s="239">
        <f>((D26*DATA!$D$23)/1000000)+((E26*DATA!$D$24)/1000000)</f>
        <v>7.9747440000000003</v>
      </c>
      <c r="M26" s="239">
        <f t="shared" si="2"/>
        <v>7.9747440000000003</v>
      </c>
      <c r="N26" s="239">
        <f t="shared" ca="1" si="6"/>
        <v>0.20591821744194228</v>
      </c>
      <c r="O26" s="238">
        <f>1/(1+'[91]Asumsi I'!$C$3)^(KKF!A26)</f>
        <v>0.1161067768903709</v>
      </c>
      <c r="P26" s="239">
        <f t="shared" ca="1" si="7"/>
        <v>2.3908500530194474E-2</v>
      </c>
      <c r="Q26" s="239">
        <f t="shared" ca="1" si="9"/>
        <v>-70.610769208545847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" customHeight="1">
      <c r="A27" s="236">
        <f t="shared" si="11"/>
        <v>20</v>
      </c>
      <c r="B27" s="237">
        <f t="shared" si="11"/>
        <v>2043</v>
      </c>
      <c r="C27" s="238">
        <f t="shared" si="8"/>
        <v>5520</v>
      </c>
      <c r="D27" s="239">
        <f t="shared" si="5"/>
        <v>920</v>
      </c>
      <c r="E27" s="239">
        <f t="shared" si="0"/>
        <v>4600</v>
      </c>
      <c r="F27" s="237"/>
      <c r="G27" s="241">
        <f ca="1">DATA!$D$11/1000000</f>
        <v>1.649807198565</v>
      </c>
      <c r="H27" s="241">
        <f>C27*DATA!$D$5/1000000</f>
        <v>5.9843702532939442</v>
      </c>
      <c r="I27" s="241">
        <f>(C27*DATA!$D$5*DATA!$D$7)/1000000</f>
        <v>0.13464833069911375</v>
      </c>
      <c r="J27" s="239">
        <f t="shared" ca="1" si="1"/>
        <v>7.768825782558058</v>
      </c>
      <c r="K27" s="237"/>
      <c r="L27" s="239">
        <f>((D27*DATA!$D$23)/1000000)+((E27*DATA!$D$24)/1000000)</f>
        <v>7.9747440000000003</v>
      </c>
      <c r="M27" s="239">
        <f t="shared" si="2"/>
        <v>7.9747440000000003</v>
      </c>
      <c r="N27" s="239">
        <f t="shared" ca="1" si="6"/>
        <v>0.20591821744194228</v>
      </c>
      <c r="O27" s="238">
        <f>1/(1+'[91]Asumsi I'!$C$3)^(KKF!A27)</f>
        <v>0.1036667650806883</v>
      </c>
      <c r="P27" s="239">
        <f t="shared" ca="1" si="7"/>
        <v>2.134687547338792E-2</v>
      </c>
      <c r="Q27" s="239">
        <f t="shared" ca="1" si="9"/>
        <v>-70.589422333072463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" customHeight="1">
      <c r="A28" s="236">
        <f t="shared" si="11"/>
        <v>21</v>
      </c>
      <c r="B28" s="237">
        <f t="shared" si="11"/>
        <v>2044</v>
      </c>
      <c r="C28" s="238">
        <f t="shared" si="8"/>
        <v>5520</v>
      </c>
      <c r="D28" s="239">
        <f t="shared" si="5"/>
        <v>920</v>
      </c>
      <c r="E28" s="239">
        <f t="shared" si="0"/>
        <v>4600</v>
      </c>
      <c r="F28" s="237"/>
      <c r="G28" s="241">
        <f ca="1">DATA!$D$11/1000000</f>
        <v>1.649807198565</v>
      </c>
      <c r="H28" s="241">
        <f>C28*DATA!$D$5/1000000</f>
        <v>5.9843702532939442</v>
      </c>
      <c r="I28" s="241">
        <f>(C28*DATA!$D$5*DATA!$D$7)/1000000</f>
        <v>0.13464833069911375</v>
      </c>
      <c r="J28" s="239">
        <f t="shared" ca="1" si="1"/>
        <v>7.768825782558058</v>
      </c>
      <c r="K28" s="237"/>
      <c r="L28" s="239">
        <f>((D28*DATA!$D$23)/1000000)+((E28*DATA!$D$24)/1000000)</f>
        <v>7.9747440000000003</v>
      </c>
      <c r="M28" s="239">
        <f t="shared" si="2"/>
        <v>7.9747440000000003</v>
      </c>
      <c r="N28" s="239">
        <f t="shared" ca="1" si="6"/>
        <v>0.20591821744194228</v>
      </c>
      <c r="O28" s="238">
        <f>1/(1+'[91]Asumsi I'!$C$3)^(KKF!A28)</f>
        <v>9.2559611679185971E-2</v>
      </c>
      <c r="P28" s="239">
        <f t="shared" ca="1" si="7"/>
        <v>1.9059710244096358E-2</v>
      </c>
      <c r="Q28" s="239">
        <f t="shared" ca="1" si="9"/>
        <v>-70.57036262282837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" customHeight="1">
      <c r="A29" s="236">
        <f t="shared" si="11"/>
        <v>22</v>
      </c>
      <c r="B29" s="237">
        <f t="shared" si="11"/>
        <v>2045</v>
      </c>
      <c r="C29" s="238">
        <f t="shared" si="8"/>
        <v>5520</v>
      </c>
      <c r="D29" s="239">
        <f t="shared" si="5"/>
        <v>920</v>
      </c>
      <c r="E29" s="239">
        <f t="shared" si="0"/>
        <v>4600</v>
      </c>
      <c r="F29" s="237"/>
      <c r="G29" s="241">
        <f ca="1">DATA!$D$11/1000000</f>
        <v>1.649807198565</v>
      </c>
      <c r="H29" s="241">
        <f>C29*DATA!$D$5/1000000</f>
        <v>5.9843702532939442</v>
      </c>
      <c r="I29" s="241">
        <f>(C29*DATA!$D$5*DATA!$D$7)/1000000</f>
        <v>0.13464833069911375</v>
      </c>
      <c r="J29" s="239">
        <f t="shared" ca="1" si="1"/>
        <v>7.768825782558058</v>
      </c>
      <c r="K29" s="237"/>
      <c r="L29" s="239">
        <f>((D29*DATA!$D$23)/1000000)+((E29*DATA!$D$24)/1000000)</f>
        <v>7.9747440000000003</v>
      </c>
      <c r="M29" s="239">
        <f t="shared" si="2"/>
        <v>7.9747440000000003</v>
      </c>
      <c r="N29" s="239">
        <f t="shared" ca="1" si="6"/>
        <v>0.20591821744194228</v>
      </c>
      <c r="O29" s="238">
        <f>1/(1+'[91]Asumsi I'!$C$3)^(KKF!A29)</f>
        <v>8.2642510427844609E-2</v>
      </c>
      <c r="P29" s="239">
        <f t="shared" ca="1" si="7"/>
        <v>1.7017598432228886E-2</v>
      </c>
      <c r="Q29" s="239">
        <f t="shared" ca="1" si="9"/>
        <v>-70.553345024396137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" customHeight="1">
      <c r="A30" s="236">
        <f t="shared" si="11"/>
        <v>23</v>
      </c>
      <c r="B30" s="237">
        <f t="shared" si="11"/>
        <v>2046</v>
      </c>
      <c r="C30" s="238">
        <f t="shared" si="8"/>
        <v>5520</v>
      </c>
      <c r="D30" s="239">
        <f t="shared" si="5"/>
        <v>920</v>
      </c>
      <c r="E30" s="239">
        <f t="shared" si="0"/>
        <v>4600</v>
      </c>
      <c r="F30" s="237"/>
      <c r="G30" s="241">
        <f ca="1">DATA!$D$11/1000000</f>
        <v>1.649807198565</v>
      </c>
      <c r="H30" s="241">
        <f>C30*DATA!$D$5/1000000</f>
        <v>5.9843702532939442</v>
      </c>
      <c r="I30" s="241">
        <f>(C30*DATA!$D$5*DATA!$D$7)/1000000</f>
        <v>0.13464833069911375</v>
      </c>
      <c r="J30" s="239">
        <f t="shared" ca="1" si="1"/>
        <v>7.768825782558058</v>
      </c>
      <c r="K30" s="237"/>
      <c r="L30" s="239">
        <f>((D30*DATA!$D$23)/1000000)+((E30*DATA!$D$24)/1000000)</f>
        <v>7.9747440000000003</v>
      </c>
      <c r="M30" s="239">
        <f t="shared" si="2"/>
        <v>7.9747440000000003</v>
      </c>
      <c r="N30" s="239">
        <f t="shared" ca="1" si="6"/>
        <v>0.20591821744194228</v>
      </c>
      <c r="O30" s="238">
        <f>1/(1+'[91]Asumsi I'!$C$3)^(KKF!A30)</f>
        <v>7.3787955739146982E-2</v>
      </c>
      <c r="P30" s="239">
        <f t="shared" ca="1" si="7"/>
        <v>1.519428431449008E-2</v>
      </c>
      <c r="Q30" s="239">
        <f t="shared" ca="1" si="9"/>
        <v>-70.538150740081647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" customHeight="1">
      <c r="A31" s="236">
        <f t="shared" si="11"/>
        <v>24</v>
      </c>
      <c r="B31" s="237">
        <f t="shared" si="11"/>
        <v>2047</v>
      </c>
      <c r="C31" s="238">
        <f t="shared" si="8"/>
        <v>5520</v>
      </c>
      <c r="D31" s="239">
        <f t="shared" si="5"/>
        <v>920</v>
      </c>
      <c r="E31" s="239">
        <f t="shared" si="0"/>
        <v>4600</v>
      </c>
      <c r="F31" s="237"/>
      <c r="G31" s="241">
        <f ca="1">DATA!$D$11/1000000</f>
        <v>1.649807198565</v>
      </c>
      <c r="H31" s="241">
        <f>C31*DATA!$D$5/1000000</f>
        <v>5.9843702532939442</v>
      </c>
      <c r="I31" s="241">
        <f>(C31*DATA!$D$5*DATA!$D$7)/1000000</f>
        <v>0.13464833069911375</v>
      </c>
      <c r="J31" s="239">
        <f t="shared" ca="1" si="1"/>
        <v>7.768825782558058</v>
      </c>
      <c r="K31" s="237"/>
      <c r="L31" s="239">
        <f>((D31*DATA!$D$23)/1000000)+((E31*DATA!$D$24)/1000000)</f>
        <v>7.9747440000000003</v>
      </c>
      <c r="M31" s="239">
        <f t="shared" si="2"/>
        <v>7.9747440000000003</v>
      </c>
      <c r="N31" s="239">
        <f t="shared" ca="1" si="6"/>
        <v>0.20591821744194228</v>
      </c>
      <c r="O31" s="238">
        <f>1/(1+'[91]Asumsi I'!$C$3)^(KKF!A31)</f>
        <v>6.5882103338524081E-2</v>
      </c>
      <c r="P31" s="239">
        <f t="shared" ca="1" si="7"/>
        <v>1.3566325280794713E-2</v>
      </c>
      <c r="Q31" s="239">
        <f ca="1">Q30+P31</f>
        <v>-70.524584414800856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" customHeight="1">
      <c r="A32" s="236">
        <f t="shared" si="11"/>
        <v>25</v>
      </c>
      <c r="B32" s="237">
        <f>B30+1</f>
        <v>2047</v>
      </c>
      <c r="C32" s="238">
        <f t="shared" si="8"/>
        <v>5520</v>
      </c>
      <c r="D32" s="239">
        <f t="shared" si="5"/>
        <v>920</v>
      </c>
      <c r="E32" s="239">
        <f t="shared" si="0"/>
        <v>4600</v>
      </c>
      <c r="F32" s="237"/>
      <c r="G32" s="241">
        <f ca="1">DATA!$D$11/1000000</f>
        <v>1.649807198565</v>
      </c>
      <c r="H32" s="241">
        <f>C32*DATA!$D$5/1000000</f>
        <v>5.9843702532939442</v>
      </c>
      <c r="I32" s="241">
        <f>(C32*DATA!$D$5*DATA!$D$7)/1000000</f>
        <v>0.13464833069911375</v>
      </c>
      <c r="J32" s="239">
        <f t="shared" ca="1" si="1"/>
        <v>7.768825782558058</v>
      </c>
      <c r="K32" s="237"/>
      <c r="L32" s="239">
        <f>((D32*DATA!$D$23)/1000000)+((E32*DATA!$D$24)/1000000)</f>
        <v>7.9747440000000003</v>
      </c>
      <c r="M32" s="239">
        <f t="shared" si="2"/>
        <v>7.9747440000000003</v>
      </c>
      <c r="N32" s="239">
        <f t="shared" ca="1" si="6"/>
        <v>0.20591821744194228</v>
      </c>
      <c r="O32" s="238">
        <f>1/(1+'[91]Asumsi I'!$C$3)^(KKF!A32)</f>
        <v>5.8823306552253637E-2</v>
      </c>
      <c r="P32" s="239">
        <f t="shared" ca="1" si="7"/>
        <v>1.2112790429280993E-2</v>
      </c>
      <c r="Q32" s="239">
        <f ca="1">Q31+P32</f>
        <v>-70.512471624371571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" customHeight="1">
      <c r="B33" s="246"/>
      <c r="C33" s="246"/>
      <c r="D33" s="246"/>
      <c r="E33" s="246"/>
      <c r="F33" s="617" t="s">
        <v>1345</v>
      </c>
      <c r="G33" s="617"/>
      <c r="H33" s="617"/>
      <c r="I33" s="247"/>
      <c r="J33" s="248">
        <f ca="1">SUM(J7:J32)</f>
        <v>282.44015741342838</v>
      </c>
      <c r="K33" s="617" t="s">
        <v>1346</v>
      </c>
      <c r="L33" s="617"/>
      <c r="M33" s="248">
        <f>SUM(M7:M32)</f>
        <v>215.46059599999987</v>
      </c>
      <c r="N33" s="246"/>
      <c r="O33" s="246"/>
      <c r="P33" s="249"/>
      <c r="Q33" s="249"/>
      <c r="S33" s="227">
        <f ca="1">COUNTIF(S7:S32,"a")</f>
        <v>26</v>
      </c>
    </row>
    <row r="34" spans="2:22" ht="20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1347</v>
      </c>
      <c r="Q34" s="253">
        <f ca="1">+J7/N32</f>
        <v>428.42014633479499</v>
      </c>
      <c r="V34" s="254"/>
    </row>
    <row r="35" spans="2:22" ht="20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1348</v>
      </c>
      <c r="Q35" s="255" t="e">
        <f ca="1">AVERAGE(T7:T32)</f>
        <v>#DIV/0!</v>
      </c>
    </row>
    <row r="36" spans="2:22" ht="20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1349</v>
      </c>
      <c r="Q36" s="256">
        <f ca="1">M33/J33</f>
        <v>0.76285397222964435</v>
      </c>
    </row>
    <row r="37" spans="2:22" ht="20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999</v>
      </c>
      <c r="Q37" s="257">
        <f ca="1">+NPV(0.12,N7:N32)</f>
        <v>-62.957563950331753</v>
      </c>
    </row>
    <row r="38" spans="2:22" ht="20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1000</v>
      </c>
      <c r="Q38" s="258">
        <f ca="1">IRR(N7:N32,DATA!D4)</f>
        <v>-0.14636890925658164</v>
      </c>
    </row>
    <row r="39" spans="2:22" ht="20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8" priority="1" stopIfTrue="1" operator="greaterThanOrEqual">
      <formula>$F$7</formula>
    </cfRule>
    <cfRule type="cellIs" dxfId="27" priority="2" stopIfTrue="1" operator="lessThan">
      <formula>$F$7</formula>
    </cfRule>
  </conditionalFormatting>
  <conditionalFormatting sqref="Q7:Q32">
    <cfRule type="cellIs" dxfId="26" priority="3" operator="lessThan">
      <formula>0</formula>
    </cfRule>
    <cfRule type="cellIs" dxfId="25" priority="4" operator="lessThan">
      <formula>0</formula>
    </cfRule>
    <cfRule type="cellIs" dxfId="24" priority="5" operator="lessThan">
      <formula>-6395.81</formula>
    </cfRule>
    <cfRule type="cellIs" dxfId="2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64"/>
  <sheetViews>
    <sheetView showGridLines="0" zoomScale="70" zoomScaleNormal="70" zoomScaleSheetLayoutView="70" workbookViewId="0">
      <pane ySplit="13" topLeftCell="A146" activePane="bottomLeft" state="frozen"/>
      <selection activeCell="H1093" sqref="H1093"/>
      <selection pane="bottomLeft" activeCell="I161" sqref="I161:K161"/>
    </sheetView>
  </sheetViews>
  <sheetFormatPr baseColWidth="10" defaultColWidth="9.1640625" defaultRowHeight="14"/>
  <cols>
    <col min="1" max="1" width="8.33203125" style="259" customWidth="1"/>
    <col min="2" max="2" width="5.1640625" style="260" customWidth="1"/>
    <col min="3" max="3" width="45.6640625" style="333" customWidth="1"/>
    <col min="4" max="4" width="13.6640625" style="333" customWidth="1"/>
    <col min="5" max="5" width="12.5" style="263" customWidth="1"/>
    <col min="6" max="6" width="7.6640625" style="263" customWidth="1"/>
    <col min="7" max="7" width="12.6640625" style="263" customWidth="1"/>
    <col min="8" max="8" width="18.1640625" style="264" customWidth="1"/>
    <col min="9" max="9" width="16.6640625" style="264" customWidth="1"/>
    <col min="10" max="11" width="16.6640625" style="265" customWidth="1"/>
    <col min="12" max="12" width="3.6640625" style="265" customWidth="1"/>
    <col min="13" max="13" width="14" style="265" customWidth="1"/>
    <col min="14" max="14" width="15" style="265" customWidth="1"/>
    <col min="15" max="15" width="9.1640625" style="266" customWidth="1"/>
    <col min="16" max="16" width="12.6640625" style="267" customWidth="1"/>
    <col min="17" max="17" width="12.6640625" style="266" customWidth="1"/>
    <col min="18" max="18" width="2.5" style="266" customWidth="1"/>
    <col min="19" max="22" width="10.6640625" style="266" customWidth="1"/>
    <col min="23" max="24" width="9.1640625" style="266" customWidth="1"/>
    <col min="25" max="16384" width="9.1640625" style="266"/>
  </cols>
  <sheetData>
    <row r="1" spans="1:22">
      <c r="C1" s="261" t="s">
        <v>982</v>
      </c>
      <c r="D1" s="262"/>
      <c r="U1" s="259"/>
    </row>
    <row r="2" spans="1:22">
      <c r="C2" s="261" t="s">
        <v>1319</v>
      </c>
      <c r="D2" s="262"/>
      <c r="T2" s="267"/>
      <c r="U2" s="268" t="s">
        <v>1007</v>
      </c>
      <c r="V2" s="267"/>
    </row>
    <row r="3" spans="1:22">
      <c r="C3" s="261" t="s">
        <v>1411</v>
      </c>
      <c r="D3" s="262"/>
      <c r="O3" s="620" t="s">
        <v>1007</v>
      </c>
      <c r="P3" s="620"/>
      <c r="Q3" s="269"/>
      <c r="T3" s="267"/>
      <c r="U3" s="268" t="s">
        <v>1012</v>
      </c>
      <c r="V3" s="267"/>
    </row>
    <row r="4" spans="1:22" ht="15.75" customHeight="1">
      <c r="B4" s="621" t="s">
        <v>994</v>
      </c>
      <c r="C4" s="621"/>
      <c r="D4" s="621"/>
      <c r="E4" s="621"/>
      <c r="F4" s="621"/>
      <c r="G4" s="621"/>
      <c r="H4" s="621"/>
      <c r="I4" s="621"/>
      <c r="J4" s="621"/>
      <c r="K4" s="621"/>
      <c r="O4" s="620"/>
      <c r="P4" s="620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1008</v>
      </c>
      <c r="F6" s="272" t="s">
        <v>9</v>
      </c>
      <c r="G6" s="538" t="s">
        <v>1630</v>
      </c>
      <c r="H6" s="538"/>
      <c r="I6" s="538"/>
      <c r="J6" s="538"/>
      <c r="K6" s="538"/>
      <c r="T6" s="267"/>
      <c r="U6" s="268"/>
      <c r="V6" s="267"/>
    </row>
    <row r="7" spans="1:22" ht="15">
      <c r="C7" s="270"/>
      <c r="D7" s="262"/>
      <c r="E7" s="271" t="s">
        <v>1009</v>
      </c>
      <c r="F7" s="272" t="s">
        <v>9</v>
      </c>
      <c r="G7" s="106" t="s">
        <v>1631</v>
      </c>
      <c r="H7" s="27"/>
      <c r="I7" s="27"/>
      <c r="J7" s="107"/>
      <c r="K7" s="451"/>
      <c r="T7" s="267"/>
      <c r="U7" s="268"/>
      <c r="V7" s="267"/>
    </row>
    <row r="8" spans="1:22" ht="15">
      <c r="C8" s="270"/>
      <c r="D8" s="262"/>
      <c r="E8" s="271" t="s">
        <v>1010</v>
      </c>
      <c r="F8" s="272" t="s">
        <v>9</v>
      </c>
      <c r="G8" s="106" t="s">
        <v>1410</v>
      </c>
      <c r="J8" s="273"/>
      <c r="T8" s="267"/>
      <c r="U8" s="268"/>
      <c r="V8" s="267"/>
    </row>
    <row r="9" spans="1:22">
      <c r="C9" s="270"/>
      <c r="D9" s="262"/>
      <c r="E9" s="271" t="s">
        <v>1011</v>
      </c>
      <c r="F9" s="272" t="s">
        <v>9</v>
      </c>
      <c r="G9" s="271" t="s">
        <v>1517</v>
      </c>
      <c r="J9" s="273"/>
      <c r="T9" s="267"/>
      <c r="U9" s="268"/>
      <c r="V9" s="267"/>
    </row>
    <row r="10" spans="1:22" ht="15" thickBot="1">
      <c r="C10" s="262"/>
      <c r="D10" s="262"/>
      <c r="T10" s="267"/>
      <c r="U10" s="267"/>
      <c r="V10" s="267"/>
    </row>
    <row r="11" spans="1:22" ht="21" customHeight="1">
      <c r="B11" s="623" t="s">
        <v>0</v>
      </c>
      <c r="C11" s="625" t="s">
        <v>1</v>
      </c>
      <c r="D11" s="628" t="s">
        <v>32</v>
      </c>
      <c r="E11" s="628" t="s">
        <v>33</v>
      </c>
      <c r="F11" s="628" t="s">
        <v>2</v>
      </c>
      <c r="G11" s="630" t="s">
        <v>31</v>
      </c>
      <c r="H11" s="628" t="s">
        <v>3</v>
      </c>
      <c r="I11" s="628"/>
      <c r="J11" s="628"/>
      <c r="K11" s="635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24"/>
      <c r="C12" s="626"/>
      <c r="D12" s="629"/>
      <c r="E12" s="629"/>
      <c r="F12" s="629"/>
      <c r="G12" s="631"/>
      <c r="H12" s="633" t="s">
        <v>36</v>
      </c>
      <c r="I12" s="633" t="s">
        <v>5</v>
      </c>
      <c r="J12" s="629" t="s">
        <v>37</v>
      </c>
      <c r="K12" s="636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24"/>
      <c r="C13" s="627"/>
      <c r="D13" s="629"/>
      <c r="E13" s="629"/>
      <c r="F13" s="629"/>
      <c r="G13" s="632"/>
      <c r="H13" s="634"/>
      <c r="I13" s="634"/>
      <c r="J13" s="629"/>
      <c r="K13" s="636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 ht="15">
      <c r="A15" s="259" t="e">
        <f>IF(AND(C15=0,#REF!=0,#REF!=0),"BLANKS",1)</f>
        <v>#REF!</v>
      </c>
      <c r="B15" s="489" t="s">
        <v>470</v>
      </c>
      <c r="C15" s="490" t="s">
        <v>1577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97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 ht="15">
      <c r="A16" s="259" t="e">
        <f>IF(AND(C16=0,#REF!=0,#REF!=0),"BLANKS",1)</f>
        <v>#REF!</v>
      </c>
      <c r="B16" s="492"/>
      <c r="C16" s="109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289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 ht="15">
      <c r="A17" s="259" t="e">
        <f>IF(AND(C17=0,#REF!=0,#REF!=0),"BLANKS",1)</f>
        <v>#REF!</v>
      </c>
      <c r="B17" s="492"/>
      <c r="C17" s="509"/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289"/>
      <c r="G17" s="283">
        <f ca="1">IF(ISERROR(OFFSET('HARGA SATUAN'!$I$6,MATCH(RAB!C17,'HARGA SATUAN'!$C$7:$C$1492,0),0)),0,OFFSET('HARGA SATUAN'!$I$6,MATCH(RAB!C17,'HARGA SATUAN'!$C$7:$C$1492,0),0))</f>
        <v>0</v>
      </c>
      <c r="H17" s="284">
        <f t="shared" ref="H17:H97" ca="1" si="4">IF(OR(D17="MDU",D17="MDU-KD"),(IF($O$3="RAB NON MDU","PLN KD",G17*F17)),0)</f>
        <v>0</v>
      </c>
      <c r="I17" s="284">
        <f t="shared" ref="I17:I97" ca="1" si="5">IF(D17="HDW",G17*F17,0)</f>
        <v>0</v>
      </c>
      <c r="J17" s="284">
        <f t="shared" ref="J17:J97" ca="1" si="6">IF(D17="JASA",G17*F17,0)</f>
        <v>0</v>
      </c>
      <c r="K17" s="285">
        <f t="shared" ca="1" si="3"/>
        <v>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 ht="15">
      <c r="A18" s="259" t="e">
        <f>IF(AND(C18=0,#REF!=0,#REF!=0),"BLANKS",1)</f>
        <v>#REF!</v>
      </c>
      <c r="B18" s="491" t="s">
        <v>495</v>
      </c>
      <c r="C18" s="280" t="s">
        <v>1578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400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 ht="15">
      <c r="A19" s="259"/>
      <c r="B19" s="492"/>
      <c r="C19" s="509"/>
      <c r="D19" s="281" t="str">
        <f ca="1">IF(ISERROR(OFFSET('HARGA SATUAN'!$D$6,MATCH(RAB!C19,'HARGA SATUAN'!$C$7:$C$1492,0),0)),"",OFFSET('HARGA SATUAN'!$D$6,MATCH(RAB!C19,'HARGA SATUAN'!$C$7:$C$1492,0),0))</f>
        <v/>
      </c>
      <c r="E19" s="282" t="str">
        <f ca="1">IF(B19="+","Unit",IF(ISERROR(OFFSET('HARGA SATUAN'!$E$6,MATCH(RAB!C19,'HARGA SATUAN'!$C$7:$C$1492,0),0)),"",OFFSET('HARGA SATUAN'!$E$6,MATCH(RAB!C19,'HARGA SATUAN'!$C$7:$C$1492,0),0)))</f>
        <v/>
      </c>
      <c r="F19" s="400"/>
      <c r="G19" s="283">
        <f ca="1">IF(ISERROR(OFFSET('HARGA SATUAN'!$I$6,MATCH(RAB!C19,'HARGA SATUAN'!$C$7:$C$1492,0),0)),0,OFFSET('HARGA SATUAN'!$I$6,MATCH(RAB!C19,'HARGA SATUAN'!$C$7:$C$1492,0),0))</f>
        <v>0</v>
      </c>
      <c r="H19" s="284">
        <f t="shared" ref="H19:H93" ca="1" si="7">IF(OR(D19="MDU",D19="MDU-KD"),(IF($O$3="RAB NON MDU","PLN KD",G19*F19)),0)</f>
        <v>0</v>
      </c>
      <c r="I19" s="284">
        <f t="shared" ref="I19:I93" ca="1" si="8">IF(D19="HDW",G19*F19,0)</f>
        <v>0</v>
      </c>
      <c r="J19" s="284">
        <f t="shared" ref="J19:J93" ca="1" si="9">IF(D19="JASA",G19*F19,0)</f>
        <v>0</v>
      </c>
      <c r="K19" s="285">
        <f t="shared" ref="K19:K93" ca="1" si="10">SUM(H19:J19)</f>
        <v>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 ht="16">
      <c r="A20" s="259" t="e">
        <f>IF(AND(C20=0,#REF!=0,#REF!=0),"BLANKS",1)</f>
        <v>#REF!</v>
      </c>
      <c r="B20" s="511" t="s">
        <v>1006</v>
      </c>
      <c r="C20" s="512" t="s">
        <v>1632</v>
      </c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400">
        <v>1</v>
      </c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7"/>
        <v>0</v>
      </c>
      <c r="I20" s="284">
        <f t="shared" ca="1" si="8"/>
        <v>0</v>
      </c>
      <c r="J20" s="284">
        <f t="shared" ca="1" si="9"/>
        <v>0</v>
      </c>
      <c r="K20" s="285">
        <f t="shared" ca="1" si="10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 ht="16">
      <c r="A21" s="259" t="e">
        <f>IF(AND(C21=0,C22=0,#REF!=0),"BLANKS",1)</f>
        <v>#REF!</v>
      </c>
      <c r="B21" s="511">
        <v>1</v>
      </c>
      <c r="C21" s="109" t="s">
        <v>1118</v>
      </c>
      <c r="D21" s="281" t="str">
        <f ca="1">IF(ISERROR(OFFSET('HARGA SATUAN'!$D$6,MATCH(RAB!C21,'HARGA SATUAN'!$C$7:$C$1492,0),0)),"",OFFSET('HARGA SATUAN'!$D$6,MATCH(RAB!C21,'HARGA SATUAN'!$C$7:$C$1492,0),0))</f>
        <v>MDU-KD</v>
      </c>
      <c r="E21" s="282" t="str">
        <f ca="1">IF(B21="+","Unit",IF(ISERROR(OFFSET('HARGA SATUAN'!$E$6,MATCH(RAB!C21,'HARGA SATUAN'!$C$7:$C$1492,0),0)),"",OFFSET('HARGA SATUAN'!$E$6,MATCH(RAB!C21,'HARGA SATUAN'!$C$7:$C$1492,0),0)))</f>
        <v>Bh</v>
      </c>
      <c r="F21" s="400">
        <f>F20*1</f>
        <v>1</v>
      </c>
      <c r="G21" s="283">
        <f ca="1">IF(ISERROR(OFFSET('HARGA SATUAN'!$I$6,MATCH(RAB!C21,'HARGA SATUAN'!$C$7:$C$1492,0),0)),0,OFFSET('HARGA SATUAN'!$I$6,MATCH(RAB!C21,'HARGA SATUAN'!$C$7:$C$1492,0),0))</f>
        <v>56838600</v>
      </c>
      <c r="H21" s="284">
        <f t="shared" ca="1" si="7"/>
        <v>56838600</v>
      </c>
      <c r="I21" s="284">
        <f t="shared" ca="1" si="8"/>
        <v>0</v>
      </c>
      <c r="J21" s="284">
        <f t="shared" ca="1" si="9"/>
        <v>0</v>
      </c>
      <c r="K21" s="285">
        <f t="shared" ca="1" si="10"/>
        <v>56838600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16">
      <c r="A22" s="259" t="e">
        <f>IF(AND(C22=0,#REF!=0,#REF!=0),"BLANKS",1)</f>
        <v>#REF!</v>
      </c>
      <c r="B22" s="510">
        <v>2</v>
      </c>
      <c r="C22" s="463" t="s">
        <v>1514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400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 ht="16">
      <c r="A23" s="259"/>
      <c r="B23" s="511"/>
      <c r="C23" s="463" t="s">
        <v>55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Mtr</v>
      </c>
      <c r="F23" s="400"/>
      <c r="G23" s="283">
        <f ca="1">IF(ISERROR(OFFSET('HARGA SATUAN'!$I$6,MATCH(RAB!C23,'HARGA SATUAN'!$C$7:$C$1492,0),0)),0,OFFSET('HARGA SATUAN'!$I$6,MATCH(RAB!C23,'HARGA SATUAN'!$C$7:$C$1492,0),0))</f>
        <v>14200</v>
      </c>
      <c r="H23" s="284">
        <f t="shared" ca="1" si="7"/>
        <v>0</v>
      </c>
      <c r="I23" s="284">
        <f t="shared" ca="1" si="8"/>
        <v>0</v>
      </c>
      <c r="J23" s="284">
        <f t="shared" ca="1" si="9"/>
        <v>0</v>
      </c>
      <c r="K23" s="285">
        <f t="shared" ca="1" si="10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 ht="16">
      <c r="A24" s="259">
        <f t="shared" ref="A24:A26" si="11">IF(AND(C24=0,C25=0,C26=0),"BLANKS",1)</f>
        <v>1</v>
      </c>
      <c r="B24" s="511"/>
      <c r="C24" s="463" t="s">
        <v>1579</v>
      </c>
      <c r="D24" s="281" t="str">
        <f ca="1">IF(ISERROR(OFFSET('HARGA SATUAN'!$D$6,MATCH(RAB!C24,'HARGA SATUAN'!$C$7:$C$1492,0),0)),"",OFFSET('HARGA SATUAN'!$D$6,MATCH(RAB!C24,'HARGA SATUAN'!$C$7:$C$1492,0),0))</f>
        <v/>
      </c>
      <c r="E24" s="282" t="str">
        <f ca="1">IF(B24="+","Unit",IF(ISERROR(OFFSET('HARGA SATUAN'!$E$6,MATCH(RAB!C24,'HARGA SATUAN'!$C$7:$C$1492,0),0)),"",OFFSET('HARGA SATUAN'!$E$6,MATCH(RAB!C24,'HARGA SATUAN'!$C$7:$C$1492,0),0)))</f>
        <v/>
      </c>
      <c r="F24" s="400"/>
      <c r="G24" s="283">
        <f ca="1">IF(ISERROR(OFFSET('HARGA SATUAN'!$I$6,MATCH(RAB!C24,'HARGA SATUAN'!$C$7:$C$1492,0),0)),0,OFFSET('HARGA SATUAN'!$I$6,MATCH(RAB!C24,'HARGA SATUAN'!$C$7:$C$1492,0),0))</f>
        <v>0</v>
      </c>
      <c r="H24" s="284">
        <f t="shared" ca="1" si="7"/>
        <v>0</v>
      </c>
      <c r="I24" s="284">
        <f t="shared" ca="1" si="8"/>
        <v>0</v>
      </c>
      <c r="J24" s="284">
        <f t="shared" ca="1" si="9"/>
        <v>0</v>
      </c>
      <c r="K24" s="285">
        <f t="shared" ca="1" si="10"/>
        <v>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 ht="16">
      <c r="A25" s="259">
        <f t="shared" si="11"/>
        <v>1</v>
      </c>
      <c r="B25" s="511">
        <v>3</v>
      </c>
      <c r="C25" s="109" t="s">
        <v>549</v>
      </c>
      <c r="D25" s="281" t="str">
        <f ca="1">IF(ISERROR(OFFSET('HARGA SATUAN'!$D$6,MATCH(RAB!C25,'HARGA SATUAN'!$C$7:$C$1492,0),0)),"",OFFSET('HARGA SATUAN'!$D$6,MATCH(RAB!C25,'HARGA SATUAN'!$C$7:$C$1492,0),0))</f>
        <v>MDU-KD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402"/>
      <c r="G25" s="283">
        <f ca="1">IF(ISERROR(OFFSET('HARGA SATUAN'!$I$6,MATCH(RAB!C25,'HARGA SATUAN'!$C$7:$C$1492,0),0)),0,OFFSET('HARGA SATUAN'!$I$6,MATCH(RAB!C25,'HARGA SATUAN'!$C$7:$C$1492,0),0))</f>
        <v>725900</v>
      </c>
      <c r="H25" s="284">
        <f t="shared" ca="1" si="7"/>
        <v>0</v>
      </c>
      <c r="I25" s="284">
        <f t="shared" ca="1" si="8"/>
        <v>0</v>
      </c>
      <c r="J25" s="284">
        <f t="shared" ca="1" si="9"/>
        <v>0</v>
      </c>
      <c r="K25" s="285">
        <f t="shared" ca="1" si="10"/>
        <v>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 ht="16">
      <c r="A26" s="259">
        <f t="shared" si="11"/>
        <v>1</v>
      </c>
      <c r="B26" s="511">
        <v>4</v>
      </c>
      <c r="C26" s="512" t="s">
        <v>525</v>
      </c>
      <c r="D26" s="281" t="str">
        <f ca="1">IF(ISERROR(OFFSET('HARGA SATUAN'!$D$6,MATCH(RAB!C26,'HARGA SATUAN'!$C$7:$C$1492,0),0)),"",OFFSET('HARGA SATUAN'!$D$6,MATCH(RAB!C26,'HARGA SATUAN'!$C$7:$C$1492,0),0))</f>
        <v>MDU-KD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400"/>
      <c r="G26" s="283">
        <f ca="1">IF(ISERROR(OFFSET('HARGA SATUAN'!$I$6,MATCH(RAB!C26,'HARGA SATUAN'!$C$7:$C$1492,0),0)),0,OFFSET('HARGA SATUAN'!$I$6,MATCH(RAB!C26,'HARGA SATUAN'!$C$7:$C$1492,0),0))</f>
        <v>848250</v>
      </c>
      <c r="H26" s="284">
        <f t="shared" ca="1" si="7"/>
        <v>0</v>
      </c>
      <c r="I26" s="284">
        <f t="shared" ca="1" si="8"/>
        <v>0</v>
      </c>
      <c r="J26" s="284">
        <f t="shared" ca="1" si="9"/>
        <v>0</v>
      </c>
      <c r="K26" s="285">
        <f t="shared" ca="1" si="10"/>
        <v>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 ht="16">
      <c r="A27" s="259" t="e">
        <f>IF(AND(C27=0,C28=0,#REF!=0),"BLANKS",1)</f>
        <v>#REF!</v>
      </c>
      <c r="B27" s="511">
        <v>5</v>
      </c>
      <c r="C27" s="512" t="s">
        <v>45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400"/>
      <c r="G27" s="283">
        <f ca="1">IF(ISERROR(OFFSET('HARGA SATUAN'!$I$6,MATCH(RAB!C27,'HARGA SATUAN'!$C$7:$C$1492,0),0)),0,OFFSET('HARGA SATUAN'!$I$6,MATCH(RAB!C27,'HARGA SATUAN'!$C$7:$C$1492,0),0))</f>
        <v>18000</v>
      </c>
      <c r="H27" s="284">
        <f t="shared" ca="1" si="7"/>
        <v>0</v>
      </c>
      <c r="I27" s="284">
        <f t="shared" ca="1" si="8"/>
        <v>0</v>
      </c>
      <c r="J27" s="284">
        <f t="shared" ca="1" si="9"/>
        <v>0</v>
      </c>
      <c r="K27" s="285">
        <f t="shared" ca="1" si="10"/>
        <v>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 ht="16">
      <c r="A28" s="259" t="e">
        <f>IF(AND(C28=0,#REF!=0,#REF!=0),"BLANKS",1)</f>
        <v>#REF!</v>
      </c>
      <c r="B28" s="511">
        <v>6</v>
      </c>
      <c r="C28" s="512" t="s">
        <v>571</v>
      </c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400"/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ca="1" si="7"/>
        <v>0</v>
      </c>
      <c r="I28" s="284">
        <f t="shared" ca="1" si="8"/>
        <v>0</v>
      </c>
      <c r="J28" s="284">
        <f t="shared" ca="1" si="9"/>
        <v>0</v>
      </c>
      <c r="K28" s="285">
        <f t="shared" ca="1" si="10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 ht="16">
      <c r="A29" s="259">
        <f t="shared" ref="A29:A31" si="12">IF(AND(C29=0,C30=0,C31=0),"BLANKS",1)</f>
        <v>1</v>
      </c>
      <c r="B29" s="511">
        <v>7</v>
      </c>
      <c r="C29" s="512" t="s">
        <v>153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400"/>
      <c r="G29" s="283">
        <f ca="1">IF(ISERROR(OFFSET('HARGA SATUAN'!$I$6,MATCH(RAB!C29,'HARGA SATUAN'!$C$7:$C$1492,0),0)),0,OFFSET('HARGA SATUAN'!$I$6,MATCH(RAB!C29,'HARGA SATUAN'!$C$7:$C$1492,0),0))</f>
        <v>7938</v>
      </c>
      <c r="H29" s="284">
        <f t="shared" ca="1" si="7"/>
        <v>0</v>
      </c>
      <c r="I29" s="284">
        <f t="shared" ca="1" si="8"/>
        <v>0</v>
      </c>
      <c r="J29" s="284">
        <f t="shared" ca="1" si="9"/>
        <v>0</v>
      </c>
      <c r="K29" s="285">
        <f t="shared" ca="1" si="10"/>
        <v>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16">
      <c r="A30" s="259">
        <f t="shared" si="12"/>
        <v>1</v>
      </c>
      <c r="B30" s="511">
        <v>8</v>
      </c>
      <c r="C30" s="512" t="s">
        <v>166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400"/>
      <c r="G30" s="283">
        <f ca="1">IF(ISERROR(OFFSET('HARGA SATUAN'!$I$6,MATCH(RAB!C30,'HARGA SATUAN'!$C$7:$C$1492,0),0)),0,OFFSET('HARGA SATUAN'!$I$6,MATCH(RAB!C30,'HARGA SATUAN'!$C$7:$C$1492,0),0))</f>
        <v>404600</v>
      </c>
      <c r="H30" s="284">
        <f t="shared" ca="1" si="7"/>
        <v>0</v>
      </c>
      <c r="I30" s="284">
        <f t="shared" ca="1" si="8"/>
        <v>0</v>
      </c>
      <c r="J30" s="284">
        <f t="shared" ca="1" si="9"/>
        <v>0</v>
      </c>
      <c r="K30" s="285">
        <f t="shared" ca="1" si="10"/>
        <v>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 ht="16">
      <c r="A31" s="259">
        <f t="shared" si="12"/>
        <v>1</v>
      </c>
      <c r="B31" s="511">
        <v>9</v>
      </c>
      <c r="C31" s="512" t="s">
        <v>174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400"/>
      <c r="G31" s="283">
        <f ca="1">IF(ISERROR(OFFSET('HARGA SATUAN'!$I$6,MATCH(RAB!C31,'HARGA SATUAN'!$C$7:$C$1492,0),0)),0,OFFSET('HARGA SATUAN'!$I$6,MATCH(RAB!C31,'HARGA SATUAN'!$C$7:$C$1492,0),0))</f>
        <v>15900</v>
      </c>
      <c r="H31" s="284">
        <f t="shared" ca="1" si="7"/>
        <v>0</v>
      </c>
      <c r="I31" s="284">
        <f t="shared" ca="1" si="8"/>
        <v>0</v>
      </c>
      <c r="J31" s="284">
        <f t="shared" ca="1" si="9"/>
        <v>0</v>
      </c>
      <c r="K31" s="285">
        <f t="shared" ca="1" si="10"/>
        <v>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 ht="16">
      <c r="A32" s="259" t="e">
        <f>IF(AND(C32=0,C33=0,#REF!=0),"BLANKS",1)</f>
        <v>#REF!</v>
      </c>
      <c r="B32" s="511">
        <v>10</v>
      </c>
      <c r="C32" s="512" t="s">
        <v>583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400"/>
      <c r="G32" s="283">
        <f ca="1">IF(ISERROR(OFFSET('HARGA SATUAN'!$I$6,MATCH(RAB!C32,'HARGA SATUAN'!$C$7:$C$1492,0),0)),0,OFFSET('HARGA SATUAN'!$I$6,MATCH(RAB!C32,'HARGA SATUAN'!$C$7:$C$1492,0),0))</f>
        <v>283100</v>
      </c>
      <c r="H32" s="284">
        <f t="shared" ca="1" si="7"/>
        <v>0</v>
      </c>
      <c r="I32" s="284">
        <f t="shared" ca="1" si="8"/>
        <v>0</v>
      </c>
      <c r="J32" s="284">
        <f t="shared" ca="1" si="9"/>
        <v>0</v>
      </c>
      <c r="K32" s="285">
        <f t="shared" ca="1" si="10"/>
        <v>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 ht="16">
      <c r="A33" s="259" t="e">
        <f>IF(AND(C33=0,#REF!=0,#REF!=0),"BLANKS",1)</f>
        <v>#REF!</v>
      </c>
      <c r="B33" s="511">
        <v>11</v>
      </c>
      <c r="C33" s="512" t="s">
        <v>584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400"/>
      <c r="G33" s="283">
        <f ca="1">IF(ISERROR(OFFSET('HARGA SATUAN'!$I$6,MATCH(RAB!C33,'HARGA SATUAN'!$C$7:$C$1492,0),0)),0,OFFSET('HARGA SATUAN'!$I$6,MATCH(RAB!C33,'HARGA SATUAN'!$C$7:$C$1492,0),0))</f>
        <v>380500</v>
      </c>
      <c r="H33" s="284">
        <f t="shared" ca="1" si="7"/>
        <v>0</v>
      </c>
      <c r="I33" s="284">
        <f t="shared" ca="1" si="8"/>
        <v>0</v>
      </c>
      <c r="J33" s="284">
        <f t="shared" ca="1" si="9"/>
        <v>0</v>
      </c>
      <c r="K33" s="285">
        <f t="shared" ca="1" si="10"/>
        <v>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 ht="16">
      <c r="A34" s="259"/>
      <c r="B34" s="511">
        <v>12</v>
      </c>
      <c r="C34" s="512" t="s">
        <v>198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400"/>
      <c r="G34" s="283"/>
      <c r="H34" s="284"/>
      <c r="I34" s="284"/>
      <c r="J34" s="284"/>
      <c r="K34" s="285"/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 ht="16">
      <c r="A35" s="259">
        <f>IF(AND(C35=0,C40=0,C41=0),"BLANKS",1)</f>
        <v>1</v>
      </c>
      <c r="B35" s="511">
        <v>13</v>
      </c>
      <c r="C35" s="512" t="s">
        <v>237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400"/>
      <c r="G35" s="283">
        <f ca="1">IF(ISERROR(OFFSET('HARGA SATUAN'!$I$6,MATCH(RAB!C35,'HARGA SATUAN'!$C$7:$C$1492,0),0)),0,OFFSET('HARGA SATUAN'!$I$6,MATCH(RAB!C35,'HARGA SATUAN'!$C$7:$C$1492,0),0))</f>
        <v>57690</v>
      </c>
      <c r="H35" s="284">
        <f t="shared" ref="H35:H36" ca="1" si="13">IF(OR(D35="MDU",D35="MDU-KD"),(IF($O$3="RAB NON MDU","PLN KD",G35*F35)),0)</f>
        <v>0</v>
      </c>
      <c r="I35" s="284">
        <f t="shared" ref="I35:I36" ca="1" si="14">IF(D35="HDW",G35*F35,0)</f>
        <v>0</v>
      </c>
      <c r="J35" s="284">
        <f t="shared" ref="J35:J36" ca="1" si="15">IF(D35="JASA",G35*F35,0)</f>
        <v>0</v>
      </c>
      <c r="K35" s="285">
        <f t="shared" ref="K35:K36" ca="1" si="16">SUM(H35:J35)</f>
        <v>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 ht="16">
      <c r="A36" s="259" t="e">
        <f>IF(AND(C36=0,#REF!=0,#REF!=0),"BLANKS",1)</f>
        <v>#REF!</v>
      </c>
      <c r="B36" s="511">
        <v>14</v>
      </c>
      <c r="C36" s="512" t="s">
        <v>224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400"/>
      <c r="G36" s="283">
        <f ca="1">IF(ISERROR(OFFSET('HARGA SATUAN'!$I$6,MATCH(RAB!C36,'HARGA SATUAN'!$C$7:$C$1492,0),0)),0,OFFSET('HARGA SATUAN'!$I$6,MATCH(RAB!C36,'HARGA SATUAN'!$C$7:$C$1492,0),0))</f>
        <v>67500</v>
      </c>
      <c r="H36" s="284">
        <f t="shared" ca="1" si="13"/>
        <v>0</v>
      </c>
      <c r="I36" s="284">
        <f t="shared" ca="1" si="14"/>
        <v>0</v>
      </c>
      <c r="J36" s="284">
        <f t="shared" ca="1" si="15"/>
        <v>0</v>
      </c>
      <c r="K36" s="285">
        <f t="shared" ca="1" si="16"/>
        <v>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 ht="16">
      <c r="A37" s="259">
        <f t="shared" ref="A37:A39" si="17">IF(AND(C37=0,C38=0,C39=0),"BLANKS",1)</f>
        <v>1</v>
      </c>
      <c r="B37" s="511">
        <v>15</v>
      </c>
      <c r="C37" s="512" t="s">
        <v>257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400"/>
      <c r="G37" s="283">
        <f ca="1">IF(ISERROR(OFFSET('HARGA SATUAN'!$I$6,MATCH(RAB!C37,'HARGA SATUAN'!$C$7:$C$1492,0),0)),0,OFFSET('HARGA SATUAN'!$I$6,MATCH(RAB!C37,'HARGA SATUAN'!$C$7:$C$1492,0),0))</f>
        <v>129000</v>
      </c>
      <c r="H37" s="284">
        <f t="shared" ref="H37:H50" ca="1" si="18">IF(OR(D37="MDU",D37="MDU-KD"),(IF($O$3="RAB NON MDU","PLN KD",G37*F37)),0)</f>
        <v>0</v>
      </c>
      <c r="I37" s="284">
        <f t="shared" ref="I37:I50" ca="1" si="19">IF(D37="HDW",G37*F37,0)</f>
        <v>0</v>
      </c>
      <c r="J37" s="284">
        <f t="shared" ref="J37:J50" ca="1" si="20">IF(D37="JASA",G37*F37,0)</f>
        <v>0</v>
      </c>
      <c r="K37" s="285">
        <f t="shared" ref="K37:K50" ca="1" si="21">SUM(H37:J37)</f>
        <v>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 ht="16">
      <c r="A38" s="259">
        <f t="shared" si="17"/>
        <v>1</v>
      </c>
      <c r="B38" s="511">
        <v>16</v>
      </c>
      <c r="C38" s="512" t="s">
        <v>598</v>
      </c>
      <c r="D38" s="281" t="str">
        <f ca="1">IF(ISERROR(OFFSET('HARGA SATUAN'!$D$6,MATCH(RAB!C38,'HARGA SATUAN'!$C$7:$C$1492,0),0)),"",OFFSET('HARGA SATUAN'!$D$6,MATCH(RAB!C38,'HARGA SATUAN'!$C$7:$C$1492,0),0))</f>
        <v>HDW</v>
      </c>
      <c r="E38" s="282" t="str">
        <f ca="1">IF(B38="+","Unit",IF(ISERROR(OFFSET('HARGA SATUAN'!$E$6,MATCH(RAB!C38,'HARGA SATUAN'!$C$7:$C$1492,0),0)),"",OFFSET('HARGA SATUAN'!$E$6,MATCH(RAB!C38,'HARGA SATUAN'!$C$7:$C$1492,0),0)))</f>
        <v>Bh</v>
      </c>
      <c r="F38" s="400"/>
      <c r="G38" s="283">
        <f ca="1">IF(ISERROR(OFFSET('HARGA SATUAN'!$I$6,MATCH(RAB!C38,'HARGA SATUAN'!$C$7:$C$1492,0),0)),0,OFFSET('HARGA SATUAN'!$I$6,MATCH(RAB!C38,'HARGA SATUAN'!$C$7:$C$1492,0),0))</f>
        <v>250000</v>
      </c>
      <c r="H38" s="284">
        <f t="shared" ca="1" si="18"/>
        <v>0</v>
      </c>
      <c r="I38" s="284">
        <f t="shared" ca="1" si="19"/>
        <v>0</v>
      </c>
      <c r="J38" s="284">
        <f t="shared" ca="1" si="20"/>
        <v>0</v>
      </c>
      <c r="K38" s="285">
        <f t="shared" ca="1" si="21"/>
        <v>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 ht="16">
      <c r="A39" s="259">
        <f t="shared" si="17"/>
        <v>1</v>
      </c>
      <c r="B39" s="511">
        <v>17</v>
      </c>
      <c r="C39" s="512" t="s">
        <v>775</v>
      </c>
      <c r="D39" s="281" t="str">
        <f ca="1">IF(ISERROR(OFFSET('HARGA SATUAN'!$D$6,MATCH(RAB!C39,'HARGA SATUAN'!$C$7:$C$1492,0),0)),"",OFFSET('HARGA SATUAN'!$D$6,MATCH(RAB!C39,'HARGA SATUAN'!$C$7:$C$1492,0),0))</f>
        <v>JASA</v>
      </c>
      <c r="E39" s="282" t="str">
        <f ca="1">IF(B39="+","Unit",IF(ISERROR(OFFSET('HARGA SATUAN'!$E$6,MATCH(RAB!C39,'HARGA SATUAN'!$C$7:$C$1492,0),0)),"",OFFSET('HARGA SATUAN'!$E$6,MATCH(RAB!C39,'HARGA SATUAN'!$C$7:$C$1492,0),0)))</f>
        <v>Unit</v>
      </c>
      <c r="F39" s="400">
        <f>F20*1</f>
        <v>1</v>
      </c>
      <c r="G39" s="283">
        <f ca="1">IF(ISERROR(OFFSET('HARGA SATUAN'!$I$6,MATCH(RAB!C39,'HARGA SATUAN'!$C$7:$C$1492,0),0)),0,OFFSET('HARGA SATUAN'!$I$6,MATCH(RAB!C39,'HARGA SATUAN'!$C$7:$C$1492,0),0))</f>
        <v>2953300</v>
      </c>
      <c r="H39" s="284">
        <f t="shared" ca="1" si="18"/>
        <v>0</v>
      </c>
      <c r="I39" s="284">
        <f t="shared" ca="1" si="19"/>
        <v>0</v>
      </c>
      <c r="J39" s="284">
        <f t="shared" ca="1" si="20"/>
        <v>2953300</v>
      </c>
      <c r="K39" s="285">
        <f t="shared" ca="1" si="21"/>
        <v>2953300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 ht="15">
      <c r="A40" s="259">
        <f>IF(AND(C40=0,C41=0,C59=0),"BLANKS",1)</f>
        <v>1</v>
      </c>
      <c r="B40" s="511"/>
      <c r="C40" s="512"/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/>
      </c>
      <c r="F40" s="400"/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18"/>
        <v>0</v>
      </c>
      <c r="I40" s="284">
        <f t="shared" ca="1" si="19"/>
        <v>0</v>
      </c>
      <c r="J40" s="284">
        <f t="shared" ca="1" si="20"/>
        <v>0</v>
      </c>
      <c r="K40" s="285">
        <f t="shared" ca="1" si="21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 ht="15">
      <c r="A41" s="259" t="e">
        <f>IF(AND(C41=0,C59=0,#REF!=0),"BLANKS",1)</f>
        <v>#REF!</v>
      </c>
      <c r="B41" s="511">
        <v>1</v>
      </c>
      <c r="C41" s="513" t="s">
        <v>1382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516">
        <v>3</v>
      </c>
      <c r="G41" s="283">
        <f ca="1">IF(ISERROR(OFFSET('HARGA SATUAN'!$I$6,MATCH(RAB!C41,'HARGA SATUAN'!$C$7:$C$1492,0),0)),0,OFFSET('HARGA SATUAN'!$I$6,MATCH(RAB!C41,'HARGA SATUAN'!$C$7:$C$1492,0),0))</f>
        <v>85000</v>
      </c>
      <c r="H41" s="284">
        <f t="shared" ca="1" si="18"/>
        <v>0</v>
      </c>
      <c r="I41" s="284">
        <f t="shared" ca="1" si="19"/>
        <v>255000</v>
      </c>
      <c r="J41" s="284">
        <f t="shared" ca="1" si="20"/>
        <v>0</v>
      </c>
      <c r="K41" s="285">
        <f t="shared" ca="1" si="21"/>
        <v>255000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 ht="15">
      <c r="A42" s="259"/>
      <c r="B42" s="511">
        <v>2</v>
      </c>
      <c r="C42" s="513" t="s">
        <v>1383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Set</v>
      </c>
      <c r="F42" s="516">
        <v>3</v>
      </c>
      <c r="G42" s="283">
        <f ca="1">IF(ISERROR(OFFSET('HARGA SATUAN'!$I$6,MATCH(RAB!C42,'HARGA SATUAN'!$C$7:$C$1492,0),0)),0,OFFSET('HARGA SATUAN'!$I$6,MATCH(RAB!C42,'HARGA SATUAN'!$C$7:$C$1492,0),0))</f>
        <v>15000</v>
      </c>
      <c r="H42" s="284">
        <f t="shared" ca="1" si="18"/>
        <v>0</v>
      </c>
      <c r="I42" s="284">
        <f t="shared" ca="1" si="19"/>
        <v>0</v>
      </c>
      <c r="J42" s="284">
        <f t="shared" ca="1" si="20"/>
        <v>45000</v>
      </c>
      <c r="K42" s="285">
        <f t="shared" ca="1" si="21"/>
        <v>45000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 ht="15">
      <c r="A43" s="259">
        <f t="shared" ref="A43:A45" si="22">IF(AND(C43=0,C44=0,C45=0),"BLANKS",1)</f>
        <v>1</v>
      </c>
      <c r="B43" s="511">
        <v>3</v>
      </c>
      <c r="C43" s="513" t="s">
        <v>1392</v>
      </c>
      <c r="D43" s="281" t="str">
        <f ca="1">IF(ISERROR(OFFSET('HARGA SATUAN'!$D$6,MATCH(RAB!C43,'HARGA SATUAN'!$C$7:$C$1492,0),0)),"",OFFSET('HARGA SATUAN'!$D$6,MATCH(RAB!C43,'HARGA SATUAN'!$C$7:$C$1492,0),0))</f>
        <v>HDW</v>
      </c>
      <c r="E43" s="282" t="str">
        <f ca="1">IF(B43="+","Unit",IF(ISERROR(OFFSET('HARGA SATUAN'!$E$6,MATCH(RAB!C43,'HARGA SATUAN'!$C$7:$C$1492,0),0)),"",OFFSET('HARGA SATUAN'!$E$6,MATCH(RAB!C43,'HARGA SATUAN'!$C$7:$C$1492,0),0)))</f>
        <v>Bh</v>
      </c>
      <c r="F43" s="516">
        <v>3</v>
      </c>
      <c r="G43" s="283">
        <f ca="1">IF(ISERROR(OFFSET('HARGA SATUAN'!$I$6,MATCH(RAB!C43,'HARGA SATUAN'!$C$7:$C$1492,0),0)),0,OFFSET('HARGA SATUAN'!$I$6,MATCH(RAB!C43,'HARGA SATUAN'!$C$7:$C$1492,0),0))</f>
        <v>105000</v>
      </c>
      <c r="H43" s="284">
        <f t="shared" ca="1" si="18"/>
        <v>0</v>
      </c>
      <c r="I43" s="284">
        <f t="shared" ca="1" si="19"/>
        <v>315000</v>
      </c>
      <c r="J43" s="284">
        <f t="shared" ca="1" si="20"/>
        <v>0</v>
      </c>
      <c r="K43" s="285">
        <f t="shared" ca="1" si="21"/>
        <v>315000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 ht="15">
      <c r="A44" s="259">
        <f t="shared" si="22"/>
        <v>1</v>
      </c>
      <c r="B44" s="511">
        <v>4</v>
      </c>
      <c r="C44" s="513" t="s">
        <v>1393</v>
      </c>
      <c r="D44" s="281" t="str">
        <f ca="1">IF(ISERROR(OFFSET('HARGA SATUAN'!$D$6,MATCH(RAB!C44,'HARGA SATUAN'!$C$7:$C$1492,0),0)),"",OFFSET('HARGA SATUAN'!$D$6,MATCH(RAB!C44,'HARGA SATUAN'!$C$7:$C$1492,0),0))</f>
        <v>JASA</v>
      </c>
      <c r="E44" s="282" t="str">
        <f ca="1">IF(B44="+","Unit",IF(ISERROR(OFFSET('HARGA SATUAN'!$E$6,MATCH(RAB!C44,'HARGA SATUAN'!$C$7:$C$1492,0),0)),"",OFFSET('HARGA SATUAN'!$E$6,MATCH(RAB!C44,'HARGA SATUAN'!$C$7:$C$1492,0),0)))</f>
        <v>Unit</v>
      </c>
      <c r="F44" s="516">
        <v>3</v>
      </c>
      <c r="G44" s="283">
        <f ca="1">IF(ISERROR(OFFSET('HARGA SATUAN'!$I$6,MATCH(RAB!C44,'HARGA SATUAN'!$C$7:$C$1492,0),0)),0,OFFSET('HARGA SATUAN'!$I$6,MATCH(RAB!C44,'HARGA SATUAN'!$C$7:$C$1492,0),0))</f>
        <v>15000</v>
      </c>
      <c r="H44" s="284">
        <f t="shared" ca="1" si="18"/>
        <v>0</v>
      </c>
      <c r="I44" s="284">
        <f t="shared" ca="1" si="19"/>
        <v>0</v>
      </c>
      <c r="J44" s="284">
        <f t="shared" ca="1" si="20"/>
        <v>45000</v>
      </c>
      <c r="K44" s="285">
        <f t="shared" ca="1" si="21"/>
        <v>45000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 ht="15">
      <c r="A45" s="259">
        <f t="shared" si="22"/>
        <v>1</v>
      </c>
      <c r="B45" s="511">
        <v>5</v>
      </c>
      <c r="C45" s="513" t="s">
        <v>1394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516">
        <v>3</v>
      </c>
      <c r="G45" s="283">
        <f ca="1">IF(ISERROR(OFFSET('HARGA SATUAN'!$I$6,MATCH(RAB!C45,'HARGA SATUAN'!$C$7:$C$1492,0),0)),0,OFFSET('HARGA SATUAN'!$I$6,MATCH(RAB!C45,'HARGA SATUAN'!$C$7:$C$1492,0),0))</f>
        <v>180000</v>
      </c>
      <c r="H45" s="284">
        <f t="shared" ca="1" si="18"/>
        <v>0</v>
      </c>
      <c r="I45" s="284">
        <f t="shared" ca="1" si="19"/>
        <v>540000</v>
      </c>
      <c r="J45" s="284">
        <f t="shared" ca="1" si="20"/>
        <v>0</v>
      </c>
      <c r="K45" s="285">
        <f t="shared" ca="1" si="21"/>
        <v>540000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 ht="15">
      <c r="A46" s="259" t="e">
        <f>IF(AND(C46=0,C47=0,#REF!=0),"BLANKS",1)</f>
        <v>#REF!</v>
      </c>
      <c r="B46" s="511">
        <v>6</v>
      </c>
      <c r="C46" s="513" t="s">
        <v>1395</v>
      </c>
      <c r="D46" s="281" t="str">
        <f ca="1">IF(ISERROR(OFFSET('HARGA SATUAN'!$D$6,MATCH(RAB!C46,'HARGA SATUAN'!$C$7:$C$1492,0),0)),"",OFFSET('HARGA SATUAN'!$D$6,MATCH(RAB!C46,'HARGA SATUAN'!$C$7:$C$1492,0),0))</f>
        <v>JASA</v>
      </c>
      <c r="E46" s="282" t="str">
        <f ca="1">IF(B46="+","Unit",IF(ISERROR(OFFSET('HARGA SATUAN'!$E$6,MATCH(RAB!C46,'HARGA SATUAN'!$C$7:$C$1492,0),0)),"",OFFSET('HARGA SATUAN'!$E$6,MATCH(RAB!C46,'HARGA SATUAN'!$C$7:$C$1492,0),0)))</f>
        <v>Set</v>
      </c>
      <c r="F46" s="516">
        <v>3</v>
      </c>
      <c r="G46" s="283">
        <f ca="1">IF(ISERROR(OFFSET('HARGA SATUAN'!$I$6,MATCH(RAB!C46,'HARGA SATUAN'!$C$7:$C$1492,0),0)),0,OFFSET('HARGA SATUAN'!$I$6,MATCH(RAB!C46,'HARGA SATUAN'!$C$7:$C$1492,0),0))</f>
        <v>15000</v>
      </c>
      <c r="H46" s="284">
        <f t="shared" ca="1" si="18"/>
        <v>0</v>
      </c>
      <c r="I46" s="284">
        <f t="shared" ca="1" si="19"/>
        <v>0</v>
      </c>
      <c r="J46" s="284">
        <f t="shared" ca="1" si="20"/>
        <v>45000</v>
      </c>
      <c r="K46" s="285">
        <f t="shared" ca="1" si="21"/>
        <v>45000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 ht="15">
      <c r="A47" s="259" t="e">
        <f>IF(AND(C47=0,#REF!=0,C59=0),"BLANKS",1)</f>
        <v>#REF!</v>
      </c>
      <c r="B47" s="511"/>
      <c r="C47" s="513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400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18"/>
        <v>0</v>
      </c>
      <c r="I47" s="284">
        <f t="shared" ca="1" si="19"/>
        <v>0</v>
      </c>
      <c r="J47" s="284">
        <f t="shared" ca="1" si="20"/>
        <v>0</v>
      </c>
      <c r="K47" s="285">
        <f t="shared" ca="1" si="21"/>
        <v>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 ht="15">
      <c r="A48" s="259" t="e">
        <f>IF(AND(C48=0,C49=0,#REF!=0),"BLANKS",1)</f>
        <v>#REF!</v>
      </c>
      <c r="B48" s="514" t="s">
        <v>1006</v>
      </c>
      <c r="C48" s="513" t="s">
        <v>1515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517">
        <v>1</v>
      </c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18"/>
        <v>0</v>
      </c>
      <c r="I48" s="284">
        <f t="shared" ca="1" si="19"/>
        <v>0</v>
      </c>
      <c r="J48" s="284">
        <f t="shared" ca="1" si="20"/>
        <v>0</v>
      </c>
      <c r="K48" s="285">
        <f t="shared" ca="1" si="21"/>
        <v>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 ht="15">
      <c r="A49" s="259" t="e">
        <f>IF(AND(C49=0,#REF!=0,#REF!=0),"BLANKS",1)</f>
        <v>#REF!</v>
      </c>
      <c r="B49" s="514">
        <v>1</v>
      </c>
      <c r="C49" s="513" t="s">
        <v>19</v>
      </c>
      <c r="D49" s="281" t="str">
        <f ca="1">IF(ISERROR(OFFSET('HARGA SATUAN'!$D$6,MATCH(RAB!C49,'HARGA SATUAN'!$C$7:$C$1492,0),0)),"",OFFSET('HARGA SATUAN'!$D$6,MATCH(RAB!C49,'HARGA SATUAN'!$C$7:$C$1492,0),0))</f>
        <v>HDW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517">
        <f>F48*1</f>
        <v>1</v>
      </c>
      <c r="G49" s="283">
        <f ca="1">IF(ISERROR(OFFSET('HARGA SATUAN'!$I$6,MATCH(RAB!C49,'HARGA SATUAN'!$C$7:$C$1492,0),0)),0,OFFSET('HARGA SATUAN'!$I$6,MATCH(RAB!C49,'HARGA SATUAN'!$C$7:$C$1492,0),0))</f>
        <v>185200</v>
      </c>
      <c r="H49" s="284">
        <f t="shared" ca="1" si="18"/>
        <v>0</v>
      </c>
      <c r="I49" s="284">
        <f t="shared" ca="1" si="19"/>
        <v>185200</v>
      </c>
      <c r="J49" s="284">
        <f t="shared" ca="1" si="20"/>
        <v>0</v>
      </c>
      <c r="K49" s="285">
        <f t="shared" ca="1" si="21"/>
        <v>185200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 ht="15">
      <c r="A50" s="259" t="b">
        <f ca="1">F50=G51</f>
        <v>0</v>
      </c>
      <c r="B50" s="514">
        <v>2</v>
      </c>
      <c r="C50" s="513" t="s">
        <v>20</v>
      </c>
      <c r="D50" s="281" t="str">
        <f ca="1">IF(ISERROR(OFFSET('HARGA SATUAN'!$D$6,MATCH(RAB!C50,'HARGA SATUAN'!$C$7:$C$1492,0),0)),"",OFFSET('HARGA SATUAN'!$D$6,MATCH(RAB!C50,'HARGA SATUAN'!$C$7:$C$1492,0),0))</f>
        <v>HDW</v>
      </c>
      <c r="E50" s="282" t="str">
        <f ca="1">IF(B50="+","Unit",IF(ISERROR(OFFSET('HARGA SATUAN'!$E$6,MATCH(RAB!C50,'HARGA SATUAN'!$C$7:$C$1492,0),0)),"",OFFSET('HARGA SATUAN'!$E$6,MATCH(RAB!C50,'HARGA SATUAN'!$C$7:$C$1492,0),0)))</f>
        <v>Bh</v>
      </c>
      <c r="F50" s="517">
        <f>F48*1</f>
        <v>1</v>
      </c>
      <c r="G50" s="283">
        <f ca="1">IF(ISERROR(OFFSET('HARGA SATUAN'!$I$6,MATCH(RAB!C50,'HARGA SATUAN'!$C$7:$C$1492,0),0)),0,OFFSET('HARGA SATUAN'!$I$6,MATCH(RAB!C50,'HARGA SATUAN'!$C$7:$C$1492,0),0))</f>
        <v>47459</v>
      </c>
      <c r="H50" s="284">
        <f t="shared" ca="1" si="18"/>
        <v>0</v>
      </c>
      <c r="I50" s="284">
        <f t="shared" ca="1" si="19"/>
        <v>47459</v>
      </c>
      <c r="J50" s="284">
        <f t="shared" ca="1" si="20"/>
        <v>0</v>
      </c>
      <c r="K50" s="285">
        <f t="shared" ca="1" si="21"/>
        <v>47459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 ht="15">
      <c r="A51" s="259">
        <f t="shared" ref="A51:A53" si="23">IF(AND(C51=0,C52=0,C53=0),"BLANKS",1)</f>
        <v>1</v>
      </c>
      <c r="B51" s="514">
        <v>3</v>
      </c>
      <c r="C51" s="513" t="s">
        <v>21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517">
        <f>F48*1</f>
        <v>1</v>
      </c>
      <c r="G51" s="283">
        <f ca="1">IF(ISERROR(OFFSET('HARGA SATUAN'!$I$6,MATCH(RAB!C51,'HARGA SATUAN'!$C$7:$C$1492,0),0)),0,OFFSET('HARGA SATUAN'!$I$6,MATCH(RAB!C51,'HARGA SATUAN'!$C$7:$C$1492,0),0))</f>
        <v>4880</v>
      </c>
      <c r="H51" s="284">
        <f t="shared" ca="1" si="7"/>
        <v>0</v>
      </c>
      <c r="I51" s="284">
        <f t="shared" ca="1" si="8"/>
        <v>4880</v>
      </c>
      <c r="J51" s="284">
        <f t="shared" ca="1" si="9"/>
        <v>0</v>
      </c>
      <c r="K51" s="285">
        <f t="shared" ca="1" si="10"/>
        <v>4880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 ht="15">
      <c r="A52" s="259">
        <f t="shared" si="23"/>
        <v>1</v>
      </c>
      <c r="B52" s="514">
        <v>4</v>
      </c>
      <c r="C52" s="513" t="s">
        <v>22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Mtr</v>
      </c>
      <c r="F52" s="517">
        <f>F48*10</f>
        <v>10</v>
      </c>
      <c r="G52" s="283">
        <f ca="1">IF(ISERROR(OFFSET('HARGA SATUAN'!$I$6,MATCH(RAB!C52,'HARGA SATUAN'!$C$7:$C$1492,0),0)),0,OFFSET('HARGA SATUAN'!$I$6,MATCH(RAB!C52,'HARGA SATUAN'!$C$7:$C$1492,0),0))</f>
        <v>30000</v>
      </c>
      <c r="H52" s="284">
        <f t="shared" ca="1" si="7"/>
        <v>0</v>
      </c>
      <c r="I52" s="284">
        <f t="shared" ca="1" si="8"/>
        <v>300000</v>
      </c>
      <c r="J52" s="284">
        <f t="shared" ca="1" si="9"/>
        <v>0</v>
      </c>
      <c r="K52" s="285">
        <f t="shared" ca="1" si="10"/>
        <v>300000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 ht="15">
      <c r="A53" s="259">
        <f t="shared" si="23"/>
        <v>1</v>
      </c>
      <c r="B53" s="514">
        <v>5</v>
      </c>
      <c r="C53" s="513" t="s">
        <v>23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Bh</v>
      </c>
      <c r="F53" s="517">
        <f>F48*2</f>
        <v>2</v>
      </c>
      <c r="G53" s="283">
        <f ca="1">IF(ISERROR(OFFSET('HARGA SATUAN'!$I$6,MATCH(RAB!C53,'HARGA SATUAN'!$C$7:$C$1492,0),0)),0,OFFSET('HARGA SATUAN'!$I$6,MATCH(RAB!C53,'HARGA SATUAN'!$C$7:$C$1492,0),0))</f>
        <v>9500</v>
      </c>
      <c r="H53" s="284">
        <f t="shared" ca="1" si="7"/>
        <v>0</v>
      </c>
      <c r="I53" s="284">
        <f t="shared" ca="1" si="8"/>
        <v>19000</v>
      </c>
      <c r="J53" s="284">
        <f t="shared" ca="1" si="9"/>
        <v>0</v>
      </c>
      <c r="K53" s="285">
        <f t="shared" ca="1" si="10"/>
        <v>19000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 ht="15">
      <c r="A54" s="259" t="e">
        <f>IF(AND(C54=0,C55=0,#REF!=0),"BLANKS",1)</f>
        <v>#REF!</v>
      </c>
      <c r="B54" s="514">
        <v>6</v>
      </c>
      <c r="C54" s="513" t="s">
        <v>24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517">
        <f>F48*5.5</f>
        <v>5.5</v>
      </c>
      <c r="G54" s="283">
        <f ca="1">IF(ISERROR(OFFSET('HARGA SATUAN'!$I$6,MATCH(RAB!C54,'HARGA SATUAN'!$C$7:$C$1492,0),0)),0,OFFSET('HARGA SATUAN'!$I$6,MATCH(RAB!C54,'HARGA SATUAN'!$C$7:$C$1492,0),0))</f>
        <v>6100</v>
      </c>
      <c r="H54" s="284">
        <f t="shared" ca="1" si="7"/>
        <v>0</v>
      </c>
      <c r="I54" s="284">
        <f t="shared" ca="1" si="8"/>
        <v>33550</v>
      </c>
      <c r="J54" s="284">
        <f t="shared" ca="1" si="9"/>
        <v>0</v>
      </c>
      <c r="K54" s="285">
        <f t="shared" ca="1" si="10"/>
        <v>33550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 ht="15">
      <c r="A55" s="259" t="e">
        <f>IF(AND(C55=0,#REF!=0,#REF!=0),"BLANKS",1)</f>
        <v>#REF!</v>
      </c>
      <c r="B55" s="514">
        <v>7</v>
      </c>
      <c r="C55" s="513" t="s">
        <v>25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517">
        <f>F48*6</f>
        <v>6</v>
      </c>
      <c r="G55" s="283">
        <f ca="1">IF(ISERROR(OFFSET('HARGA SATUAN'!$I$6,MATCH(RAB!C55,'HARGA SATUAN'!$C$7:$C$1492,0),0)),0,OFFSET('HARGA SATUAN'!$I$6,MATCH(RAB!C55,'HARGA SATUAN'!$C$7:$C$1492,0),0))</f>
        <v>2300</v>
      </c>
      <c r="H55" s="284">
        <f t="shared" ca="1" si="7"/>
        <v>0</v>
      </c>
      <c r="I55" s="284">
        <f t="shared" ca="1" si="8"/>
        <v>13800</v>
      </c>
      <c r="J55" s="284">
        <f t="shared" ca="1" si="9"/>
        <v>0</v>
      </c>
      <c r="K55" s="285">
        <f t="shared" ca="1" si="10"/>
        <v>13800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 ht="15">
      <c r="A56" s="259"/>
      <c r="B56" s="514">
        <v>8</v>
      </c>
      <c r="C56" s="513" t="s">
        <v>1516</v>
      </c>
      <c r="D56" s="281" t="str">
        <f ca="1">IF(ISERROR(OFFSET('HARGA SATUAN'!$D$6,MATCH(RAB!C56,'HARGA SATUAN'!$C$7:$C$1492,0),0)),"",OFFSET('HARGA SATUAN'!$D$6,MATCH(RAB!C56,'HARGA SATUAN'!$C$7:$C$1492,0),0))</f>
        <v>HDW</v>
      </c>
      <c r="E56" s="282" t="str">
        <f ca="1">IF(B56="+","Unit",IF(ISERROR(OFFSET('HARGA SATUAN'!$E$6,MATCH(RAB!C56,'HARGA SATUAN'!$C$7:$C$1492,0),0)),"",OFFSET('HARGA SATUAN'!$E$6,MATCH(RAB!C56,'HARGA SATUAN'!$C$7:$C$1492,0),0)))</f>
        <v>Mtr</v>
      </c>
      <c r="F56" s="517">
        <f>F48*4.8</f>
        <v>4.8</v>
      </c>
      <c r="G56" s="283">
        <f ca="1">IF(ISERROR(OFFSET('HARGA SATUAN'!$I$6,MATCH(RAB!C56,'HARGA SATUAN'!$C$7:$C$1492,0),0)),0,OFFSET('HARGA SATUAN'!$I$6,MATCH(RAB!C56,'HARGA SATUAN'!$C$7:$C$1492,0),0))</f>
        <v>23310</v>
      </c>
      <c r="H56" s="284">
        <f t="shared" ca="1" si="7"/>
        <v>0</v>
      </c>
      <c r="I56" s="284">
        <f t="shared" ca="1" si="8"/>
        <v>111888</v>
      </c>
      <c r="J56" s="284">
        <f t="shared" ca="1" si="9"/>
        <v>0</v>
      </c>
      <c r="K56" s="285">
        <f t="shared" ca="1" si="10"/>
        <v>111888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 ht="15">
      <c r="A57" s="259">
        <f t="shared" ref="A57:A59" si="24">IF(AND(C57=0,C58=0,C59=0),"BLANKS",1)</f>
        <v>1</v>
      </c>
      <c r="B57" s="514">
        <v>9</v>
      </c>
      <c r="C57" s="513" t="s">
        <v>727</v>
      </c>
      <c r="D57" s="281" t="str">
        <f ca="1">IF(ISERROR(OFFSET('HARGA SATUAN'!$D$6,MATCH(RAB!C57,'HARGA SATUAN'!$C$7:$C$1492,0),0)),"",OFFSET('HARGA SATUAN'!$D$6,MATCH(RAB!C57,'HARGA SATUAN'!$C$7:$C$1492,0),0))</f>
        <v>JASA</v>
      </c>
      <c r="E57" s="282" t="str">
        <f ca="1">IF(B57="+","Unit",IF(ISERROR(OFFSET('HARGA SATUAN'!$E$6,MATCH(RAB!C57,'HARGA SATUAN'!$C$7:$C$1492,0),0)),"",OFFSET('HARGA SATUAN'!$E$6,MATCH(RAB!C57,'HARGA SATUAN'!$C$7:$C$1492,0),0)))</f>
        <v>Unit</v>
      </c>
      <c r="F57" s="517">
        <f>F48*1</f>
        <v>1</v>
      </c>
      <c r="G57" s="283">
        <f ca="1">IF(ISERROR(OFFSET('HARGA SATUAN'!$I$6,MATCH(RAB!C57,'HARGA SATUAN'!$C$7:$C$1492,0),0)),0,OFFSET('HARGA SATUAN'!$I$6,MATCH(RAB!C57,'HARGA SATUAN'!$C$7:$C$1492,0),0))</f>
        <v>65400</v>
      </c>
      <c r="H57" s="284">
        <f t="shared" ca="1" si="7"/>
        <v>0</v>
      </c>
      <c r="I57" s="284">
        <f t="shared" ca="1" si="8"/>
        <v>0</v>
      </c>
      <c r="J57" s="284">
        <f t="shared" ca="1" si="9"/>
        <v>65400</v>
      </c>
      <c r="K57" s="285">
        <f t="shared" ca="1" si="10"/>
        <v>65400</v>
      </c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 ht="15">
      <c r="A58" s="259" t="str">
        <f t="shared" si="24"/>
        <v>BLANKS</v>
      </c>
      <c r="B58" s="511"/>
      <c r="C58" s="512"/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/>
      </c>
      <c r="F58" s="400"/>
      <c r="G58" s="283">
        <f ca="1">IF(ISERROR(OFFSET('HARGA SATUAN'!$I$6,MATCH(RAB!C58,'HARGA SATUAN'!$C$7:$C$1492,0),0)),0,OFFSET('HARGA SATUAN'!$I$6,MATCH(RAB!C58,'HARGA SATUAN'!$C$7:$C$1492,0),0))</f>
        <v>0</v>
      </c>
      <c r="H58" s="284">
        <f t="shared" ca="1" si="7"/>
        <v>0</v>
      </c>
      <c r="I58" s="284">
        <f t="shared" ca="1" si="8"/>
        <v>0</v>
      </c>
      <c r="J58" s="284">
        <f t="shared" ca="1" si="9"/>
        <v>0</v>
      </c>
      <c r="K58" s="285">
        <f t="shared" ca="1" si="10"/>
        <v>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 ht="15">
      <c r="A59" s="259" t="str">
        <f t="shared" si="24"/>
        <v>BLANKS</v>
      </c>
      <c r="B59" s="511"/>
      <c r="C59" s="512"/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400"/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ca="1" si="7"/>
        <v>0</v>
      </c>
      <c r="I59" s="284">
        <f t="shared" ca="1" si="8"/>
        <v>0</v>
      </c>
      <c r="J59" s="284">
        <f t="shared" ca="1" si="9"/>
        <v>0</v>
      </c>
      <c r="K59" s="285">
        <f t="shared" ca="1" si="10"/>
        <v>0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 ht="15">
      <c r="A60" s="259" t="e">
        <f>IF(AND(C60=0,C61=0,#REF!=0),"BLANKS",1)</f>
        <v>#REF!</v>
      </c>
      <c r="B60" s="511"/>
      <c r="C60" s="512"/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/>
      </c>
      <c r="F60" s="400"/>
      <c r="G60" s="283">
        <f ca="1">IF(ISERROR(OFFSET('HARGA SATUAN'!$I$6,MATCH(RAB!C60,'HARGA SATUAN'!$C$7:$C$1492,0),0)),0,OFFSET('HARGA SATUAN'!$I$6,MATCH(RAB!C60,'HARGA SATUAN'!$C$7:$C$1492,0),0))</f>
        <v>0</v>
      </c>
      <c r="H60" s="284">
        <f t="shared" ca="1" si="7"/>
        <v>0</v>
      </c>
      <c r="I60" s="284">
        <f t="shared" ca="1" si="8"/>
        <v>0</v>
      </c>
      <c r="J60" s="284">
        <f t="shared" ca="1" si="9"/>
        <v>0</v>
      </c>
      <c r="K60" s="285">
        <f t="shared" ca="1" si="10"/>
        <v>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 ht="15">
      <c r="A61" s="259" t="e">
        <f>IF(AND(C61=0,#REF!=0,#REF!=0),"BLANKS",1)</f>
        <v>#REF!</v>
      </c>
      <c r="B61" s="293"/>
      <c r="C61" s="294"/>
      <c r="D61" s="281" t="str">
        <f ca="1">IF(ISERROR(OFFSET('HARGA SATUAN'!$D$6,MATCH(RAB!C61,'HARGA SATUAN'!$C$7:$C$1492,0),0)),"",OFFSET('HARGA SATUAN'!$D$6,MATCH(RAB!C61,'HARGA SATUAN'!$C$7:$C$1492,0),0))</f>
        <v/>
      </c>
      <c r="E61" s="282" t="str">
        <f ca="1">IF(B61="+","Unit",IF(ISERROR(OFFSET('HARGA SATUAN'!$E$6,MATCH(RAB!C61,'HARGA SATUAN'!$C$7:$C$1492,0),0)),"",OFFSET('HARGA SATUAN'!$E$6,MATCH(RAB!C61,'HARGA SATUAN'!$C$7:$C$1492,0),0)))</f>
        <v/>
      </c>
      <c r="F61" s="400"/>
      <c r="G61" s="283">
        <f ca="1">IF(ISERROR(OFFSET('HARGA SATUAN'!$I$6,MATCH(RAB!C61,'HARGA SATUAN'!$C$7:$C$1492,0),0)),0,OFFSET('HARGA SATUAN'!$I$6,MATCH(RAB!C61,'HARGA SATUAN'!$C$7:$C$1492,0),0))</f>
        <v>0</v>
      </c>
      <c r="H61" s="284">
        <f t="shared" ca="1" si="7"/>
        <v>0</v>
      </c>
      <c r="I61" s="284">
        <f t="shared" ca="1" si="8"/>
        <v>0</v>
      </c>
      <c r="J61" s="284">
        <f t="shared" ca="1" si="9"/>
        <v>0</v>
      </c>
      <c r="K61" s="285">
        <f t="shared" ca="1" si="10"/>
        <v>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 ht="15">
      <c r="A62" s="259">
        <f t="shared" ref="A62:A64" si="25">IF(AND(C62=0,C63=0,C64=0),"BLANKS",1)</f>
        <v>1</v>
      </c>
      <c r="B62" s="293" t="s">
        <v>1006</v>
      </c>
      <c r="C62" s="405" t="s">
        <v>1628</v>
      </c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IF(B62="+","Unit",IF(ISERROR(OFFSET('HARGA SATUAN'!$E$6,MATCH(RAB!C62,'HARGA SATUAN'!$C$7:$C$1492,0),0)),"",OFFSET('HARGA SATUAN'!$E$6,MATCH(RAB!C62,'HARGA SATUAN'!$C$7:$C$1492,0),0)))</f>
        <v>Unit</v>
      </c>
      <c r="F62" s="400">
        <v>3</v>
      </c>
      <c r="G62" s="283">
        <f ca="1">IF(ISERROR(OFFSET('HARGA SATUAN'!$I$6,MATCH(RAB!C62,'HARGA SATUAN'!$C$7:$C$1492,0),0)),0,OFFSET('HARGA SATUAN'!$I$6,MATCH(RAB!C62,'HARGA SATUAN'!$C$7:$C$1492,0),0))</f>
        <v>0</v>
      </c>
      <c r="H62" s="284">
        <f t="shared" ca="1" si="7"/>
        <v>0</v>
      </c>
      <c r="I62" s="284">
        <f t="shared" ca="1" si="8"/>
        <v>0</v>
      </c>
      <c r="J62" s="284">
        <f t="shared" ca="1" si="9"/>
        <v>0</v>
      </c>
      <c r="K62" s="285">
        <f t="shared" ca="1" si="10"/>
        <v>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 ht="15">
      <c r="A63" s="259">
        <f t="shared" si="25"/>
        <v>1</v>
      </c>
      <c r="B63" s="293">
        <v>1</v>
      </c>
      <c r="C63" s="294" t="s">
        <v>586</v>
      </c>
      <c r="D63" s="281" t="str">
        <f ca="1">IF(ISERROR(OFFSET('HARGA SATUAN'!$D$6,MATCH(RAB!C63,'HARGA SATUAN'!$C$7:$C$1492,0),0)),"",OFFSET('HARGA SATUAN'!$D$6,MATCH(RAB!C63,'HARGA SATUAN'!$C$7:$C$1492,0),0))</f>
        <v>HDW</v>
      </c>
      <c r="E63" s="282" t="str">
        <f ca="1">IF(B63="+","Unit",IF(ISERROR(OFFSET('HARGA SATUAN'!$E$6,MATCH(RAB!C63,'HARGA SATUAN'!$C$7:$C$1492,0),0)),"",OFFSET('HARGA SATUAN'!$E$6,MATCH(RAB!C63,'HARGA SATUAN'!$C$7:$C$1492,0),0)))</f>
        <v>Bh</v>
      </c>
      <c r="F63" s="400">
        <f>F62*1</f>
        <v>3</v>
      </c>
      <c r="G63" s="283">
        <f ca="1">IF(ISERROR(OFFSET('HARGA SATUAN'!$I$6,MATCH(RAB!C63,'HARGA SATUAN'!$C$7:$C$1492,0),0)),0,OFFSET('HARGA SATUAN'!$I$6,MATCH(RAB!C63,'HARGA SATUAN'!$C$7:$C$1492,0),0))</f>
        <v>78500</v>
      </c>
      <c r="H63" s="284">
        <f t="shared" ca="1" si="7"/>
        <v>0</v>
      </c>
      <c r="I63" s="284">
        <f t="shared" ca="1" si="8"/>
        <v>235500</v>
      </c>
      <c r="J63" s="284">
        <f t="shared" ca="1" si="9"/>
        <v>0</v>
      </c>
      <c r="K63" s="285">
        <f t="shared" ca="1" si="10"/>
        <v>235500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 ht="15">
      <c r="A64" s="259">
        <f t="shared" si="25"/>
        <v>1</v>
      </c>
      <c r="B64" s="293">
        <v>2</v>
      </c>
      <c r="C64" s="294" t="s">
        <v>219</v>
      </c>
      <c r="D64" s="281" t="str">
        <f ca="1">IF(ISERROR(OFFSET('HARGA SATUAN'!$D$6,MATCH(RAB!C64,'HARGA SATUAN'!$C$7:$C$1492,0),0)),"",OFFSET('HARGA SATUAN'!$D$6,MATCH(RAB!C64,'HARGA SATUAN'!$C$7:$C$1492,0),0))</f>
        <v>HDW</v>
      </c>
      <c r="E64" s="282" t="str">
        <f ca="1">IF(B64="+","Unit",IF(ISERROR(OFFSET('HARGA SATUAN'!$E$6,MATCH(RAB!C64,'HARGA SATUAN'!$C$7:$C$1492,0),0)),"",OFFSET('HARGA SATUAN'!$E$6,MATCH(RAB!C64,'HARGA SATUAN'!$C$7:$C$1492,0),0)))</f>
        <v>Bh</v>
      </c>
      <c r="F64" s="400">
        <f>F62*1</f>
        <v>3</v>
      </c>
      <c r="G64" s="283">
        <f ca="1">IF(ISERROR(OFFSET('HARGA SATUAN'!$I$6,MATCH(RAB!C64,'HARGA SATUAN'!$C$7:$C$1492,0),0)),0,OFFSET('HARGA SATUAN'!$I$6,MATCH(RAB!C64,'HARGA SATUAN'!$C$7:$C$1492,0),0))</f>
        <v>4212</v>
      </c>
      <c r="H64" s="284">
        <f t="shared" ca="1" si="7"/>
        <v>0</v>
      </c>
      <c r="I64" s="284">
        <f t="shared" ca="1" si="8"/>
        <v>12636</v>
      </c>
      <c r="J64" s="284">
        <f t="shared" ca="1" si="9"/>
        <v>0</v>
      </c>
      <c r="K64" s="285">
        <f t="shared" ca="1" si="10"/>
        <v>12636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 ht="15">
      <c r="A65" s="259" t="e">
        <f>IF(AND(C65=0,C66=0,#REF!=0),"BLANKS",1)</f>
        <v>#REF!</v>
      </c>
      <c r="B65" s="293">
        <v>3</v>
      </c>
      <c r="C65" s="294" t="s">
        <v>256</v>
      </c>
      <c r="D65" s="281" t="str">
        <f ca="1">IF(ISERROR(OFFSET('HARGA SATUAN'!$D$6,MATCH(RAB!C65,'HARGA SATUAN'!$C$7:$C$1492,0),0)),"",OFFSET('HARGA SATUAN'!$D$6,MATCH(RAB!C65,'HARGA SATUAN'!$C$7:$C$1492,0),0))</f>
        <v>HDW</v>
      </c>
      <c r="E65" s="282" t="str">
        <f ca="1">IF(B65="+","Unit",IF(ISERROR(OFFSET('HARGA SATUAN'!$E$6,MATCH(RAB!C65,'HARGA SATUAN'!$C$7:$C$1492,0),0)),"",OFFSET('HARGA SATUAN'!$E$6,MATCH(RAB!C65,'HARGA SATUAN'!$C$7:$C$1492,0),0)))</f>
        <v>Mtr</v>
      </c>
      <c r="F65" s="400">
        <f>F62*1</f>
        <v>3</v>
      </c>
      <c r="G65" s="283">
        <f ca="1">IF(ISERROR(OFFSET('HARGA SATUAN'!$I$6,MATCH(RAB!C65,'HARGA SATUAN'!$C$7:$C$1492,0),0)),0,OFFSET('HARGA SATUAN'!$I$6,MATCH(RAB!C65,'HARGA SATUAN'!$C$7:$C$1492,0),0))</f>
        <v>23310</v>
      </c>
      <c r="H65" s="284">
        <f t="shared" ca="1" si="7"/>
        <v>0</v>
      </c>
      <c r="I65" s="284">
        <f t="shared" ca="1" si="8"/>
        <v>69930</v>
      </c>
      <c r="J65" s="284">
        <f t="shared" ca="1" si="9"/>
        <v>0</v>
      </c>
      <c r="K65" s="285">
        <f t="shared" ca="1" si="10"/>
        <v>69930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 ht="15">
      <c r="A66" s="259" t="e">
        <f>IF(AND(C66=0,#REF!=0,#REF!=0),"BLANKS",1)</f>
        <v>#REF!</v>
      </c>
      <c r="B66" s="293">
        <v>4</v>
      </c>
      <c r="C66" s="294" t="s">
        <v>25</v>
      </c>
      <c r="D66" s="281" t="str">
        <f ca="1">IF(ISERROR(OFFSET('HARGA SATUAN'!$D$6,MATCH(RAB!C66,'HARGA SATUAN'!$C$7:$C$1492,0),0)),"",OFFSET('HARGA SATUAN'!$D$6,MATCH(RAB!C66,'HARGA SATUAN'!$C$7:$C$1492,0),0))</f>
        <v>HDW</v>
      </c>
      <c r="E66" s="282" t="str">
        <f ca="1">IF(B66="+","Unit",IF(ISERROR(OFFSET('HARGA SATUAN'!$E$6,MATCH(RAB!C66,'HARGA SATUAN'!$C$7:$C$1492,0),0)),"",OFFSET('HARGA SATUAN'!$E$6,MATCH(RAB!C66,'HARGA SATUAN'!$C$7:$C$1492,0),0)))</f>
        <v>Bh</v>
      </c>
      <c r="F66" s="400">
        <f>F62*1</f>
        <v>3</v>
      </c>
      <c r="G66" s="283">
        <f ca="1">IF(ISERROR(OFFSET('HARGA SATUAN'!$I$6,MATCH(RAB!C66,'HARGA SATUAN'!$C$7:$C$1492,0),0)),0,OFFSET('HARGA SATUAN'!$I$6,MATCH(RAB!C66,'HARGA SATUAN'!$C$7:$C$1492,0),0))</f>
        <v>2300</v>
      </c>
      <c r="H66" s="284">
        <f t="shared" ca="1" si="7"/>
        <v>0</v>
      </c>
      <c r="I66" s="284">
        <f t="shared" ca="1" si="8"/>
        <v>6900</v>
      </c>
      <c r="J66" s="284">
        <f t="shared" ca="1" si="9"/>
        <v>0</v>
      </c>
      <c r="K66" s="285">
        <f t="shared" ca="1" si="10"/>
        <v>6900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 ht="15">
      <c r="A67" s="259"/>
      <c r="B67" s="293">
        <v>5</v>
      </c>
      <c r="C67" s="294" t="s">
        <v>621</v>
      </c>
      <c r="D67" s="281" t="str">
        <f ca="1">IF(ISERROR(OFFSET('HARGA SATUAN'!$D$6,MATCH(RAB!C67,'HARGA SATUAN'!$C$7:$C$1492,0),0)),"",OFFSET('HARGA SATUAN'!$D$6,MATCH(RAB!C67,'HARGA SATUAN'!$C$7:$C$1492,0),0))</f>
        <v>JASA</v>
      </c>
      <c r="E67" s="282" t="str">
        <f ca="1">IF(B67="+","Unit",IF(ISERROR(OFFSET('HARGA SATUAN'!$E$6,MATCH(RAB!C67,'HARGA SATUAN'!$C$7:$C$1492,0),0)),"",OFFSET('HARGA SATUAN'!$E$6,MATCH(RAB!C67,'HARGA SATUAN'!$C$7:$C$1492,0),0)))</f>
        <v>Unit</v>
      </c>
      <c r="F67" s="400">
        <f>F62*1</f>
        <v>3</v>
      </c>
      <c r="G67" s="283">
        <f ca="1">IF(ISERROR(OFFSET('HARGA SATUAN'!$I$6,MATCH(RAB!C67,'HARGA SATUAN'!$C$7:$C$1492,0),0)),0,OFFSET('HARGA SATUAN'!$I$6,MATCH(RAB!C67,'HARGA SATUAN'!$C$7:$C$1492,0),0))</f>
        <v>35700</v>
      </c>
      <c r="H67" s="284">
        <f t="shared" ca="1" si="7"/>
        <v>0</v>
      </c>
      <c r="I67" s="284">
        <f t="shared" ca="1" si="8"/>
        <v>0</v>
      </c>
      <c r="J67" s="284">
        <f t="shared" ca="1" si="9"/>
        <v>107100</v>
      </c>
      <c r="K67" s="285">
        <f t="shared" ca="1" si="10"/>
        <v>107100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 ht="15">
      <c r="A68" s="259">
        <f>IF(AND(C68=0,C69=0,C91=0),"BLANKS",1)</f>
        <v>1</v>
      </c>
      <c r="B68" s="293"/>
      <c r="C68" s="109"/>
      <c r="D68" s="281" t="str">
        <f ca="1">IF(ISERROR(OFFSET('HARGA SATUAN'!$D$6,MATCH(RAB!C68,'HARGA SATUAN'!$C$7:$C$1492,0),0)),"",OFFSET('HARGA SATUAN'!$D$6,MATCH(RAB!C68,'HARGA SATUAN'!$C$7:$C$1492,0),0))</f>
        <v/>
      </c>
      <c r="E68" s="282" t="str">
        <f ca="1">IF(B68="+","Unit",IF(ISERROR(OFFSET('HARGA SATUAN'!$E$6,MATCH(RAB!C68,'HARGA SATUAN'!$C$7:$C$1492,0),0)),"",OFFSET('HARGA SATUAN'!$E$6,MATCH(RAB!C68,'HARGA SATUAN'!$C$7:$C$1492,0),0)))</f>
        <v/>
      </c>
      <c r="F68" s="400"/>
      <c r="G68" s="283">
        <f ca="1">IF(ISERROR(OFFSET('HARGA SATUAN'!$I$6,MATCH(RAB!C68,'HARGA SATUAN'!$C$7:$C$1492,0),0)),0,OFFSET('HARGA SATUAN'!$I$6,MATCH(RAB!C68,'HARGA SATUAN'!$C$7:$C$1492,0),0))</f>
        <v>0</v>
      </c>
      <c r="H68" s="284">
        <f t="shared" ca="1" si="7"/>
        <v>0</v>
      </c>
      <c r="I68" s="284">
        <f t="shared" ca="1" si="8"/>
        <v>0</v>
      </c>
      <c r="J68" s="284">
        <f t="shared" ca="1" si="9"/>
        <v>0</v>
      </c>
      <c r="K68" s="285">
        <f t="shared" ca="1" si="10"/>
        <v>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 ht="15">
      <c r="A69" s="259">
        <f>IF(AND(C69=0,C91=0,C92=0),"BLANKS",1)</f>
        <v>1</v>
      </c>
      <c r="B69" s="404" t="s">
        <v>514</v>
      </c>
      <c r="C69" s="405" t="s">
        <v>1580</v>
      </c>
      <c r="D69" s="281" t="str">
        <f ca="1">IF(ISERROR(OFFSET('HARGA SATUAN'!$D$6,MATCH(RAB!C69,'HARGA SATUAN'!$C$7:$C$1492,0),0)),"",OFFSET('HARGA SATUAN'!$D$6,MATCH(RAB!C69,'HARGA SATUAN'!$C$7:$C$1492,0),0))</f>
        <v/>
      </c>
      <c r="E69" s="282" t="str">
        <f ca="1">IF(B69="+","Unit",IF(ISERROR(OFFSET('HARGA SATUAN'!$E$6,MATCH(RAB!C69,'HARGA SATUAN'!$C$7:$C$1492,0),0)),"",OFFSET('HARGA SATUAN'!$E$6,MATCH(RAB!C69,'HARGA SATUAN'!$C$7:$C$1492,0),0)))</f>
        <v/>
      </c>
      <c r="F69" s="400"/>
      <c r="G69" s="283">
        <f ca="1">IF(ISERROR(OFFSET('HARGA SATUAN'!$I$6,MATCH(RAB!C69,'HARGA SATUAN'!$C$7:$C$1492,0),0)),0,OFFSET('HARGA SATUAN'!$I$6,MATCH(RAB!C69,'HARGA SATUAN'!$C$7:$C$1492,0),0))</f>
        <v>0</v>
      </c>
      <c r="H69" s="284">
        <f t="shared" ca="1" si="7"/>
        <v>0</v>
      </c>
      <c r="I69" s="284">
        <f t="shared" ca="1" si="8"/>
        <v>0</v>
      </c>
      <c r="J69" s="284">
        <f t="shared" ca="1" si="9"/>
        <v>0</v>
      </c>
      <c r="K69" s="285">
        <f t="shared" ca="1" si="10"/>
        <v>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 ht="15">
      <c r="A70" s="259" t="s">
        <v>1414</v>
      </c>
      <c r="B70" s="293"/>
      <c r="C70" s="294"/>
      <c r="D70" s="281" t="str">
        <f ca="1">IF(ISERROR(OFFSET('HARGA SATUAN'!$D$6,MATCH(RAB!C70,'HARGA SATUAN'!$C$7:$C$1492,0),0)),"",OFFSET('HARGA SATUAN'!$D$6,MATCH(RAB!C70,'HARGA SATUAN'!$C$7:$C$1492,0),0))</f>
        <v/>
      </c>
      <c r="E70" s="282" t="str">
        <f ca="1">IF(B70="+","Unit",IF(ISERROR(OFFSET('HARGA SATUAN'!$E$6,MATCH(RAB!C70,'HARGA SATUAN'!$C$7:$C$1492,0),0)),"",OFFSET('HARGA SATUAN'!$E$6,MATCH(RAB!C70,'HARGA SATUAN'!$C$7:$C$1492,0),0)))</f>
        <v/>
      </c>
      <c r="F70" s="400"/>
      <c r="G70" s="283">
        <f ca="1">IF(ISERROR(OFFSET('HARGA SATUAN'!$I$6,MATCH(RAB!C70,'HARGA SATUAN'!$C$7:$C$1492,0),0)),0,OFFSET('HARGA SATUAN'!$I$6,MATCH(RAB!C70,'HARGA SATUAN'!$C$7:$C$1492,0),0))</f>
        <v>0</v>
      </c>
      <c r="H70" s="284">
        <f t="shared" ca="1" si="7"/>
        <v>0</v>
      </c>
      <c r="I70" s="284">
        <f t="shared" ca="1" si="8"/>
        <v>0</v>
      </c>
      <c r="J70" s="284">
        <f t="shared" ca="1" si="9"/>
        <v>0</v>
      </c>
      <c r="K70" s="285">
        <f t="shared" ca="1" si="10"/>
        <v>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 ht="16">
      <c r="A71" s="259" t="e">
        <f>IF(AND(C71=0,#REF!=0,#REF!=0),"BLANKS",1)</f>
        <v>#REF!</v>
      </c>
      <c r="B71" s="293">
        <v>1</v>
      </c>
      <c r="C71" s="109" t="s">
        <v>1429</v>
      </c>
      <c r="D71" s="281" t="str">
        <f ca="1">IF(ISERROR(OFFSET('HARGA SATUAN'!$D$6,MATCH(RAB!C71,'HARGA SATUAN'!$C$7:$C$1492,0),0)),"",OFFSET('HARGA SATUAN'!$D$6,MATCH(RAB!C71,'HARGA SATUAN'!$C$7:$C$1492,0),0))</f>
        <v>MDU-KD</v>
      </c>
      <c r="E71" s="282" t="str">
        <f ca="1">IF(B71="+","Unit",IF(ISERROR(OFFSET('HARGA SATUAN'!$E$6,MATCH(RAB!C71,'HARGA SATUAN'!$C$7:$C$1492,0),0)),"",OFFSET('HARGA SATUAN'!$E$6,MATCH(RAB!C71,'HARGA SATUAN'!$C$7:$C$1492,0),0)))</f>
        <v>Mtr</v>
      </c>
      <c r="F71" s="400">
        <v>110</v>
      </c>
      <c r="G71" s="283">
        <f ca="1">IF(ISERROR(OFFSET('HARGA SATUAN'!$I$6,MATCH(RAB!C71,'HARGA SATUAN'!$C$7:$C$1492,0),0)),0,OFFSET('HARGA SATUAN'!$I$6,MATCH(RAB!C71,'HARGA SATUAN'!$C$7:$C$1492,0),0))</f>
        <v>54500</v>
      </c>
      <c r="H71" s="284">
        <f t="shared" ca="1" si="7"/>
        <v>5995000</v>
      </c>
      <c r="I71" s="284">
        <f t="shared" ca="1" si="8"/>
        <v>0</v>
      </c>
      <c r="J71" s="284">
        <f t="shared" ca="1" si="9"/>
        <v>0</v>
      </c>
      <c r="K71" s="285">
        <f t="shared" ca="1" si="10"/>
        <v>5995000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 ht="16">
      <c r="A72" s="259" t="s">
        <v>1414</v>
      </c>
      <c r="B72" s="293">
        <v>2</v>
      </c>
      <c r="C72" s="109" t="s">
        <v>336</v>
      </c>
      <c r="D72" s="281" t="str">
        <f ca="1">IF(ISERROR(OFFSET('HARGA SATUAN'!$D$6,MATCH(RAB!C72,'HARGA SATUAN'!$C$7:$C$1492,0),0)),"",OFFSET('HARGA SATUAN'!$D$6,MATCH(RAB!C72,'HARGA SATUAN'!$C$7:$C$1492,0),0))</f>
        <v>JASA</v>
      </c>
      <c r="E72" s="282" t="str">
        <f ca="1">IF(B72="+","Unit",IF(ISERROR(OFFSET('HARGA SATUAN'!$E$6,MATCH(RAB!C72,'HARGA SATUAN'!$C$7:$C$1492,0),0)),"",OFFSET('HARGA SATUAN'!$E$6,MATCH(RAB!C72,'HARGA SATUAN'!$C$7:$C$1492,0),0)))</f>
        <v>Per 50 m</v>
      </c>
      <c r="F72" s="400">
        <f>F71/50</f>
        <v>2.2000000000000002</v>
      </c>
      <c r="G72" s="283">
        <f ca="1">IF(ISERROR(OFFSET('HARGA SATUAN'!$I$6,MATCH(RAB!C72,'HARGA SATUAN'!$C$7:$C$1492,0),0)),0,OFFSET('HARGA SATUAN'!$I$6,MATCH(RAB!C72,'HARGA SATUAN'!$C$7:$C$1492,0),0))</f>
        <v>223500</v>
      </c>
      <c r="H72" s="284">
        <f t="shared" ca="1" si="7"/>
        <v>0</v>
      </c>
      <c r="I72" s="284">
        <f t="shared" ca="1" si="8"/>
        <v>0</v>
      </c>
      <c r="J72" s="284">
        <f t="shared" ca="1" si="9"/>
        <v>491700.00000000006</v>
      </c>
      <c r="K72" s="285">
        <f t="shared" ca="1" si="10"/>
        <v>491700.00000000006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 ht="15">
      <c r="A73" s="259" t="e">
        <f>IF(AND(C73=0,#REF!=0,#REF!=0),"BLANKS",1)</f>
        <v>#REF!</v>
      </c>
      <c r="B73" s="404"/>
      <c r="C73" s="405"/>
      <c r="D73" s="281" t="str">
        <f ca="1">IF(ISERROR(OFFSET('HARGA SATUAN'!$D$6,MATCH(RAB!C73,'HARGA SATUAN'!$C$7:$C$1492,0),0)),"",OFFSET('HARGA SATUAN'!$D$6,MATCH(RAB!C73,'HARGA SATUAN'!$C$7:$C$1492,0),0))</f>
        <v/>
      </c>
      <c r="E73" s="282" t="str">
        <f ca="1">IF(B73="+","Unit",IF(ISERROR(OFFSET('HARGA SATUAN'!$E$6,MATCH(RAB!C73,'HARGA SATUAN'!$C$7:$C$1492,0),0)),"",OFFSET('HARGA SATUAN'!$E$6,MATCH(RAB!C73,'HARGA SATUAN'!$C$7:$C$1492,0),0)))</f>
        <v/>
      </c>
      <c r="F73" s="400"/>
      <c r="G73" s="283">
        <f ca="1">IF(ISERROR(OFFSET('HARGA SATUAN'!$I$6,MATCH(RAB!C73,'HARGA SATUAN'!$C$7:$C$1492,0),0)),0,OFFSET('HARGA SATUAN'!$I$6,MATCH(RAB!C73,'HARGA SATUAN'!$C$7:$C$1492,0),0))</f>
        <v>0</v>
      </c>
      <c r="H73" s="284">
        <f t="shared" ca="1" si="7"/>
        <v>0</v>
      </c>
      <c r="I73" s="284">
        <f t="shared" ca="1" si="8"/>
        <v>0</v>
      </c>
      <c r="J73" s="284">
        <f t="shared" ca="1" si="9"/>
        <v>0</v>
      </c>
      <c r="K73" s="285">
        <f t="shared" ca="1" si="10"/>
        <v>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 ht="15">
      <c r="A74" s="259"/>
      <c r="B74" s="404" t="s">
        <v>516</v>
      </c>
      <c r="C74" s="405" t="s">
        <v>1581</v>
      </c>
      <c r="D74" s="281" t="str">
        <f ca="1">IF(ISERROR(OFFSET('HARGA SATUAN'!$D$6,MATCH(RAB!C74,'HARGA SATUAN'!$C$7:$C$1492,0),0)),"",OFFSET('HARGA SATUAN'!$D$6,MATCH(RAB!C74,'HARGA SATUAN'!$C$7:$C$1492,0),0))</f>
        <v/>
      </c>
      <c r="E74" s="282" t="str">
        <f ca="1">IF(B74="+","Unit",IF(ISERROR(OFFSET('HARGA SATUAN'!$E$6,MATCH(RAB!C74,'HARGA SATUAN'!$C$7:$C$1492,0),0)),"",OFFSET('HARGA SATUAN'!$E$6,MATCH(RAB!C74,'HARGA SATUAN'!$C$7:$C$1492,0),0)))</f>
        <v/>
      </c>
      <c r="F74" s="400"/>
      <c r="G74" s="283">
        <f ca="1">IF(ISERROR(OFFSET('HARGA SATUAN'!$I$6,MATCH(RAB!C74,'HARGA SATUAN'!$C$7:$C$1492,0),0)),0,OFFSET('HARGA SATUAN'!$I$6,MATCH(RAB!C74,'HARGA SATUAN'!$C$7:$C$1492,0),0))</f>
        <v>0</v>
      </c>
      <c r="H74" s="284">
        <f t="shared" ca="1" si="7"/>
        <v>0</v>
      </c>
      <c r="I74" s="284">
        <f t="shared" ca="1" si="8"/>
        <v>0</v>
      </c>
      <c r="J74" s="284">
        <f t="shared" ca="1" si="9"/>
        <v>0</v>
      </c>
      <c r="K74" s="285">
        <f t="shared" ca="1" si="10"/>
        <v>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 ht="16">
      <c r="A75" s="259" t="e">
        <f>IF(AND(C75=0,C76=0,#REF!=0),"BLANKS",1)</f>
        <v>#REF!</v>
      </c>
      <c r="B75" s="406" t="s">
        <v>1006</v>
      </c>
      <c r="C75" s="407" t="s">
        <v>1633</v>
      </c>
      <c r="D75" s="281" t="str">
        <f ca="1">IF(ISERROR(OFFSET('HARGA SATUAN'!$D$6,MATCH(RAB!C75,'HARGA SATUAN'!$C$7:$C$1492,0),0)),"",OFFSET('HARGA SATUAN'!$D$6,MATCH(RAB!C75,'HARGA SATUAN'!$C$7:$C$1492,0),0))</f>
        <v/>
      </c>
      <c r="E75" s="282" t="str">
        <f ca="1">IF(B75="+","Unit",IF(ISERROR(OFFSET('HARGA SATUAN'!$E$6,MATCH(RAB!C75,'HARGA SATUAN'!$C$7:$C$1492,0),0)),"",OFFSET('HARGA SATUAN'!$E$6,MATCH(RAB!C75,'HARGA SATUAN'!$C$7:$C$1492,0),0)))</f>
        <v>Unit</v>
      </c>
      <c r="F75" s="400">
        <v>1</v>
      </c>
      <c r="G75" s="283">
        <f ca="1">IF(ISERROR(OFFSET('HARGA SATUAN'!$I$6,MATCH(RAB!C75,'HARGA SATUAN'!$C$7:$C$1492,0),0)),0,OFFSET('HARGA SATUAN'!$I$6,MATCH(RAB!C75,'HARGA SATUAN'!$C$7:$C$1492,0),0))</f>
        <v>0</v>
      </c>
      <c r="H75" s="284">
        <f t="shared" ca="1" si="7"/>
        <v>0</v>
      </c>
      <c r="I75" s="284">
        <f t="shared" ca="1" si="8"/>
        <v>0</v>
      </c>
      <c r="J75" s="284">
        <f t="shared" ca="1" si="9"/>
        <v>0</v>
      </c>
      <c r="K75" s="285">
        <f t="shared" ca="1" si="10"/>
        <v>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 ht="32">
      <c r="A76" s="259" t="e">
        <f>IF(AND(C76=0,#REF!=0,#REF!=0),"BLANKS",1)</f>
        <v>#REF!</v>
      </c>
      <c r="B76" s="511">
        <v>1</v>
      </c>
      <c r="C76" s="109" t="s">
        <v>1167</v>
      </c>
      <c r="D76" s="281" t="str">
        <f ca="1">IF(ISERROR(OFFSET('HARGA SATUAN'!$D$6,MATCH(RAB!C76,'HARGA SATUAN'!$C$7:$C$1492,0),0)),"",OFFSET('HARGA SATUAN'!$D$6,MATCH(RAB!C76,'HARGA SATUAN'!$C$7:$C$1492,0),0))</f>
        <v>MDU-KD</v>
      </c>
      <c r="E76" s="282" t="str">
        <f ca="1">IF(B76="+","Unit",IF(ISERROR(OFFSET('HARGA SATUAN'!$E$6,MATCH(RAB!C76,'HARGA SATUAN'!$C$7:$C$1492,0),0)),"",OFFSET('HARGA SATUAN'!$E$6,MATCH(RAB!C76,'HARGA SATUAN'!$C$7:$C$1492,0),0)))</f>
        <v>Bh</v>
      </c>
      <c r="F76" s="400">
        <f>F75*1</f>
        <v>1</v>
      </c>
      <c r="G76" s="283">
        <f ca="1">IF(ISERROR(OFFSET('HARGA SATUAN'!$I$6,MATCH(RAB!C76,'HARGA SATUAN'!$C$7:$C$1492,0),0)),0,OFFSET('HARGA SATUAN'!$I$6,MATCH(RAB!C76,'HARGA SATUAN'!$C$7:$C$1492,0),0))</f>
        <v>1504200</v>
      </c>
      <c r="H76" s="284">
        <f t="shared" ca="1" si="7"/>
        <v>1504200</v>
      </c>
      <c r="I76" s="284">
        <f t="shared" ca="1" si="8"/>
        <v>0</v>
      </c>
      <c r="J76" s="284">
        <f t="shared" ca="1" si="9"/>
        <v>0</v>
      </c>
      <c r="K76" s="285">
        <f t="shared" ca="1" si="10"/>
        <v>1504200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 ht="16">
      <c r="A77" s="259" t="s">
        <v>1414</v>
      </c>
      <c r="B77" s="511">
        <v>2</v>
      </c>
      <c r="C77" s="515" t="s">
        <v>505</v>
      </c>
      <c r="D77" s="281" t="str">
        <f ca="1">IF(ISERROR(OFFSET('HARGA SATUAN'!$D$6,MATCH(RAB!C77,'HARGA SATUAN'!$C$7:$C$1492,0),0)),"",OFFSET('HARGA SATUAN'!$D$6,MATCH(RAB!C77,'HARGA SATUAN'!$C$7:$C$1492,0),0))</f>
        <v>MDU-KD</v>
      </c>
      <c r="E77" s="282" t="str">
        <f ca="1">IF(B77="+","Unit",IF(ISERROR(OFFSET('HARGA SATUAN'!$E$6,MATCH(RAB!C77,'HARGA SATUAN'!$C$7:$C$1492,0),0)),"",OFFSET('HARGA SATUAN'!$E$6,MATCH(RAB!C77,'HARGA SATUAN'!$C$7:$C$1492,0),0)))</f>
        <v>Unit</v>
      </c>
      <c r="F77" s="400"/>
      <c r="G77" s="283">
        <f ca="1">IF(ISERROR(OFFSET('HARGA SATUAN'!$I$6,MATCH(RAB!C77,'HARGA SATUAN'!$C$7:$C$1492,0),0)),0,OFFSET('HARGA SATUAN'!$I$6,MATCH(RAB!C77,'HARGA SATUAN'!$C$7:$C$1492,0),0))</f>
        <v>13644300</v>
      </c>
      <c r="H77" s="284">
        <f t="shared" ref="H77:H83" ca="1" si="26">IF(OR(D77="MDU",D77="MDU-KD"),(IF($O$3="RAB NON MDU","PLN KD",G77*F77)),0)</f>
        <v>0</v>
      </c>
      <c r="I77" s="284">
        <f t="shared" ref="I77:I83" ca="1" si="27">IF(D77="HDW",G77*F77,0)</f>
        <v>0</v>
      </c>
      <c r="J77" s="284">
        <f t="shared" ref="J77:J83" ca="1" si="28">IF(D77="JASA",G77*F77,0)</f>
        <v>0</v>
      </c>
      <c r="K77" s="285">
        <f t="shared" ref="K77:K83" ca="1" si="29">SUM(H77:J77)</f>
        <v>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 ht="16">
      <c r="A78" s="259" t="e">
        <f>IF(AND(C78=0,#REF!=0,#REF!=0),"BLANKS",1)</f>
        <v>#REF!</v>
      </c>
      <c r="B78" s="511">
        <v>3</v>
      </c>
      <c r="C78" s="515" t="s">
        <v>1113</v>
      </c>
      <c r="D78" s="281" t="str">
        <f ca="1">IF(ISERROR(OFFSET('HARGA SATUAN'!$D$6,MATCH(RAB!C78,'HARGA SATUAN'!$C$7:$C$1492,0),0)),"",OFFSET('HARGA SATUAN'!$D$6,MATCH(RAB!C78,'HARGA SATUAN'!$C$7:$C$1492,0),0))</f>
        <v>HDW</v>
      </c>
      <c r="E78" s="282" t="str">
        <f ca="1">IF(B78="+","Unit",IF(ISERROR(OFFSET('HARGA SATUAN'!$E$6,MATCH(RAB!C78,'HARGA SATUAN'!$C$7:$C$1492,0),0)),"",OFFSET('HARGA SATUAN'!$E$6,MATCH(RAB!C78,'HARGA SATUAN'!$C$7:$C$1492,0),0)))</f>
        <v>Unit</v>
      </c>
      <c r="F78" s="400">
        <f>F75*1</f>
        <v>1</v>
      </c>
      <c r="G78" s="283">
        <f ca="1">IF(ISERROR(OFFSET('HARGA SATUAN'!$I$6,MATCH(RAB!C78,'HARGA SATUAN'!$C$7:$C$1492,0),0)),0,OFFSET('HARGA SATUAN'!$I$6,MATCH(RAB!C78,'HARGA SATUAN'!$C$7:$C$1492,0),0))</f>
        <v>1113900</v>
      </c>
      <c r="H78" s="284">
        <f t="shared" ca="1" si="26"/>
        <v>0</v>
      </c>
      <c r="I78" s="284">
        <f t="shared" ca="1" si="27"/>
        <v>1113900</v>
      </c>
      <c r="J78" s="284">
        <f t="shared" ca="1" si="28"/>
        <v>0</v>
      </c>
      <c r="K78" s="285">
        <f t="shared" ca="1" si="29"/>
        <v>1113900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 ht="16">
      <c r="A79" s="259" t="s">
        <v>1414</v>
      </c>
      <c r="B79" s="511">
        <v>4</v>
      </c>
      <c r="C79" s="515" t="s">
        <v>563</v>
      </c>
      <c r="D79" s="281" t="str">
        <f ca="1">IF(ISERROR(OFFSET('HARGA SATUAN'!$D$6,MATCH(RAB!C79,'HARGA SATUAN'!$C$7:$C$1492,0),0)),"",OFFSET('HARGA SATUAN'!$D$6,MATCH(RAB!C79,'HARGA SATUAN'!$C$7:$C$1492,0),0))</f>
        <v>HDW</v>
      </c>
      <c r="E79" s="282" t="str">
        <f ca="1">IF(B79="+","Unit",IF(ISERROR(OFFSET('HARGA SATUAN'!$E$6,MATCH(RAB!C79,'HARGA SATUAN'!$C$7:$C$1492,0),0)),"",OFFSET('HARGA SATUAN'!$E$6,MATCH(RAB!C79,'HARGA SATUAN'!$C$7:$C$1492,0),0)))</f>
        <v>Mtr</v>
      </c>
      <c r="F79" s="400"/>
      <c r="G79" s="283">
        <f ca="1">IF(ISERROR(OFFSET('HARGA SATUAN'!$I$6,MATCH(RAB!C79,'HARGA SATUAN'!$C$7:$C$1492,0),0)),0,OFFSET('HARGA SATUAN'!$I$6,MATCH(RAB!C79,'HARGA SATUAN'!$C$7:$C$1492,0),0))</f>
        <v>164883</v>
      </c>
      <c r="H79" s="284">
        <f t="shared" ca="1" si="26"/>
        <v>0</v>
      </c>
      <c r="I79" s="284">
        <f t="shared" ca="1" si="27"/>
        <v>0</v>
      </c>
      <c r="J79" s="284">
        <f t="shared" ca="1" si="28"/>
        <v>0</v>
      </c>
      <c r="K79" s="285">
        <f t="shared" ca="1" si="29"/>
        <v>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 s="291" customFormat="1" ht="16">
      <c r="A80" s="259" t="e">
        <f>IF(AND(C80=0,#REF!=0,#REF!=0),"BLANKS",1)</f>
        <v>#REF!</v>
      </c>
      <c r="B80" s="511">
        <v>5</v>
      </c>
      <c r="C80" s="515" t="s">
        <v>790</v>
      </c>
      <c r="D80" s="281" t="str">
        <f ca="1">IF(ISERROR(OFFSET('HARGA SATUAN'!$D$6,MATCH(RAB!C80,'HARGA SATUAN'!$C$7:$C$1492,0),0)),"",OFFSET('HARGA SATUAN'!$D$6,MATCH(RAB!C80,'HARGA SATUAN'!$C$7:$C$1492,0),0))</f>
        <v>JASA</v>
      </c>
      <c r="E80" s="282" t="str">
        <f ca="1">IF(B80="+","Unit",IF(ISERROR(OFFSET('HARGA SATUAN'!$E$6,MATCH(RAB!C80,'HARGA SATUAN'!$C$7:$C$1492,0),0)),"",OFFSET('HARGA SATUAN'!$E$6,MATCH(RAB!C80,'HARGA SATUAN'!$C$7:$C$1492,0),0)))</f>
        <v>Unit</v>
      </c>
      <c r="F80" s="400">
        <f>F75*1</f>
        <v>1</v>
      </c>
      <c r="G80" s="283">
        <f ca="1">IF(ISERROR(OFFSET('HARGA SATUAN'!$I$6,MATCH(RAB!C80,'HARGA SATUAN'!$C$7:$C$1492,0),0)),0,OFFSET('HARGA SATUAN'!$I$6,MATCH(RAB!C80,'HARGA SATUAN'!$C$7:$C$1492,0),0))</f>
        <v>106400</v>
      </c>
      <c r="H80" s="284">
        <f t="shared" ca="1" si="26"/>
        <v>0</v>
      </c>
      <c r="I80" s="284">
        <f t="shared" ca="1" si="27"/>
        <v>0</v>
      </c>
      <c r="J80" s="284">
        <f t="shared" ca="1" si="28"/>
        <v>106400</v>
      </c>
      <c r="K80" s="285">
        <f t="shared" ca="1" si="29"/>
        <v>106400</v>
      </c>
      <c r="L80" s="290"/>
      <c r="M80" s="290"/>
      <c r="N80" s="290"/>
      <c r="O80" s="286"/>
      <c r="P80" s="286"/>
      <c r="Q80" s="267"/>
      <c r="R80" s="259"/>
      <c r="S80" s="287"/>
      <c r="T80" s="264"/>
      <c r="U80" s="264"/>
      <c r="V80" s="264"/>
    </row>
    <row r="81" spans="1:22" s="291" customFormat="1" ht="15">
      <c r="A81" s="259"/>
      <c r="B81" s="293"/>
      <c r="C81" s="405"/>
      <c r="D81" s="281" t="str">
        <f ca="1">IF(ISERROR(OFFSET('HARGA SATUAN'!$D$6,MATCH(RAB!C81,'HARGA SATUAN'!$C$7:$C$1492,0),0)),"",OFFSET('HARGA SATUAN'!$D$6,MATCH(RAB!C81,'HARGA SATUAN'!$C$7:$C$1492,0),0))</f>
        <v/>
      </c>
      <c r="E81" s="282" t="str">
        <f ca="1">IF(B81="+","Unit",IF(ISERROR(OFFSET('HARGA SATUAN'!$E$6,MATCH(RAB!C81,'HARGA SATUAN'!$C$7:$C$1492,0),0)),"",OFFSET('HARGA SATUAN'!$E$6,MATCH(RAB!C81,'HARGA SATUAN'!$C$7:$C$1492,0),0)))</f>
        <v/>
      </c>
      <c r="F81" s="400"/>
      <c r="G81" s="283">
        <f ca="1">IF(ISERROR(OFFSET('HARGA SATUAN'!$I$6,MATCH(RAB!C81,'HARGA SATUAN'!$C$7:$C$1492,0),0)),0,OFFSET('HARGA SATUAN'!$I$6,MATCH(RAB!C81,'HARGA SATUAN'!$C$7:$C$1492,0),0))</f>
        <v>0</v>
      </c>
      <c r="H81" s="284">
        <f t="shared" ca="1" si="26"/>
        <v>0</v>
      </c>
      <c r="I81" s="284">
        <f t="shared" ca="1" si="27"/>
        <v>0</v>
      </c>
      <c r="J81" s="284">
        <f t="shared" ca="1" si="28"/>
        <v>0</v>
      </c>
      <c r="K81" s="285">
        <f t="shared" ca="1" si="29"/>
        <v>0</v>
      </c>
      <c r="L81" s="290"/>
      <c r="M81" s="290"/>
      <c r="N81" s="290"/>
      <c r="O81" s="286"/>
      <c r="P81" s="286"/>
      <c r="Q81" s="267"/>
      <c r="R81" s="259"/>
      <c r="S81" s="287"/>
      <c r="T81" s="264"/>
      <c r="U81" s="264"/>
      <c r="V81" s="264"/>
    </row>
    <row r="82" spans="1:22" s="291" customFormat="1" ht="15">
      <c r="A82" s="259" t="e">
        <f>IF(AND(C82=0,C83=0,#REF!=0),"BLANKS",1)</f>
        <v>#REF!</v>
      </c>
      <c r="B82" s="404" t="s">
        <v>520</v>
      </c>
      <c r="C82" s="405" t="s">
        <v>1582</v>
      </c>
      <c r="D82" s="281" t="str">
        <f ca="1">IF(ISERROR(OFFSET('HARGA SATUAN'!$D$6,MATCH(RAB!C82,'HARGA SATUAN'!$C$7:$C$1492,0),0)),"",OFFSET('HARGA SATUAN'!$D$6,MATCH(RAB!C82,'HARGA SATUAN'!$C$7:$C$1492,0),0))</f>
        <v/>
      </c>
      <c r="E82" s="282" t="str">
        <f ca="1">IF(B82="+","Unit",IF(ISERROR(OFFSET('HARGA SATUAN'!$E$6,MATCH(RAB!C82,'HARGA SATUAN'!$C$7:$C$1492,0),0)),"",OFFSET('HARGA SATUAN'!$E$6,MATCH(RAB!C82,'HARGA SATUAN'!$C$7:$C$1492,0),0)))</f>
        <v/>
      </c>
      <c r="F82" s="400"/>
      <c r="G82" s="283">
        <f ca="1">IF(ISERROR(OFFSET('HARGA SATUAN'!$I$6,MATCH(RAB!C82,'HARGA SATUAN'!$C$7:$C$1492,0),0)),0,OFFSET('HARGA SATUAN'!$I$6,MATCH(RAB!C82,'HARGA SATUAN'!$C$7:$C$1492,0),0))</f>
        <v>0</v>
      </c>
      <c r="H82" s="284">
        <f t="shared" ca="1" si="26"/>
        <v>0</v>
      </c>
      <c r="I82" s="284">
        <f t="shared" ca="1" si="27"/>
        <v>0</v>
      </c>
      <c r="J82" s="284">
        <f t="shared" ca="1" si="28"/>
        <v>0</v>
      </c>
      <c r="K82" s="285">
        <f t="shared" ca="1" si="29"/>
        <v>0</v>
      </c>
      <c r="L82" s="290"/>
      <c r="M82" s="290"/>
      <c r="N82" s="290"/>
      <c r="O82" s="286"/>
      <c r="P82" s="286"/>
      <c r="Q82" s="267"/>
      <c r="R82" s="259"/>
      <c r="S82" s="287"/>
      <c r="T82" s="264"/>
      <c r="U82" s="264"/>
      <c r="V82" s="264"/>
    </row>
    <row r="83" spans="1:22" s="291" customFormat="1" ht="16">
      <c r="A83" s="259" t="e">
        <f>IF(AND(C83=0,#REF!=0,#REF!=0),"BLANKS",1)</f>
        <v>#REF!</v>
      </c>
      <c r="B83" s="293">
        <v>1</v>
      </c>
      <c r="C83" s="109" t="s">
        <v>416</v>
      </c>
      <c r="D83" s="281" t="str">
        <f ca="1">IF(ISERROR(OFFSET('HARGA SATUAN'!$D$6,MATCH(RAB!C83,'HARGA SATUAN'!$C$7:$C$1492,0),0)),"",OFFSET('HARGA SATUAN'!$D$6,MATCH(RAB!C83,'HARGA SATUAN'!$C$7:$C$1492,0),0))</f>
        <v>JASA</v>
      </c>
      <c r="E83" s="282" t="str">
        <f ca="1">IF(B83="+","Unit",IF(ISERROR(OFFSET('HARGA SATUAN'!$E$6,MATCH(RAB!C83,'HARGA SATUAN'!$C$7:$C$1492,0),0)),"",OFFSET('HARGA SATUAN'!$E$6,MATCH(RAB!C83,'HARGA SATUAN'!$C$7:$C$1492,0),0)))</f>
        <v>Per 50 m</v>
      </c>
      <c r="F83" s="400">
        <v>2</v>
      </c>
      <c r="G83" s="283">
        <f ca="1">IF(ISERROR(OFFSET('HARGA SATUAN'!$I$6,MATCH(RAB!C83,'HARGA SATUAN'!$C$7:$C$1492,0),0)),0,OFFSET('HARGA SATUAN'!$I$6,MATCH(RAB!C83,'HARGA SATUAN'!$C$7:$C$1492,0),0))</f>
        <v>134100</v>
      </c>
      <c r="H83" s="284">
        <f t="shared" ca="1" si="26"/>
        <v>0</v>
      </c>
      <c r="I83" s="284">
        <f t="shared" ca="1" si="27"/>
        <v>0</v>
      </c>
      <c r="J83" s="284">
        <f t="shared" ca="1" si="28"/>
        <v>268200</v>
      </c>
      <c r="K83" s="285">
        <f t="shared" ca="1" si="29"/>
        <v>268200</v>
      </c>
      <c r="L83" s="290"/>
      <c r="M83" s="290"/>
      <c r="N83" s="290"/>
      <c r="O83" s="286"/>
      <c r="P83" s="286"/>
      <c r="Q83" s="267"/>
      <c r="R83" s="259"/>
      <c r="S83" s="287"/>
      <c r="T83" s="264"/>
      <c r="U83" s="264"/>
      <c r="V83" s="264"/>
    </row>
    <row r="84" spans="1:22" s="291" customFormat="1" ht="16">
      <c r="A84" s="259"/>
      <c r="B84" s="293">
        <v>2</v>
      </c>
      <c r="C84" s="109" t="s">
        <v>805</v>
      </c>
      <c r="D84" s="281"/>
      <c r="E84" s="282"/>
      <c r="F84" s="400">
        <v>3</v>
      </c>
      <c r="G84" s="283"/>
      <c r="H84" s="284"/>
      <c r="I84" s="284"/>
      <c r="J84" s="284"/>
      <c r="K84" s="285"/>
      <c r="L84" s="290"/>
      <c r="M84" s="290"/>
      <c r="N84" s="290"/>
      <c r="O84" s="286"/>
      <c r="P84" s="286"/>
      <c r="Q84" s="267"/>
      <c r="R84" s="259"/>
      <c r="S84" s="287"/>
      <c r="T84" s="264"/>
      <c r="U84" s="264"/>
      <c r="V84" s="264"/>
    </row>
    <row r="85" spans="1:22" s="291" customFormat="1" ht="16">
      <c r="A85" s="259" t="e">
        <f>IF(AND(C85=0,#REF!=0,#REF!=0),"BLANKS",1)</f>
        <v>#REF!</v>
      </c>
      <c r="B85" s="293">
        <v>3</v>
      </c>
      <c r="C85" s="109" t="s">
        <v>955</v>
      </c>
      <c r="D85" s="281" t="str">
        <f ca="1">IF(ISERROR(OFFSET('HARGA SATUAN'!$D$6,MATCH(RAB!C85,'HARGA SATUAN'!$C$7:$C$1492,0),0)),"",OFFSET('HARGA SATUAN'!$D$6,MATCH(RAB!C85,'HARGA SATUAN'!$C$7:$C$1492,0),0))</f>
        <v>JASA</v>
      </c>
      <c r="E85" s="282" t="str">
        <f ca="1">IF(B85="+","Unit",IF(ISERROR(OFFSET('HARGA SATUAN'!$E$6,MATCH(RAB!C85,'HARGA SATUAN'!$C$7:$C$1492,0),0)),"",OFFSET('HARGA SATUAN'!$E$6,MATCH(RAB!C85,'HARGA SATUAN'!$C$7:$C$1492,0),0)))</f>
        <v>Unit</v>
      </c>
      <c r="F85" s="400">
        <v>1</v>
      </c>
      <c r="G85" s="283">
        <f ca="1">IF(ISERROR(OFFSET('HARGA SATUAN'!$I$6,MATCH(RAB!C85,'HARGA SATUAN'!$C$7:$C$1492,0),0)),0,OFFSET('HARGA SATUAN'!$I$6,MATCH(RAB!C85,'HARGA SATUAN'!$C$7:$C$1492,0),0))</f>
        <v>709680</v>
      </c>
      <c r="H85" s="284">
        <f t="shared" ref="H85:H90" ca="1" si="30">IF(OR(D85="MDU",D85="MDU-KD"),(IF($O$3="RAB NON MDU","PLN KD",G85*F85)),0)</f>
        <v>0</v>
      </c>
      <c r="I85" s="284">
        <f t="shared" ref="I85:I90" ca="1" si="31">IF(D85="HDW",G85*F85,0)</f>
        <v>0</v>
      </c>
      <c r="J85" s="284">
        <f t="shared" ref="J85:J90" ca="1" si="32">IF(D85="JASA",G85*F85,0)</f>
        <v>709680</v>
      </c>
      <c r="K85" s="285">
        <f t="shared" ref="K85:K90" ca="1" si="33">SUM(H85:J85)</f>
        <v>709680</v>
      </c>
      <c r="L85" s="290"/>
      <c r="M85" s="290"/>
      <c r="N85" s="290"/>
      <c r="O85" s="286"/>
      <c r="P85" s="286"/>
      <c r="Q85" s="267"/>
      <c r="R85" s="259"/>
      <c r="S85" s="287"/>
      <c r="T85" s="264"/>
      <c r="U85" s="264"/>
      <c r="V85" s="264"/>
    </row>
    <row r="86" spans="1:22" s="291" customFormat="1" ht="16">
      <c r="A86" s="259" t="s">
        <v>1414</v>
      </c>
      <c r="B86" s="293">
        <v>4</v>
      </c>
      <c r="C86" s="109" t="s">
        <v>973</v>
      </c>
      <c r="D86" s="281" t="str">
        <f ca="1">IF(ISERROR(OFFSET('HARGA SATUAN'!$D$6,MATCH(RAB!C86,'HARGA SATUAN'!$C$7:$C$1492,0),0)),"",OFFSET('HARGA SATUAN'!$D$6,MATCH(RAB!C86,'HARGA SATUAN'!$C$7:$C$1492,0),0))</f>
        <v>JASA</v>
      </c>
      <c r="E86" s="282" t="str">
        <f ca="1">IF(B86="+","Unit",IF(ISERROR(OFFSET('HARGA SATUAN'!$E$6,MATCH(RAB!C86,'HARGA SATUAN'!$C$7:$C$1492,0),0)),"",OFFSET('HARGA SATUAN'!$E$6,MATCH(RAB!C86,'HARGA SATUAN'!$C$7:$C$1492,0),0)))</f>
        <v>Unit</v>
      </c>
      <c r="F86" s="400">
        <v>1</v>
      </c>
      <c r="G86" s="283">
        <f ca="1">IF(ISERROR(OFFSET('HARGA SATUAN'!$I$6,MATCH(RAB!C86,'HARGA SATUAN'!$C$7:$C$1492,0),0)),0,OFFSET('HARGA SATUAN'!$I$6,MATCH(RAB!C86,'HARGA SATUAN'!$C$7:$C$1492,0),0))</f>
        <v>63840</v>
      </c>
      <c r="H86" s="284">
        <f t="shared" ca="1" si="30"/>
        <v>0</v>
      </c>
      <c r="I86" s="284">
        <f t="shared" ca="1" si="31"/>
        <v>0</v>
      </c>
      <c r="J86" s="284">
        <f t="shared" ca="1" si="32"/>
        <v>63840</v>
      </c>
      <c r="K86" s="285">
        <f t="shared" ca="1" si="33"/>
        <v>63840</v>
      </c>
      <c r="L86" s="290"/>
      <c r="M86" s="290"/>
      <c r="N86" s="290"/>
      <c r="O86" s="286"/>
      <c r="P86" s="286"/>
      <c r="Q86" s="267"/>
      <c r="R86" s="259"/>
      <c r="S86" s="287"/>
      <c r="T86" s="264"/>
      <c r="U86" s="264"/>
      <c r="V86" s="264"/>
    </row>
    <row r="87" spans="1:22" s="291" customFormat="1" ht="15">
      <c r="A87" s="259" t="e">
        <f>IF(AND(C87=0,#REF!=0,#REF!=0),"BLANKS",1)</f>
        <v>#REF!</v>
      </c>
      <c r="B87" s="404"/>
      <c r="C87" s="405"/>
      <c r="D87" s="281" t="str">
        <f ca="1">IF(ISERROR(OFFSET('HARGA SATUAN'!$D$6,MATCH(RAB!C87,'HARGA SATUAN'!$C$7:$C$1492,0),0)),"",OFFSET('HARGA SATUAN'!$D$6,MATCH(RAB!C87,'HARGA SATUAN'!$C$7:$C$1492,0),0))</f>
        <v/>
      </c>
      <c r="E87" s="282" t="str">
        <f ca="1">IF(B87="+","Unit",IF(ISERROR(OFFSET('HARGA SATUAN'!$E$6,MATCH(RAB!C87,'HARGA SATUAN'!$C$7:$C$1492,0),0)),"",OFFSET('HARGA SATUAN'!$E$6,MATCH(RAB!C87,'HARGA SATUAN'!$C$7:$C$1492,0),0)))</f>
        <v/>
      </c>
      <c r="F87" s="400"/>
      <c r="G87" s="283">
        <f ca="1">IF(ISERROR(OFFSET('HARGA SATUAN'!$I$6,MATCH(RAB!C87,'HARGA SATUAN'!$C$7:$C$1492,0),0)),0,OFFSET('HARGA SATUAN'!$I$6,MATCH(RAB!C87,'HARGA SATUAN'!$C$7:$C$1492,0),0))</f>
        <v>0</v>
      </c>
      <c r="H87" s="284">
        <f t="shared" ca="1" si="30"/>
        <v>0</v>
      </c>
      <c r="I87" s="284">
        <f t="shared" ca="1" si="31"/>
        <v>0</v>
      </c>
      <c r="J87" s="284">
        <f t="shared" ca="1" si="32"/>
        <v>0</v>
      </c>
      <c r="K87" s="285">
        <f t="shared" ca="1" si="33"/>
        <v>0</v>
      </c>
      <c r="L87" s="290"/>
      <c r="M87" s="290"/>
      <c r="N87" s="290"/>
      <c r="O87" s="286"/>
      <c r="P87" s="286"/>
      <c r="Q87" s="267"/>
      <c r="R87" s="259"/>
      <c r="S87" s="287"/>
      <c r="T87" s="264"/>
      <c r="U87" s="264"/>
      <c r="V87" s="264"/>
    </row>
    <row r="88" spans="1:22" s="291" customFormat="1" ht="15">
      <c r="A88" s="259"/>
      <c r="B88" s="406"/>
      <c r="C88" s="407"/>
      <c r="D88" s="281" t="str">
        <f ca="1">IF(ISERROR(OFFSET('HARGA SATUAN'!$D$6,MATCH(RAB!C88,'HARGA SATUAN'!$C$7:$C$1492,0),0)),"",OFFSET('HARGA SATUAN'!$D$6,MATCH(RAB!C88,'HARGA SATUAN'!$C$7:$C$1492,0),0))</f>
        <v/>
      </c>
      <c r="E88" s="282" t="str">
        <f ca="1">IF(B88="+","Unit",IF(ISERROR(OFFSET('HARGA SATUAN'!$E$6,MATCH(RAB!C88,'HARGA SATUAN'!$C$7:$C$1492,0),0)),"",OFFSET('HARGA SATUAN'!$E$6,MATCH(RAB!C88,'HARGA SATUAN'!$C$7:$C$1492,0),0)))</f>
        <v/>
      </c>
      <c r="F88" s="400"/>
      <c r="G88" s="283">
        <f ca="1">IF(ISERROR(OFFSET('HARGA SATUAN'!$I$6,MATCH(RAB!C88,'HARGA SATUAN'!$C$7:$C$1492,0),0)),0,OFFSET('HARGA SATUAN'!$I$6,MATCH(RAB!C88,'HARGA SATUAN'!$C$7:$C$1492,0),0))</f>
        <v>0</v>
      </c>
      <c r="H88" s="284">
        <f t="shared" ca="1" si="30"/>
        <v>0</v>
      </c>
      <c r="I88" s="284">
        <f t="shared" ca="1" si="31"/>
        <v>0</v>
      </c>
      <c r="J88" s="284">
        <f t="shared" ca="1" si="32"/>
        <v>0</v>
      </c>
      <c r="K88" s="285">
        <f t="shared" ca="1" si="33"/>
        <v>0</v>
      </c>
      <c r="L88" s="290"/>
      <c r="M88" s="290"/>
      <c r="N88" s="290"/>
      <c r="O88" s="286"/>
      <c r="P88" s="286"/>
      <c r="Q88" s="267"/>
      <c r="R88" s="259"/>
      <c r="S88" s="287"/>
      <c r="T88" s="264"/>
      <c r="U88" s="264"/>
      <c r="V88" s="264"/>
    </row>
    <row r="89" spans="1:22" s="291" customFormat="1" ht="15">
      <c r="A89" s="259" t="e">
        <f>IF(AND(C89=0,C90=0,#REF!=0),"BLANKS",1)</f>
        <v>#REF!</v>
      </c>
      <c r="B89" s="408"/>
      <c r="C89" s="109"/>
      <c r="D89" s="281" t="str">
        <f ca="1">IF(ISERROR(OFFSET('HARGA SATUAN'!$D$6,MATCH(RAB!C89,'HARGA SATUAN'!$C$7:$C$1492,0),0)),"",OFFSET('HARGA SATUAN'!$D$6,MATCH(RAB!C89,'HARGA SATUAN'!$C$7:$C$1492,0),0))</f>
        <v/>
      </c>
      <c r="E89" s="282" t="str">
        <f ca="1">IF(B89="+","Unit",IF(ISERROR(OFFSET('HARGA SATUAN'!$E$6,MATCH(RAB!C89,'HARGA SATUAN'!$C$7:$C$1492,0),0)),"",OFFSET('HARGA SATUAN'!$E$6,MATCH(RAB!C89,'HARGA SATUAN'!$C$7:$C$1492,0),0)))</f>
        <v/>
      </c>
      <c r="F89" s="400"/>
      <c r="G89" s="283">
        <f ca="1">IF(ISERROR(OFFSET('HARGA SATUAN'!$I$6,MATCH(RAB!C89,'HARGA SATUAN'!$C$7:$C$1492,0),0)),0,OFFSET('HARGA SATUAN'!$I$6,MATCH(RAB!C89,'HARGA SATUAN'!$C$7:$C$1492,0),0))</f>
        <v>0</v>
      </c>
      <c r="H89" s="284">
        <f t="shared" ca="1" si="30"/>
        <v>0</v>
      </c>
      <c r="I89" s="284">
        <f t="shared" ca="1" si="31"/>
        <v>0</v>
      </c>
      <c r="J89" s="284">
        <f t="shared" ca="1" si="32"/>
        <v>0</v>
      </c>
      <c r="K89" s="285">
        <f t="shared" ca="1" si="33"/>
        <v>0</v>
      </c>
      <c r="L89" s="290"/>
      <c r="M89" s="290"/>
      <c r="N89" s="290"/>
      <c r="O89" s="286"/>
      <c r="P89" s="286"/>
      <c r="Q89" s="267"/>
      <c r="R89" s="259"/>
      <c r="S89" s="287"/>
      <c r="T89" s="264"/>
      <c r="U89" s="264"/>
      <c r="V89" s="264"/>
    </row>
    <row r="90" spans="1:22" s="291" customFormat="1" ht="15">
      <c r="A90" s="259" t="e">
        <f>IF(AND(C90=0,#REF!=0,#REF!=0),"BLANKS",1)</f>
        <v>#REF!</v>
      </c>
      <c r="B90" s="408"/>
      <c r="C90" s="410"/>
      <c r="D90" s="281" t="str">
        <f ca="1">IF(ISERROR(OFFSET('HARGA SATUAN'!$D$6,MATCH(RAB!C90,'HARGA SATUAN'!$C$7:$C$1492,0),0)),"",OFFSET('HARGA SATUAN'!$D$6,MATCH(RAB!C90,'HARGA SATUAN'!$C$7:$C$1492,0),0))</f>
        <v/>
      </c>
      <c r="E90" s="282" t="str">
        <f ca="1">IF(B90="+","Unit",IF(ISERROR(OFFSET('HARGA SATUAN'!$E$6,MATCH(RAB!C90,'HARGA SATUAN'!$C$7:$C$1492,0),0)),"",OFFSET('HARGA SATUAN'!$E$6,MATCH(RAB!C90,'HARGA SATUAN'!$C$7:$C$1492,0),0)))</f>
        <v/>
      </c>
      <c r="F90" s="400"/>
      <c r="G90" s="283">
        <f ca="1">IF(ISERROR(OFFSET('HARGA SATUAN'!$I$6,MATCH(RAB!C90,'HARGA SATUAN'!$C$7:$C$1492,0),0)),0,OFFSET('HARGA SATUAN'!$I$6,MATCH(RAB!C90,'HARGA SATUAN'!$C$7:$C$1492,0),0))</f>
        <v>0</v>
      </c>
      <c r="H90" s="284">
        <f t="shared" ca="1" si="30"/>
        <v>0</v>
      </c>
      <c r="I90" s="284">
        <f t="shared" ca="1" si="31"/>
        <v>0</v>
      </c>
      <c r="J90" s="284">
        <f t="shared" ca="1" si="32"/>
        <v>0</v>
      </c>
      <c r="K90" s="285">
        <f t="shared" ca="1" si="33"/>
        <v>0</v>
      </c>
      <c r="L90" s="290"/>
      <c r="M90" s="290"/>
      <c r="N90" s="290"/>
      <c r="O90" s="286"/>
      <c r="P90" s="286"/>
      <c r="Q90" s="267"/>
      <c r="R90" s="259"/>
      <c r="S90" s="287"/>
      <c r="T90" s="264"/>
      <c r="U90" s="264"/>
      <c r="V90" s="264"/>
    </row>
    <row r="91" spans="1:22" s="291" customFormat="1" ht="15">
      <c r="A91" s="259" t="b">
        <f ca="1">F91=G92</f>
        <v>1</v>
      </c>
      <c r="B91" s="408"/>
      <c r="C91" s="410"/>
      <c r="D91" s="281" t="str">
        <f ca="1">IF(ISERROR(OFFSET('HARGA SATUAN'!$D$6,MATCH(RAB!C91,'HARGA SATUAN'!$C$7:$C$1492,0),0)),"",OFFSET('HARGA SATUAN'!$D$6,MATCH(RAB!C91,'HARGA SATUAN'!$C$7:$C$1492,0),0))</f>
        <v/>
      </c>
      <c r="E91" s="282" t="str">
        <f ca="1">IF(B91="+","Unit",IF(ISERROR(OFFSET('HARGA SATUAN'!$E$6,MATCH(RAB!C91,'HARGA SATUAN'!$C$7:$C$1492,0),0)),"",OFFSET('HARGA SATUAN'!$E$6,MATCH(RAB!C91,'HARGA SATUAN'!$C$7:$C$1492,0),0)))</f>
        <v/>
      </c>
      <c r="F91" s="400"/>
      <c r="G91" s="283">
        <f ca="1">IF(ISERROR(OFFSET('HARGA SATUAN'!$I$6,MATCH(RAB!C91,'HARGA SATUAN'!$C$7:$C$1492,0),0)),0,OFFSET('HARGA SATUAN'!$I$6,MATCH(RAB!C91,'HARGA SATUAN'!$C$7:$C$1492,0),0))</f>
        <v>0</v>
      </c>
      <c r="H91" s="284">
        <f t="shared" ca="1" si="7"/>
        <v>0</v>
      </c>
      <c r="I91" s="284">
        <f t="shared" ca="1" si="8"/>
        <v>0</v>
      </c>
      <c r="J91" s="284">
        <f t="shared" ca="1" si="9"/>
        <v>0</v>
      </c>
      <c r="K91" s="285">
        <f t="shared" ca="1" si="10"/>
        <v>0</v>
      </c>
      <c r="L91" s="290"/>
      <c r="M91" s="290"/>
      <c r="N91" s="290"/>
      <c r="O91" s="286"/>
      <c r="P91" s="286"/>
      <c r="Q91" s="267"/>
      <c r="R91" s="259"/>
      <c r="S91" s="287"/>
      <c r="T91" s="264"/>
      <c r="U91" s="264"/>
      <c r="V91" s="264"/>
    </row>
    <row r="92" spans="1:22" s="291" customFormat="1" ht="15">
      <c r="A92" s="259" t="e">
        <f>IF(AND(C92=0,C93=0,#REF!=0),"BLANKS",1)</f>
        <v>#REF!</v>
      </c>
      <c r="B92" s="408"/>
      <c r="C92" s="410"/>
      <c r="D92" s="281" t="str">
        <f ca="1">IF(ISERROR(OFFSET('HARGA SATUAN'!$D$6,MATCH(RAB!C92,'HARGA SATUAN'!$C$7:$C$1492,0),0)),"",OFFSET('HARGA SATUAN'!$D$6,MATCH(RAB!C92,'HARGA SATUAN'!$C$7:$C$1492,0),0))</f>
        <v/>
      </c>
      <c r="E92" s="282" t="str">
        <f ca="1">IF(B92="+","Unit",IF(ISERROR(OFFSET('HARGA SATUAN'!$E$6,MATCH(RAB!C92,'HARGA SATUAN'!$C$7:$C$1492,0),0)),"",OFFSET('HARGA SATUAN'!$E$6,MATCH(RAB!C92,'HARGA SATUAN'!$C$7:$C$1492,0),0)))</f>
        <v/>
      </c>
      <c r="F92" s="400"/>
      <c r="G92" s="283">
        <f ca="1">IF(ISERROR(OFFSET('HARGA SATUAN'!$I$6,MATCH(RAB!C92,'HARGA SATUAN'!$C$7:$C$1492,0),0)),0,OFFSET('HARGA SATUAN'!$I$6,MATCH(RAB!C92,'HARGA SATUAN'!$C$7:$C$1492,0),0))</f>
        <v>0</v>
      </c>
      <c r="H92" s="284">
        <f t="shared" ca="1" si="7"/>
        <v>0</v>
      </c>
      <c r="I92" s="284">
        <f t="shared" ca="1" si="8"/>
        <v>0</v>
      </c>
      <c r="J92" s="284">
        <f t="shared" ca="1" si="9"/>
        <v>0</v>
      </c>
      <c r="K92" s="285">
        <f t="shared" ca="1" si="10"/>
        <v>0</v>
      </c>
      <c r="L92" s="290"/>
      <c r="M92" s="290"/>
      <c r="N92" s="290"/>
      <c r="O92" s="286"/>
      <c r="P92" s="286"/>
      <c r="Q92" s="267"/>
      <c r="R92" s="259"/>
      <c r="S92" s="287"/>
      <c r="T92" s="264"/>
      <c r="U92" s="264"/>
      <c r="V92" s="264"/>
    </row>
    <row r="93" spans="1:22" s="291" customFormat="1" ht="15">
      <c r="A93" s="259" t="e">
        <f>IF(AND(C93=0,#REF!=0,#REF!=0),"BLANKS",1)</f>
        <v>#REF!</v>
      </c>
      <c r="B93" s="408"/>
      <c r="C93" s="410"/>
      <c r="D93" s="281" t="str">
        <f ca="1">IF(ISERROR(OFFSET('HARGA SATUAN'!$D$6,MATCH(RAB!C93,'HARGA SATUAN'!$C$7:$C$1492,0),0)),"",OFFSET('HARGA SATUAN'!$D$6,MATCH(RAB!C93,'HARGA SATUAN'!$C$7:$C$1492,0),0))</f>
        <v/>
      </c>
      <c r="E93" s="282" t="str">
        <f ca="1">IF(B93="+","Unit",IF(ISERROR(OFFSET('HARGA SATUAN'!$E$6,MATCH(RAB!C93,'HARGA SATUAN'!$C$7:$C$1492,0),0)),"",OFFSET('HARGA SATUAN'!$E$6,MATCH(RAB!C93,'HARGA SATUAN'!$C$7:$C$1492,0),0)))</f>
        <v/>
      </c>
      <c r="F93" s="400"/>
      <c r="G93" s="283">
        <f ca="1">IF(ISERROR(OFFSET('HARGA SATUAN'!$I$6,MATCH(RAB!C93,'HARGA SATUAN'!$C$7:$C$1492,0),0)),0,OFFSET('HARGA SATUAN'!$I$6,MATCH(RAB!C93,'HARGA SATUAN'!$C$7:$C$1492,0),0))</f>
        <v>0</v>
      </c>
      <c r="H93" s="284">
        <f t="shared" ca="1" si="7"/>
        <v>0</v>
      </c>
      <c r="I93" s="284">
        <f t="shared" ca="1" si="8"/>
        <v>0</v>
      </c>
      <c r="J93" s="284">
        <f t="shared" ca="1" si="9"/>
        <v>0</v>
      </c>
      <c r="K93" s="285">
        <f t="shared" ca="1" si="10"/>
        <v>0</v>
      </c>
      <c r="L93" s="290"/>
      <c r="M93" s="290"/>
      <c r="N93" s="290"/>
      <c r="O93" s="286"/>
      <c r="P93" s="286"/>
      <c r="Q93" s="267"/>
      <c r="R93" s="259"/>
      <c r="S93" s="287"/>
      <c r="T93" s="264"/>
      <c r="U93" s="264"/>
      <c r="V93" s="264"/>
    </row>
    <row r="94" spans="1:22" s="291" customFormat="1" ht="15">
      <c r="A94" s="259" t="str">
        <f t="shared" ref="A94" si="34">IF(AND(C94=0,C95=0,C96=0),"BLANKS",1)</f>
        <v>BLANKS</v>
      </c>
      <c r="B94" s="293"/>
      <c r="C94" s="405"/>
      <c r="D94" s="281" t="str">
        <f ca="1">IF(ISERROR(OFFSET('HARGA SATUAN'!$D$6,MATCH(RAB!C94,'HARGA SATUAN'!$C$7:$C$1492,0),0)),"",OFFSET('HARGA SATUAN'!$D$6,MATCH(RAB!C94,'HARGA SATUAN'!$C$7:$C$1492,0),0))</f>
        <v/>
      </c>
      <c r="E94" s="282" t="str">
        <f ca="1">IF(B94="+","Unit",IF(ISERROR(OFFSET('HARGA SATUAN'!$E$6,MATCH(RAB!C94,'HARGA SATUAN'!$C$7:$C$1492,0),0)),"",OFFSET('HARGA SATUAN'!$E$6,MATCH(RAB!C94,'HARGA SATUAN'!$C$7:$C$1492,0),0)))</f>
        <v/>
      </c>
      <c r="F94" s="403"/>
      <c r="G94" s="283">
        <f ca="1">IF(ISERROR(OFFSET('HARGA SATUAN'!$I$6,MATCH(RAB!C94,'HARGA SATUAN'!$C$7:$C$1492,0),0)),0,OFFSET('HARGA SATUAN'!$I$6,MATCH(RAB!C94,'HARGA SATUAN'!$C$7:$C$1492,0),0))</f>
        <v>0</v>
      </c>
      <c r="H94" s="284">
        <f t="shared" ref="H94:H96" ca="1" si="35">IF(OR(D94="MDU",D94="MDU-KD"),(IF($O$3="RAB NON MDU","PLN KD",G94*F94)),0)</f>
        <v>0</v>
      </c>
      <c r="I94" s="284">
        <f t="shared" ref="I94:I96" ca="1" si="36">IF(D94="HDW",G94*F94,0)</f>
        <v>0</v>
      </c>
      <c r="J94" s="284">
        <f t="shared" ref="J94:J96" ca="1" si="37">IF(D94="JASA",G94*F94,0)</f>
        <v>0</v>
      </c>
      <c r="K94" s="285">
        <f t="shared" ref="K94:K96" ca="1" si="38">SUM(H94:J94)</f>
        <v>0</v>
      </c>
      <c r="L94" s="290"/>
      <c r="M94" s="290"/>
      <c r="N94" s="290"/>
      <c r="O94" s="286"/>
      <c r="P94" s="286"/>
      <c r="Q94" s="267"/>
      <c r="R94" s="259"/>
      <c r="S94" s="287"/>
      <c r="T94" s="264"/>
      <c r="U94" s="264"/>
      <c r="V94" s="264"/>
    </row>
    <row r="95" spans="1:22" s="291" customFormat="1" ht="15">
      <c r="A95" s="259" t="e">
        <f>IF(AND(C95=0,C96=0,#REF!=0),"BLANKS",1)</f>
        <v>#REF!</v>
      </c>
      <c r="B95" s="404"/>
      <c r="C95" s="405"/>
      <c r="D95" s="281" t="str">
        <f ca="1">IF(ISERROR(OFFSET('HARGA SATUAN'!$D$6,MATCH(RAB!C95,'HARGA SATUAN'!$C$7:$C$1492,0),0)),"",OFFSET('HARGA SATUAN'!$D$6,MATCH(RAB!C95,'HARGA SATUAN'!$C$7:$C$1492,0),0))</f>
        <v/>
      </c>
      <c r="E95" s="282" t="str">
        <f ca="1">IF(B95="+","Unit",IF(ISERROR(OFFSET('HARGA SATUAN'!$E$6,MATCH(RAB!C95,'HARGA SATUAN'!$C$7:$C$1492,0),0)),"",OFFSET('HARGA SATUAN'!$E$6,MATCH(RAB!C95,'HARGA SATUAN'!$C$7:$C$1492,0),0)))</f>
        <v/>
      </c>
      <c r="F95" s="403"/>
      <c r="G95" s="283">
        <f ca="1">IF(ISERROR(OFFSET('HARGA SATUAN'!$I$6,MATCH(RAB!C95,'HARGA SATUAN'!$C$7:$C$1492,0),0)),0,OFFSET('HARGA SATUAN'!$I$6,MATCH(RAB!C95,'HARGA SATUAN'!$C$7:$C$1492,0),0))</f>
        <v>0</v>
      </c>
      <c r="H95" s="284">
        <f t="shared" ca="1" si="35"/>
        <v>0</v>
      </c>
      <c r="I95" s="284">
        <f t="shared" ca="1" si="36"/>
        <v>0</v>
      </c>
      <c r="J95" s="284">
        <f t="shared" ca="1" si="37"/>
        <v>0</v>
      </c>
      <c r="K95" s="285">
        <f t="shared" ca="1" si="38"/>
        <v>0</v>
      </c>
      <c r="L95" s="290"/>
      <c r="M95" s="290"/>
      <c r="N95" s="290"/>
      <c r="O95" s="286"/>
      <c r="P95" s="286"/>
      <c r="Q95" s="267"/>
      <c r="R95" s="259"/>
      <c r="S95" s="287"/>
      <c r="T95" s="264"/>
      <c r="U95" s="264"/>
      <c r="V95" s="264"/>
    </row>
    <row r="96" spans="1:22" s="291" customFormat="1" ht="15">
      <c r="A96" s="259" t="e">
        <f>IF(AND(C96=0,#REF!=0,#REF!=0),"BLANKS",1)</f>
        <v>#REF!</v>
      </c>
      <c r="B96" s="408"/>
      <c r="C96" s="409"/>
      <c r="D96" s="281" t="str">
        <f ca="1">IF(ISERROR(OFFSET('HARGA SATUAN'!$D$6,MATCH(RAB!C96,'HARGA SATUAN'!$C$7:$C$1492,0),0)),"",OFFSET('HARGA SATUAN'!$D$6,MATCH(RAB!C96,'HARGA SATUAN'!$C$7:$C$1492,0),0))</f>
        <v/>
      </c>
      <c r="E96" s="282" t="str">
        <f ca="1">IF(B96="+","Unit",IF(ISERROR(OFFSET('HARGA SATUAN'!$E$6,MATCH(RAB!C96,'HARGA SATUAN'!$C$7:$C$1492,0),0)),"",OFFSET('HARGA SATUAN'!$E$6,MATCH(RAB!C96,'HARGA SATUAN'!$C$7:$C$1492,0),0)))</f>
        <v/>
      </c>
      <c r="F96" s="403"/>
      <c r="G96" s="283">
        <f ca="1">IF(ISERROR(OFFSET('HARGA SATUAN'!$I$6,MATCH(RAB!C96,'HARGA SATUAN'!$C$7:$C$1492,0),0)),0,OFFSET('HARGA SATUAN'!$I$6,MATCH(RAB!C96,'HARGA SATUAN'!$C$7:$C$1492,0),0))</f>
        <v>0</v>
      </c>
      <c r="H96" s="284">
        <f t="shared" ca="1" si="35"/>
        <v>0</v>
      </c>
      <c r="I96" s="284">
        <f t="shared" ca="1" si="36"/>
        <v>0</v>
      </c>
      <c r="J96" s="284">
        <f t="shared" ca="1" si="37"/>
        <v>0</v>
      </c>
      <c r="K96" s="285">
        <f t="shared" ca="1" si="38"/>
        <v>0</v>
      </c>
      <c r="L96" s="290"/>
      <c r="M96" s="290"/>
      <c r="N96" s="290"/>
      <c r="O96" s="286"/>
      <c r="P96" s="286"/>
      <c r="Q96" s="267"/>
      <c r="R96" s="259"/>
      <c r="S96" s="287"/>
      <c r="T96" s="264"/>
      <c r="U96" s="264"/>
      <c r="V96" s="264"/>
    </row>
    <row r="97" spans="1:22" s="291" customFormat="1" ht="15">
      <c r="A97" s="259"/>
      <c r="B97" s="408"/>
      <c r="C97" s="409"/>
      <c r="D97" s="281" t="str">
        <f ca="1">IF(ISERROR(OFFSET('HARGA SATUAN'!$D$6,MATCH(RAB!C97,'HARGA SATUAN'!$C$7:$C$1492,0),0)),"",OFFSET('HARGA SATUAN'!$D$6,MATCH(RAB!C97,'HARGA SATUAN'!$C$7:$C$1492,0),0))</f>
        <v/>
      </c>
      <c r="E97" s="282" t="str">
        <f ca="1">IF(B97="+","Unit",IF(ISERROR(OFFSET('HARGA SATUAN'!$E$6,MATCH(RAB!C97,'HARGA SATUAN'!$C$7:$C$1492,0),0)),"",OFFSET('HARGA SATUAN'!$E$6,MATCH(RAB!C97,'HARGA SATUAN'!$C$7:$C$1492,0),0)))</f>
        <v/>
      </c>
      <c r="F97" s="403"/>
      <c r="G97" s="283">
        <f ca="1">IF(ISERROR(OFFSET('HARGA SATUAN'!$I$6,MATCH(RAB!C97,'HARGA SATUAN'!$C$7:$C$1492,0),0)),0,OFFSET('HARGA SATUAN'!$I$6,MATCH(RAB!C97,'HARGA SATUAN'!$C$7:$C$1492,0),0))</f>
        <v>0</v>
      </c>
      <c r="H97" s="284">
        <f t="shared" ca="1" si="4"/>
        <v>0</v>
      </c>
      <c r="I97" s="284">
        <f t="shared" ca="1" si="5"/>
        <v>0</v>
      </c>
      <c r="J97" s="284">
        <f t="shared" ca="1" si="6"/>
        <v>0</v>
      </c>
      <c r="K97" s="285">
        <f t="shared" ca="1" si="3"/>
        <v>0</v>
      </c>
      <c r="L97" s="290"/>
      <c r="M97" s="290"/>
      <c r="N97" s="290"/>
      <c r="O97" s="286"/>
      <c r="P97" s="286"/>
      <c r="Q97" s="267"/>
      <c r="R97" s="259"/>
      <c r="S97" s="287"/>
      <c r="T97" s="264"/>
      <c r="U97" s="264"/>
      <c r="V97" s="264"/>
    </row>
    <row r="98" spans="1:22" s="291" customFormat="1" ht="15">
      <c r="A98" s="259" t="s">
        <v>1414</v>
      </c>
      <c r="B98" s="408"/>
      <c r="C98" s="409"/>
      <c r="D98" s="281" t="str">
        <f ca="1">IF(ISERROR(OFFSET('HARGA SATUAN'!$D$6,MATCH(RAB!C98,'HARGA SATUAN'!$C$7:$C$1492,0),0)),"",OFFSET('HARGA SATUAN'!$D$6,MATCH(RAB!C98,'HARGA SATUAN'!$C$7:$C$1492,0),0))</f>
        <v/>
      </c>
      <c r="E98" s="282" t="str">
        <f ca="1">IF(B98="+","Unit",IF(ISERROR(OFFSET('HARGA SATUAN'!$E$6,MATCH(RAB!C98,'HARGA SATUAN'!$C$7:$C$1492,0),0)),"",OFFSET('HARGA SATUAN'!$E$6,MATCH(RAB!C98,'HARGA SATUAN'!$C$7:$C$1492,0),0)))</f>
        <v/>
      </c>
      <c r="F98" s="403"/>
      <c r="G98" s="283">
        <f ca="1">IF(ISERROR(OFFSET('HARGA SATUAN'!$I$6,MATCH(RAB!C98,'HARGA SATUAN'!$C$7:$C$1492,0),0)),0,OFFSET('HARGA SATUAN'!$I$6,MATCH(RAB!C98,'HARGA SATUAN'!$C$7:$C$1492,0),0))</f>
        <v>0</v>
      </c>
      <c r="H98" s="284">
        <f t="shared" ref="H98:H101" ca="1" si="39">IF(OR(D98="MDU",D98="MDU-KD"),(IF($O$3="RAB NON MDU","PLN KD",G98*F98)),0)</f>
        <v>0</v>
      </c>
      <c r="I98" s="284">
        <f t="shared" ref="I98:I101" ca="1" si="40">IF(D98="HDW",G98*F98,0)</f>
        <v>0</v>
      </c>
      <c r="J98" s="284">
        <f t="shared" ref="J98:J101" ca="1" si="41">IF(D98="JASA",G98*F98,0)</f>
        <v>0</v>
      </c>
      <c r="K98" s="285">
        <f t="shared" ref="K98:K101" ca="1" si="42">SUM(H98:J98)</f>
        <v>0</v>
      </c>
      <c r="L98" s="290"/>
      <c r="M98" s="290"/>
      <c r="N98" s="290"/>
      <c r="O98" s="286"/>
      <c r="P98" s="286"/>
      <c r="Q98" s="267"/>
      <c r="R98" s="259"/>
      <c r="S98" s="287"/>
      <c r="T98" s="264"/>
      <c r="U98" s="264"/>
      <c r="V98" s="264"/>
    </row>
    <row r="99" spans="1:22" s="291" customFormat="1" ht="15">
      <c r="A99" s="259" t="e">
        <f>IF(AND(C99=0,#REF!=0,#REF!=0),"BLANKS",1)</f>
        <v>#REF!</v>
      </c>
      <c r="B99" s="408"/>
      <c r="C99" s="409"/>
      <c r="D99" s="281" t="str">
        <f ca="1">IF(ISERROR(OFFSET('HARGA SATUAN'!$D$6,MATCH(RAB!C99,'HARGA SATUAN'!$C$7:$C$1492,0),0)),"",OFFSET('HARGA SATUAN'!$D$6,MATCH(RAB!C99,'HARGA SATUAN'!$C$7:$C$1492,0),0))</f>
        <v/>
      </c>
      <c r="E99" s="282" t="str">
        <f ca="1">IF(B99="+","Unit",IF(ISERROR(OFFSET('HARGA SATUAN'!$E$6,MATCH(RAB!C99,'HARGA SATUAN'!$C$7:$C$1492,0),0)),"",OFFSET('HARGA SATUAN'!$E$6,MATCH(RAB!C99,'HARGA SATUAN'!$C$7:$C$1492,0),0)))</f>
        <v/>
      </c>
      <c r="F99" s="403"/>
      <c r="G99" s="283">
        <f ca="1">IF(ISERROR(OFFSET('HARGA SATUAN'!$I$6,MATCH(RAB!C99,'HARGA SATUAN'!$C$7:$C$1492,0),0)),0,OFFSET('HARGA SATUAN'!$I$6,MATCH(RAB!C99,'HARGA SATUAN'!$C$7:$C$1492,0),0))</f>
        <v>0</v>
      </c>
      <c r="H99" s="284">
        <f t="shared" ca="1" si="39"/>
        <v>0</v>
      </c>
      <c r="I99" s="284">
        <f t="shared" ca="1" si="40"/>
        <v>0</v>
      </c>
      <c r="J99" s="284">
        <f t="shared" ca="1" si="41"/>
        <v>0</v>
      </c>
      <c r="K99" s="285">
        <f t="shared" ca="1" si="42"/>
        <v>0</v>
      </c>
      <c r="L99" s="290"/>
      <c r="M99" s="290"/>
      <c r="N99" s="290"/>
      <c r="O99" s="286"/>
      <c r="P99" s="286"/>
      <c r="Q99" s="267"/>
      <c r="R99" s="259"/>
      <c r="S99" s="287"/>
      <c r="T99" s="264"/>
      <c r="U99" s="264"/>
      <c r="V99" s="264"/>
    </row>
    <row r="100" spans="1:22" s="291" customFormat="1" ht="15">
      <c r="A100" s="259" t="s">
        <v>1414</v>
      </c>
      <c r="B100" s="408"/>
      <c r="C100" s="409"/>
      <c r="D100" s="281" t="str">
        <f ca="1">IF(ISERROR(OFFSET('HARGA SATUAN'!$D$6,MATCH(RAB!C100,'HARGA SATUAN'!$C$7:$C$1492,0),0)),"",OFFSET('HARGA SATUAN'!$D$6,MATCH(RAB!C100,'HARGA SATUAN'!$C$7:$C$1492,0),0))</f>
        <v/>
      </c>
      <c r="E100" s="282" t="str">
        <f ca="1">IF(B100="+","Unit",IF(ISERROR(OFFSET('HARGA SATUAN'!$E$6,MATCH(RAB!C100,'HARGA SATUAN'!$C$7:$C$1492,0),0)),"",OFFSET('HARGA SATUAN'!$E$6,MATCH(RAB!C100,'HARGA SATUAN'!$C$7:$C$1492,0),0)))</f>
        <v/>
      </c>
      <c r="F100" s="403"/>
      <c r="G100" s="283">
        <f ca="1">IF(ISERROR(OFFSET('HARGA SATUAN'!$I$6,MATCH(RAB!C100,'HARGA SATUAN'!$C$7:$C$1492,0),0)),0,OFFSET('HARGA SATUAN'!$I$6,MATCH(RAB!C100,'HARGA SATUAN'!$C$7:$C$1492,0),0))</f>
        <v>0</v>
      </c>
      <c r="H100" s="284">
        <f t="shared" ca="1" si="39"/>
        <v>0</v>
      </c>
      <c r="I100" s="284">
        <f t="shared" ca="1" si="40"/>
        <v>0</v>
      </c>
      <c r="J100" s="284">
        <f t="shared" ca="1" si="41"/>
        <v>0</v>
      </c>
      <c r="K100" s="285">
        <f t="shared" ca="1" si="42"/>
        <v>0</v>
      </c>
      <c r="L100" s="290"/>
      <c r="M100" s="290"/>
      <c r="N100" s="290"/>
      <c r="O100" s="286"/>
      <c r="P100" s="286"/>
      <c r="Q100" s="267"/>
      <c r="R100" s="259"/>
      <c r="S100" s="287"/>
      <c r="T100" s="264"/>
      <c r="U100" s="264"/>
      <c r="V100" s="264"/>
    </row>
    <row r="101" spans="1:22" s="291" customFormat="1" ht="15">
      <c r="A101" s="259" t="e">
        <f>IF(AND(C101=0,#REF!=0,#REF!=0),"BLANKS",1)</f>
        <v>#REF!</v>
      </c>
      <c r="B101" s="408"/>
      <c r="C101" s="409"/>
      <c r="D101" s="281" t="str">
        <f ca="1">IF(ISERROR(OFFSET('HARGA SATUAN'!$D$6,MATCH(RAB!C101,'HARGA SATUAN'!$C$7:$C$1492,0),0)),"",OFFSET('HARGA SATUAN'!$D$6,MATCH(RAB!C101,'HARGA SATUAN'!$C$7:$C$1492,0),0))</f>
        <v/>
      </c>
      <c r="E101" s="282" t="str">
        <f ca="1">IF(B101="+","Unit",IF(ISERROR(OFFSET('HARGA SATUAN'!$E$6,MATCH(RAB!C101,'HARGA SATUAN'!$C$7:$C$1492,0),0)),"",OFFSET('HARGA SATUAN'!$E$6,MATCH(RAB!C101,'HARGA SATUAN'!$C$7:$C$1492,0),0)))</f>
        <v/>
      </c>
      <c r="F101" s="403"/>
      <c r="G101" s="283">
        <f ca="1">IF(ISERROR(OFFSET('HARGA SATUAN'!$I$6,MATCH(RAB!C101,'HARGA SATUAN'!$C$7:$C$1492,0),0)),0,OFFSET('HARGA SATUAN'!$I$6,MATCH(RAB!C101,'HARGA SATUAN'!$C$7:$C$1492,0),0))</f>
        <v>0</v>
      </c>
      <c r="H101" s="284">
        <f t="shared" ca="1" si="39"/>
        <v>0</v>
      </c>
      <c r="I101" s="284">
        <f t="shared" ca="1" si="40"/>
        <v>0</v>
      </c>
      <c r="J101" s="284">
        <f t="shared" ca="1" si="41"/>
        <v>0</v>
      </c>
      <c r="K101" s="285">
        <f t="shared" ca="1" si="42"/>
        <v>0</v>
      </c>
      <c r="L101" s="290"/>
      <c r="M101" s="290"/>
      <c r="N101" s="290"/>
      <c r="O101" s="286"/>
      <c r="P101" s="286"/>
      <c r="Q101" s="267"/>
      <c r="R101" s="259"/>
      <c r="S101" s="287"/>
      <c r="T101" s="264"/>
      <c r="U101" s="264"/>
      <c r="V101" s="264"/>
    </row>
    <row r="102" spans="1:22" s="291" customFormat="1" ht="15">
      <c r="A102" s="259"/>
      <c r="B102" s="408"/>
      <c r="C102" s="409"/>
      <c r="D102" s="281" t="str">
        <f ca="1">IF(ISERROR(OFFSET('HARGA SATUAN'!$D$6,MATCH(RAB!C102,'HARGA SATUAN'!$C$7:$C$1492,0),0)),"",OFFSET('HARGA SATUAN'!$D$6,MATCH(RAB!C102,'HARGA SATUAN'!$C$7:$C$1492,0),0))</f>
        <v/>
      </c>
      <c r="E102" s="282"/>
      <c r="F102" s="403"/>
      <c r="G102" s="283"/>
      <c r="H102" s="284"/>
      <c r="I102" s="284"/>
      <c r="J102" s="284"/>
      <c r="K102" s="285"/>
      <c r="L102" s="290"/>
      <c r="M102" s="290"/>
      <c r="N102" s="290"/>
      <c r="O102" s="286"/>
      <c r="P102" s="286"/>
      <c r="Q102" s="267"/>
      <c r="R102" s="259"/>
      <c r="S102" s="287"/>
      <c r="T102" s="264"/>
      <c r="U102" s="264"/>
      <c r="V102" s="264"/>
    </row>
    <row r="103" spans="1:22" s="291" customFormat="1" ht="15">
      <c r="A103" s="259" t="e">
        <f>IF(AND(#REF!=0,#REF!=0,#REF!=0),"BLANKS",1)</f>
        <v>#REF!</v>
      </c>
      <c r="B103" s="408"/>
      <c r="C103" s="409"/>
      <c r="D103" s="281" t="str">
        <f ca="1">IF(ISERROR(OFFSET('HARGA SATUAN'!$D$6,MATCH(RAB!C103,'HARGA SATUAN'!$C$7:$C$1492,0),0)),"",OFFSET('HARGA SATUAN'!$D$6,MATCH(RAB!C103,'HARGA SATUAN'!$C$7:$C$1492,0),0))</f>
        <v/>
      </c>
      <c r="E103" s="282" t="str">
        <f ca="1">IF(B103="+","Unit",IF(ISERROR(OFFSET('HARGA SATUAN'!$E$6,MATCH(RAB!C103,'HARGA SATUAN'!$C$7:$C$1492,0),0)),"",OFFSET('HARGA SATUAN'!$E$6,MATCH(RAB!C103,'HARGA SATUAN'!$C$7:$C$1492,0),0)))</f>
        <v/>
      </c>
      <c r="F103" s="403"/>
      <c r="G103" s="283">
        <f ca="1">IF(ISERROR(OFFSET('HARGA SATUAN'!$I$6,MATCH(RAB!C103,'HARGA SATUAN'!$C$7:$C$1492,0),0)),0,OFFSET('HARGA SATUAN'!$I$6,MATCH(RAB!C103,'HARGA SATUAN'!$C$7:$C$1492,0),0))</f>
        <v>0</v>
      </c>
      <c r="H103" s="284">
        <f t="shared" ref="H103:H112" ca="1" si="43">IF(OR(D103="MDU",D103="MDU-KD"),(IF($O$3="RAB NON MDU","PLN KD",G103*F103)),0)</f>
        <v>0</v>
      </c>
      <c r="I103" s="284">
        <f t="shared" ref="I103:I112" ca="1" si="44">IF(D103="HDW",G103*F103,0)</f>
        <v>0</v>
      </c>
      <c r="J103" s="284">
        <f t="shared" ref="J103:J112" ca="1" si="45">IF(D103="JASA",G103*F103,0)</f>
        <v>0</v>
      </c>
      <c r="K103" s="285">
        <f t="shared" ref="K103:K112" ca="1" si="46">SUM(H103:J103)</f>
        <v>0</v>
      </c>
      <c r="L103" s="290"/>
      <c r="M103" s="290"/>
      <c r="N103" s="290"/>
      <c r="O103" s="286"/>
      <c r="P103" s="286"/>
      <c r="Q103" s="267"/>
      <c r="R103" s="259"/>
      <c r="S103" s="287"/>
      <c r="T103" s="264"/>
      <c r="U103" s="264"/>
      <c r="V103" s="264"/>
    </row>
    <row r="104" spans="1:22" s="291" customFormat="1" ht="15">
      <c r="A104" s="259" t="e">
        <f>IF(AND(#REF!=0,#REF!=0,#REF!=0),"BLANKS",1)</f>
        <v>#REF!</v>
      </c>
      <c r="B104" s="408"/>
      <c r="C104" s="409"/>
      <c r="D104" s="281" t="str">
        <f ca="1">IF(ISERROR(OFFSET('HARGA SATUAN'!$D$6,MATCH(RAB!C104,'HARGA SATUAN'!$C$7:$C$1492,0),0)),"",OFFSET('HARGA SATUAN'!$D$6,MATCH(RAB!C104,'HARGA SATUAN'!$C$7:$C$1492,0),0))</f>
        <v/>
      </c>
      <c r="E104" s="282" t="str">
        <f ca="1">IF(B104="+","Unit",IF(ISERROR(OFFSET('HARGA SATUAN'!$E$6,MATCH(RAB!C104,'HARGA SATUAN'!$C$7:$C$1492,0),0)),"",OFFSET('HARGA SATUAN'!$E$6,MATCH(RAB!C104,'HARGA SATUAN'!$C$7:$C$1492,0),0)))</f>
        <v/>
      </c>
      <c r="F104" s="403"/>
      <c r="G104" s="283">
        <f ca="1">IF(ISERROR(OFFSET('HARGA SATUAN'!$I$6,MATCH(RAB!C104,'HARGA SATUAN'!$C$7:$C$1492,0),0)),0,OFFSET('HARGA SATUAN'!$I$6,MATCH(RAB!C104,'HARGA SATUAN'!$C$7:$C$1492,0),0))</f>
        <v>0</v>
      </c>
      <c r="H104" s="284">
        <f t="shared" ca="1" si="43"/>
        <v>0</v>
      </c>
      <c r="I104" s="284">
        <f t="shared" ca="1" si="44"/>
        <v>0</v>
      </c>
      <c r="J104" s="284">
        <f t="shared" ca="1" si="45"/>
        <v>0</v>
      </c>
      <c r="K104" s="285">
        <f t="shared" ca="1" si="46"/>
        <v>0</v>
      </c>
      <c r="L104" s="290"/>
      <c r="M104" s="290"/>
      <c r="N104" s="290"/>
      <c r="O104" s="286"/>
      <c r="P104" s="286"/>
      <c r="Q104" s="267"/>
      <c r="R104" s="259"/>
      <c r="S104" s="287"/>
      <c r="T104" s="264"/>
      <c r="U104" s="264"/>
      <c r="V104" s="264"/>
    </row>
    <row r="105" spans="1:22" s="291" customFormat="1" ht="15">
      <c r="A105" s="259"/>
      <c r="B105" s="408"/>
      <c r="C105" s="409"/>
      <c r="D105" s="281" t="str">
        <f ca="1">IF(ISERROR(OFFSET('HARGA SATUAN'!$D$6,MATCH(RAB!C105,'HARGA SATUAN'!$C$7:$C$1492,0),0)),"",OFFSET('HARGA SATUAN'!$D$6,MATCH(RAB!C105,'HARGA SATUAN'!$C$7:$C$1492,0),0))</f>
        <v/>
      </c>
      <c r="E105" s="282" t="str">
        <f ca="1">IF(B105="+","Unit",IF(ISERROR(OFFSET('HARGA SATUAN'!$E$6,MATCH(RAB!C105,'HARGA SATUAN'!$C$7:$C$1492,0),0)),"",OFFSET('HARGA SATUAN'!$E$6,MATCH(RAB!C105,'HARGA SATUAN'!$C$7:$C$1492,0),0)))</f>
        <v/>
      </c>
      <c r="F105" s="390"/>
      <c r="G105" s="283">
        <f ca="1">IF(ISERROR(OFFSET('HARGA SATUAN'!$I$6,MATCH(RAB!C105,'HARGA SATUAN'!$C$7:$C$1492,0),0)),0,OFFSET('HARGA SATUAN'!$I$6,MATCH(RAB!C105,'HARGA SATUAN'!$C$7:$C$1492,0),0))</f>
        <v>0</v>
      </c>
      <c r="H105" s="284">
        <f t="shared" ca="1" si="43"/>
        <v>0</v>
      </c>
      <c r="I105" s="284">
        <f t="shared" ca="1" si="44"/>
        <v>0</v>
      </c>
      <c r="J105" s="284">
        <f t="shared" ca="1" si="45"/>
        <v>0</v>
      </c>
      <c r="K105" s="285">
        <f t="shared" ca="1" si="46"/>
        <v>0</v>
      </c>
      <c r="L105" s="290"/>
      <c r="M105" s="290"/>
      <c r="N105" s="290"/>
      <c r="O105" s="286"/>
      <c r="P105" s="286"/>
      <c r="Q105" s="267"/>
      <c r="R105" s="259"/>
      <c r="S105" s="287"/>
      <c r="T105" s="264"/>
      <c r="U105" s="264"/>
      <c r="V105" s="264"/>
    </row>
    <row r="106" spans="1:22" s="291" customFormat="1" ht="15">
      <c r="A106" s="259" t="str">
        <f>IF(AND(C124=0,C125=0,C126=0),"BLANKS",1)</f>
        <v>BLANKS</v>
      </c>
      <c r="B106" s="408"/>
      <c r="C106" s="409"/>
      <c r="D106" s="281" t="str">
        <f ca="1">IF(ISERROR(OFFSET('HARGA SATUAN'!$D$6,MATCH(RAB!C106,'HARGA SATUAN'!$C$7:$C$1492,0),0)),"",OFFSET('HARGA SATUAN'!$D$6,MATCH(RAB!C106,'HARGA SATUAN'!$C$7:$C$1492,0),0))</f>
        <v/>
      </c>
      <c r="E106" s="282" t="str">
        <f ca="1">IF(B106="+","Unit",IF(ISERROR(OFFSET('HARGA SATUAN'!$E$6,MATCH(RAB!C106,'HARGA SATUAN'!$C$7:$C$1492,0),0)),"",OFFSET('HARGA SATUAN'!$E$6,MATCH(RAB!C106,'HARGA SATUAN'!$C$7:$C$1492,0),0)))</f>
        <v/>
      </c>
      <c r="F106" s="390"/>
      <c r="G106" s="283">
        <f ca="1">IF(ISERROR(OFFSET('HARGA SATUAN'!$I$6,MATCH(RAB!C106,'HARGA SATUAN'!$C$7:$C$1492,0),0)),0,OFFSET('HARGA SATUAN'!$I$6,MATCH(RAB!C106,'HARGA SATUAN'!$C$7:$C$1492,0),0))</f>
        <v>0</v>
      </c>
      <c r="H106" s="284">
        <f t="shared" ca="1" si="43"/>
        <v>0</v>
      </c>
      <c r="I106" s="284">
        <f t="shared" ca="1" si="44"/>
        <v>0</v>
      </c>
      <c r="J106" s="284">
        <f t="shared" ca="1" si="45"/>
        <v>0</v>
      </c>
      <c r="K106" s="285">
        <f t="shared" ca="1" si="46"/>
        <v>0</v>
      </c>
      <c r="L106" s="290"/>
      <c r="M106" s="290"/>
      <c r="N106" s="290"/>
      <c r="O106" s="267"/>
      <c r="P106" s="267"/>
      <c r="Q106" s="267"/>
      <c r="R106" s="259"/>
      <c r="S106" s="287"/>
      <c r="T106" s="264"/>
      <c r="U106" s="264"/>
      <c r="V106" s="264"/>
    </row>
    <row r="107" spans="1:22" s="291" customFormat="1" ht="15">
      <c r="A107" s="259" t="str">
        <f>IF(AND(C125=0,C126=0,C127=0),"BLANKS",1)</f>
        <v>BLANKS</v>
      </c>
      <c r="B107" s="408"/>
      <c r="C107" s="409"/>
      <c r="D107" s="281" t="str">
        <f ca="1">IF(ISERROR(OFFSET('HARGA SATUAN'!$D$6,MATCH(RAB!C107,'HARGA SATUAN'!$C$7:$C$1492,0),0)),"",OFFSET('HARGA SATUAN'!$D$6,MATCH(RAB!C107,'HARGA SATUAN'!$C$7:$C$1492,0),0))</f>
        <v/>
      </c>
      <c r="E107" s="282" t="str">
        <f ca="1">IF(B107="+","Unit",IF(ISERROR(OFFSET('HARGA SATUAN'!$E$6,MATCH(RAB!C107,'HARGA SATUAN'!$C$7:$C$1492,0),0)),"",OFFSET('HARGA SATUAN'!$E$6,MATCH(RAB!C107,'HARGA SATUAN'!$C$7:$C$1492,0),0)))</f>
        <v/>
      </c>
      <c r="F107" s="390"/>
      <c r="G107" s="283">
        <f ca="1">IF(ISERROR(OFFSET('HARGA SATUAN'!$I$6,MATCH(RAB!C107,'HARGA SATUAN'!$C$7:$C$1492,0),0)),0,OFFSET('HARGA SATUAN'!$I$6,MATCH(RAB!C107,'HARGA SATUAN'!$C$7:$C$1492,0),0))</f>
        <v>0</v>
      </c>
      <c r="H107" s="284">
        <f t="shared" ca="1" si="43"/>
        <v>0</v>
      </c>
      <c r="I107" s="284">
        <f t="shared" ca="1" si="44"/>
        <v>0</v>
      </c>
      <c r="J107" s="284">
        <f t="shared" ca="1" si="45"/>
        <v>0</v>
      </c>
      <c r="K107" s="285">
        <f t="shared" ca="1" si="46"/>
        <v>0</v>
      </c>
      <c r="L107" s="290"/>
      <c r="M107" s="290"/>
      <c r="N107" s="290"/>
      <c r="O107" s="267"/>
      <c r="P107" s="267"/>
      <c r="Q107" s="267"/>
      <c r="R107" s="259"/>
      <c r="S107" s="287"/>
      <c r="T107" s="264"/>
      <c r="U107" s="264"/>
      <c r="V107" s="264"/>
    </row>
    <row r="108" spans="1:22" s="291" customFormat="1" ht="15">
      <c r="A108" s="259" t="str">
        <f>IF(AND(C126=0,C127=0,C128=0),"BLANKS",1)</f>
        <v>BLANKS</v>
      </c>
      <c r="B108" s="408"/>
      <c r="C108" s="409"/>
      <c r="D108" s="281" t="str">
        <f ca="1">IF(ISERROR(OFFSET('HARGA SATUAN'!$D$6,MATCH(RAB!C108,'HARGA SATUAN'!$C$7:$C$1492,0),0)),"",OFFSET('HARGA SATUAN'!$D$6,MATCH(RAB!C108,'HARGA SATUAN'!$C$7:$C$1492,0),0))</f>
        <v/>
      </c>
      <c r="E108" s="282" t="str">
        <f ca="1">IF(B108="+","Unit",IF(ISERROR(OFFSET('HARGA SATUAN'!$E$6,MATCH(RAB!C108,'HARGA SATUAN'!$C$7:$C$1492,0),0)),"",OFFSET('HARGA SATUAN'!$E$6,MATCH(RAB!C108,'HARGA SATUAN'!$C$7:$C$1492,0),0)))</f>
        <v/>
      </c>
      <c r="F108" s="390"/>
      <c r="G108" s="283">
        <f ca="1">IF(ISERROR(OFFSET('HARGA SATUAN'!$I$6,MATCH(RAB!C108,'HARGA SATUAN'!$C$7:$C$1492,0),0)),0,OFFSET('HARGA SATUAN'!$I$6,MATCH(RAB!C108,'HARGA SATUAN'!$C$7:$C$1492,0),0))</f>
        <v>0</v>
      </c>
      <c r="H108" s="284">
        <f t="shared" ca="1" si="43"/>
        <v>0</v>
      </c>
      <c r="I108" s="284">
        <f t="shared" ca="1" si="44"/>
        <v>0</v>
      </c>
      <c r="J108" s="284">
        <f t="shared" ca="1" si="45"/>
        <v>0</v>
      </c>
      <c r="K108" s="285">
        <f t="shared" ca="1" si="46"/>
        <v>0</v>
      </c>
      <c r="L108" s="290"/>
      <c r="M108" s="290"/>
      <c r="N108" s="290"/>
      <c r="O108" s="267"/>
      <c r="P108" s="267"/>
      <c r="Q108" s="267"/>
      <c r="R108" s="267"/>
      <c r="S108" s="264"/>
      <c r="T108" s="264"/>
      <c r="U108" s="264"/>
      <c r="V108" s="264"/>
    </row>
    <row r="109" spans="1:22" s="291" customFormat="1" ht="15" customHeight="1">
      <c r="A109" s="259"/>
      <c r="B109" s="408"/>
      <c r="C109" s="409"/>
      <c r="D109" s="281" t="str">
        <f ca="1">IF(ISERROR(OFFSET('HARGA SATUAN'!$D$6,MATCH(RAB!C109,'HARGA SATUAN'!$C$7:$C$1492,0),0)),"",OFFSET('HARGA SATUAN'!$D$6,MATCH(RAB!C109,'HARGA SATUAN'!$C$7:$C$1492,0),0))</f>
        <v/>
      </c>
      <c r="E109" s="282" t="str">
        <f ca="1">IF(B109="+","Unit",IF(ISERROR(OFFSET('HARGA SATUAN'!$E$6,MATCH(RAB!C109,'HARGA SATUAN'!$C$7:$C$1492,0),0)),"",OFFSET('HARGA SATUAN'!$E$6,MATCH(RAB!C109,'HARGA SATUAN'!$C$7:$C$1492,0),0)))</f>
        <v/>
      </c>
      <c r="F109" s="390"/>
      <c r="G109" s="283">
        <f ca="1">IF(ISERROR(OFFSET('HARGA SATUAN'!$I$6,MATCH(RAB!C109,'HARGA SATUAN'!$C$7:$C$1492,0),0)),0,OFFSET('HARGA SATUAN'!$I$6,MATCH(RAB!C109,'HARGA SATUAN'!$C$7:$C$1492,0),0))</f>
        <v>0</v>
      </c>
      <c r="H109" s="284">
        <f t="shared" ca="1" si="43"/>
        <v>0</v>
      </c>
      <c r="I109" s="284">
        <f t="shared" ca="1" si="44"/>
        <v>0</v>
      </c>
      <c r="J109" s="284">
        <f t="shared" ca="1" si="45"/>
        <v>0</v>
      </c>
      <c r="K109" s="285">
        <f t="shared" ca="1" si="46"/>
        <v>0</v>
      </c>
      <c r="L109" s="265"/>
      <c r="M109" s="290"/>
      <c r="N109" s="290"/>
      <c r="O109" s="267"/>
      <c r="P109" s="267"/>
      <c r="Q109" s="267"/>
      <c r="R109" s="267"/>
      <c r="S109" s="267"/>
    </row>
    <row r="110" spans="1:22" s="288" customFormat="1" ht="30" customHeight="1">
      <c r="A110" s="259"/>
      <c r="B110" s="408"/>
      <c r="C110" s="409"/>
      <c r="D110" s="281" t="str">
        <f ca="1">IF(ISERROR(OFFSET('HARGA SATUAN'!$D$6,MATCH(RAB!C110,'HARGA SATUAN'!$C$7:$C$1492,0),0)),"",OFFSET('HARGA SATUAN'!$D$6,MATCH(RAB!C110,'HARGA SATUAN'!$C$7:$C$1492,0),0))</f>
        <v/>
      </c>
      <c r="E110" s="282" t="str">
        <f ca="1">IF(B110="+","Unit",IF(ISERROR(OFFSET('HARGA SATUAN'!$E$6,MATCH(RAB!C110,'HARGA SATUAN'!$C$7:$C$1492,0),0)),"",OFFSET('HARGA SATUAN'!$E$6,MATCH(RAB!C110,'HARGA SATUAN'!$C$7:$C$1492,0),0)))</f>
        <v/>
      </c>
      <c r="F110" s="390"/>
      <c r="G110" s="283">
        <f ca="1">IF(ISERROR(OFFSET('HARGA SATUAN'!$I$6,MATCH(RAB!C110,'HARGA SATUAN'!$C$7:$C$1492,0),0)),0,OFFSET('HARGA SATUAN'!$I$6,MATCH(RAB!C110,'HARGA SATUAN'!$C$7:$C$1492,0),0))</f>
        <v>0</v>
      </c>
      <c r="H110" s="284">
        <f t="shared" ca="1" si="43"/>
        <v>0</v>
      </c>
      <c r="I110" s="284">
        <f t="shared" ca="1" si="44"/>
        <v>0</v>
      </c>
      <c r="J110" s="284">
        <f t="shared" ca="1" si="45"/>
        <v>0</v>
      </c>
      <c r="K110" s="285">
        <f t="shared" ca="1" si="46"/>
        <v>0</v>
      </c>
      <c r="L110" s="265"/>
      <c r="M110" s="265"/>
      <c r="N110" s="290"/>
      <c r="O110" s="267"/>
      <c r="P110" s="267"/>
      <c r="Q110" s="318"/>
      <c r="R110" s="267"/>
      <c r="S110" s="318"/>
      <c r="T110" s="319"/>
      <c r="U110" s="319"/>
      <c r="V110" s="319"/>
    </row>
    <row r="111" spans="1:22" s="288" customFormat="1" ht="15">
      <c r="A111" s="259"/>
      <c r="B111" s="408"/>
      <c r="C111" s="409"/>
      <c r="D111" s="281" t="str">
        <f ca="1">IF(ISERROR(OFFSET('HARGA SATUAN'!$D$6,MATCH(RAB!C111,'HARGA SATUAN'!$C$7:$C$1492,0),0)),"",OFFSET('HARGA SATUAN'!$D$6,MATCH(RAB!C111,'HARGA SATUAN'!$C$7:$C$1492,0),0))</f>
        <v/>
      </c>
      <c r="E111" s="282" t="str">
        <f ca="1">IF(B111="+","Unit",IF(ISERROR(OFFSET('HARGA SATUAN'!$E$6,MATCH(RAB!C111,'HARGA SATUAN'!$C$7:$C$1492,0),0)),"",OFFSET('HARGA SATUAN'!$E$6,MATCH(RAB!C111,'HARGA SATUAN'!$C$7:$C$1492,0),0)))</f>
        <v/>
      </c>
      <c r="F111" s="390"/>
      <c r="G111" s="283">
        <f ca="1">IF(ISERROR(OFFSET('HARGA SATUAN'!$I$6,MATCH(RAB!C111,'HARGA SATUAN'!$C$7:$C$1492,0),0)),0,OFFSET('HARGA SATUAN'!$I$6,MATCH(RAB!C111,'HARGA SATUAN'!$C$7:$C$1492,0),0))</f>
        <v>0</v>
      </c>
      <c r="H111" s="284">
        <f t="shared" ca="1" si="43"/>
        <v>0</v>
      </c>
      <c r="I111" s="284">
        <f t="shared" ca="1" si="44"/>
        <v>0</v>
      </c>
      <c r="J111" s="284">
        <f t="shared" ca="1" si="45"/>
        <v>0</v>
      </c>
      <c r="K111" s="285">
        <f t="shared" ca="1" si="46"/>
        <v>0</v>
      </c>
      <c r="L111" s="265"/>
      <c r="M111" s="265"/>
      <c r="N111" s="290"/>
      <c r="O111" s="267"/>
      <c r="P111" s="267"/>
      <c r="Q111" s="267"/>
      <c r="R111" s="267"/>
      <c r="S111" s="267"/>
      <c r="T111" s="323"/>
      <c r="U111" s="323"/>
      <c r="V111" s="323"/>
    </row>
    <row r="112" spans="1:22" s="288" customFormat="1" ht="15">
      <c r="A112" s="259"/>
      <c r="B112" s="408"/>
      <c r="C112" s="409"/>
      <c r="D112" s="281" t="str">
        <f ca="1">IF(ISERROR(OFFSET('HARGA SATUAN'!$D$6,MATCH(RAB!C112,'HARGA SATUAN'!$C$7:$C$1492,0),0)),"",OFFSET('HARGA SATUAN'!$D$6,MATCH(RAB!C112,'HARGA SATUAN'!$C$7:$C$1492,0),0))</f>
        <v/>
      </c>
      <c r="E112" s="282" t="str">
        <f ca="1">IF(B112="+","Unit",IF(ISERROR(OFFSET('HARGA SATUAN'!$E$6,MATCH(RAB!C112,'HARGA SATUAN'!$C$7:$C$1492,0),0)),"",OFFSET('HARGA SATUAN'!$E$6,MATCH(RAB!C112,'HARGA SATUAN'!$C$7:$C$1492,0),0)))</f>
        <v/>
      </c>
      <c r="F112" s="390"/>
      <c r="G112" s="283">
        <f ca="1">IF(ISERROR(OFFSET('HARGA SATUAN'!$I$6,MATCH(RAB!C112,'HARGA SATUAN'!$C$7:$C$1492,0),0)),0,OFFSET('HARGA SATUAN'!$I$6,MATCH(RAB!C112,'HARGA SATUAN'!$C$7:$C$1492,0),0))</f>
        <v>0</v>
      </c>
      <c r="H112" s="284">
        <f t="shared" ca="1" si="43"/>
        <v>0</v>
      </c>
      <c r="I112" s="284">
        <f t="shared" ca="1" si="44"/>
        <v>0</v>
      </c>
      <c r="J112" s="284">
        <f t="shared" ca="1" si="45"/>
        <v>0</v>
      </c>
      <c r="K112" s="285">
        <f t="shared" ca="1" si="46"/>
        <v>0</v>
      </c>
      <c r="L112" s="265"/>
      <c r="M112" s="265"/>
      <c r="N112" s="290"/>
      <c r="O112" s="267"/>
      <c r="P112" s="267"/>
      <c r="Q112" s="267"/>
      <c r="R112" s="267"/>
      <c r="S112" s="267"/>
      <c r="T112" s="319"/>
      <c r="U112" s="319"/>
      <c r="V112" s="319"/>
    </row>
    <row r="113" spans="1:22" s="288" customFormat="1" ht="15">
      <c r="A113" s="259"/>
      <c r="B113" s="408"/>
      <c r="C113" s="409"/>
      <c r="D113" s="281"/>
      <c r="E113" s="282"/>
      <c r="F113" s="390"/>
      <c r="G113" s="283"/>
      <c r="H113" s="284"/>
      <c r="I113" s="284"/>
      <c r="J113" s="284"/>
      <c r="K113" s="285"/>
      <c r="L113" s="326"/>
      <c r="M113" s="326"/>
      <c r="N113" s="290"/>
      <c r="O113" s="267"/>
      <c r="P113" s="267"/>
      <c r="Q113" s="267"/>
    </row>
    <row r="114" spans="1:22" s="288" customFormat="1" ht="15">
      <c r="A114" s="259"/>
      <c r="B114" s="408"/>
      <c r="C114" s="409"/>
      <c r="D114" s="281" t="str">
        <f ca="1">IF(ISERROR(OFFSET('HARGA SATUAN'!$D$6,MATCH(RAB!C114,'HARGA SATUAN'!$C$7:$C$1492,0),0)),"",OFFSET('HARGA SATUAN'!$D$6,MATCH(RAB!C114,'HARGA SATUAN'!$C$7:$C$1492,0),0))</f>
        <v/>
      </c>
      <c r="E114" s="282" t="str">
        <f ca="1">IF(B114="+","Unit",IF(ISERROR(OFFSET('HARGA SATUAN'!$E$6,MATCH(RAB!C114,'HARGA SATUAN'!$C$7:$C$1492,0),0)),"",OFFSET('HARGA SATUAN'!$E$6,MATCH(RAB!C114,'HARGA SATUAN'!$C$7:$C$1492,0),0)))</f>
        <v/>
      </c>
      <c r="F114" s="390"/>
      <c r="G114" s="283">
        <f ca="1">IF(ISERROR(OFFSET('HARGA SATUAN'!$I$6,MATCH(RAB!C114,'HARGA SATUAN'!$C$7:$C$1492,0),0)),0,OFFSET('HARGA SATUAN'!$I$6,MATCH(RAB!C114,'HARGA SATUAN'!$C$7:$C$1492,0),0))</f>
        <v>0</v>
      </c>
      <c r="H114" s="284">
        <f t="shared" ref="H114:H116" ca="1" si="47">IF(OR(D114="MDU",D114="MDU-KD"),(IF($O$3="RAB NON MDU","PLN KD",G114*F114)),0)</f>
        <v>0</v>
      </c>
      <c r="I114" s="284">
        <f t="shared" ref="I114:I116" ca="1" si="48">IF(D114="HDW",G114*F114,0)</f>
        <v>0</v>
      </c>
      <c r="J114" s="284">
        <f t="shared" ref="J114:J116" ca="1" si="49">IF(D114="JASA",G114*F114,0)</f>
        <v>0</v>
      </c>
      <c r="K114" s="285">
        <f t="shared" ref="K114:K116" ca="1" si="50">SUM(H114:J114)</f>
        <v>0</v>
      </c>
      <c r="L114" s="265"/>
      <c r="M114" s="265"/>
      <c r="N114" s="290"/>
      <c r="O114" s="267"/>
      <c r="P114" s="267"/>
      <c r="Q114" s="318"/>
      <c r="R114" s="267"/>
      <c r="S114" s="318"/>
      <c r="T114" s="319"/>
      <c r="U114" s="319"/>
      <c r="V114" s="319"/>
    </row>
    <row r="115" spans="1:22" s="288" customFormat="1" ht="15">
      <c r="A115" s="259"/>
      <c r="B115" s="408"/>
      <c r="C115" s="409"/>
      <c r="D115" s="281" t="str">
        <f ca="1">IF(ISERROR(OFFSET('HARGA SATUAN'!$D$6,MATCH(RAB!C115,'HARGA SATUAN'!$C$7:$C$1492,0),0)),"",OFFSET('HARGA SATUAN'!$D$6,MATCH(RAB!C115,'HARGA SATUAN'!$C$7:$C$1492,0),0))</f>
        <v/>
      </c>
      <c r="E115" s="282" t="str">
        <f ca="1">IF(B115="+","Unit",IF(ISERROR(OFFSET('HARGA SATUAN'!$E$6,MATCH(RAB!C115,'HARGA SATUAN'!$C$7:$C$1492,0),0)),"",OFFSET('HARGA SATUAN'!$E$6,MATCH(RAB!C115,'HARGA SATUAN'!$C$7:$C$1492,0),0)))</f>
        <v/>
      </c>
      <c r="F115" s="390"/>
      <c r="G115" s="283">
        <f ca="1">IF(ISERROR(OFFSET('HARGA SATUAN'!$I$6,MATCH(RAB!C115,'HARGA SATUAN'!$C$7:$C$1492,0),0)),0,OFFSET('HARGA SATUAN'!$I$6,MATCH(RAB!C115,'HARGA SATUAN'!$C$7:$C$1492,0),0))</f>
        <v>0</v>
      </c>
      <c r="H115" s="284">
        <f t="shared" ca="1" si="47"/>
        <v>0</v>
      </c>
      <c r="I115" s="284">
        <f t="shared" ca="1" si="48"/>
        <v>0</v>
      </c>
      <c r="J115" s="284">
        <f t="shared" ca="1" si="49"/>
        <v>0</v>
      </c>
      <c r="K115" s="285">
        <f t="shared" ca="1" si="50"/>
        <v>0</v>
      </c>
      <c r="L115" s="265"/>
      <c r="M115" s="265"/>
      <c r="N115" s="290"/>
      <c r="O115" s="267"/>
      <c r="P115" s="267"/>
      <c r="Q115" s="267"/>
      <c r="R115" s="267"/>
      <c r="S115" s="267"/>
      <c r="T115" s="323"/>
      <c r="U115" s="323"/>
      <c r="V115" s="323"/>
    </row>
    <row r="116" spans="1:22" s="288" customFormat="1" ht="15">
      <c r="A116" s="259"/>
      <c r="B116" s="408"/>
      <c r="C116" s="409"/>
      <c r="D116" s="281" t="str">
        <f ca="1">IF(ISERROR(OFFSET('HARGA SATUAN'!$D$6,MATCH(RAB!C116,'HARGA SATUAN'!$C$7:$C$1492,0),0)),"",OFFSET('HARGA SATUAN'!$D$6,MATCH(RAB!C116,'HARGA SATUAN'!$C$7:$C$1492,0),0))</f>
        <v/>
      </c>
      <c r="E116" s="282" t="str">
        <f ca="1">IF(B116="+","Unit",IF(ISERROR(OFFSET('HARGA SATUAN'!$E$6,MATCH(RAB!C116,'HARGA SATUAN'!$C$7:$C$1492,0),0)),"",OFFSET('HARGA SATUAN'!$E$6,MATCH(RAB!C116,'HARGA SATUAN'!$C$7:$C$1492,0),0)))</f>
        <v/>
      </c>
      <c r="F116" s="390"/>
      <c r="G116" s="283">
        <f ca="1">IF(ISERROR(OFFSET('HARGA SATUAN'!$I$6,MATCH(RAB!C116,'HARGA SATUAN'!$C$7:$C$1492,0),0)),0,OFFSET('HARGA SATUAN'!$I$6,MATCH(RAB!C116,'HARGA SATUAN'!$C$7:$C$1492,0),0))</f>
        <v>0</v>
      </c>
      <c r="H116" s="284">
        <f t="shared" ca="1" si="47"/>
        <v>0</v>
      </c>
      <c r="I116" s="284">
        <f t="shared" ca="1" si="48"/>
        <v>0</v>
      </c>
      <c r="J116" s="284">
        <f t="shared" ca="1" si="49"/>
        <v>0</v>
      </c>
      <c r="K116" s="285">
        <f t="shared" ca="1" si="50"/>
        <v>0</v>
      </c>
      <c r="L116" s="265"/>
      <c r="M116" s="265"/>
      <c r="N116" s="290"/>
      <c r="O116" s="267"/>
      <c r="P116" s="267"/>
      <c r="Q116" s="267"/>
      <c r="R116" s="267"/>
      <c r="S116" s="267"/>
      <c r="T116" s="319"/>
      <c r="U116" s="319"/>
      <c r="V116" s="319"/>
    </row>
    <row r="117" spans="1:22" s="291" customFormat="1" ht="15">
      <c r="A117" s="259" t="s">
        <v>1414</v>
      </c>
      <c r="B117" s="408"/>
      <c r="C117" s="409"/>
      <c r="D117" s="281" t="str">
        <f ca="1">IF(ISERROR(OFFSET('HARGA SATUAN'!$D$6,MATCH(RAB!C117,'HARGA SATUAN'!$C$7:$C$1492,0),0)),"",OFFSET('HARGA SATUAN'!$D$6,MATCH(RAB!C117,'HARGA SATUAN'!$C$7:$C$1492,0),0))</f>
        <v/>
      </c>
      <c r="E117" s="282" t="str">
        <f ca="1">IF(B117="+","Unit",IF(ISERROR(OFFSET('HARGA SATUAN'!$E$6,MATCH(RAB!C117,'HARGA SATUAN'!$C$7:$C$1492,0),0)),"",OFFSET('HARGA SATUAN'!$E$6,MATCH(RAB!C117,'HARGA SATUAN'!$C$7:$C$1492,0),0)))</f>
        <v/>
      </c>
      <c r="F117" s="390"/>
      <c r="G117" s="283">
        <f ca="1">IF(ISERROR(OFFSET('HARGA SATUAN'!$I$6,MATCH(RAB!C117,'HARGA SATUAN'!$C$7:$C$1492,0),0)),0,OFFSET('HARGA SATUAN'!$I$6,MATCH(RAB!C117,'HARGA SATUAN'!$C$7:$C$1492,0),0))</f>
        <v>0</v>
      </c>
      <c r="H117" s="284">
        <f t="shared" ref="H117:H142" ca="1" si="51">IF(OR(D117="MDU",D117="MDU-KD"),(IF($O$3="RAB NON MDU","PLN KD",G117*F117)),0)</f>
        <v>0</v>
      </c>
      <c r="I117" s="284">
        <f t="shared" ref="I117:I142" ca="1" si="52">IF(D117="HDW",G117*F117,0)</f>
        <v>0</v>
      </c>
      <c r="J117" s="284">
        <f t="shared" ref="J117:J142" ca="1" si="53">IF(D117="JASA",G117*F117,0)</f>
        <v>0</v>
      </c>
      <c r="K117" s="285">
        <f t="shared" ref="K117:K142" ca="1" si="54">SUM(H117:J117)</f>
        <v>0</v>
      </c>
      <c r="L117" s="290"/>
      <c r="M117" s="290"/>
      <c r="N117" s="290"/>
      <c r="O117" s="286"/>
      <c r="P117" s="286"/>
      <c r="Q117" s="267"/>
      <c r="R117" s="259"/>
      <c r="S117" s="287"/>
      <c r="T117" s="264"/>
      <c r="U117" s="264"/>
      <c r="V117" s="264"/>
    </row>
    <row r="118" spans="1:22" s="291" customFormat="1" ht="15">
      <c r="A118" s="259" t="e">
        <f>IF(AND(C118=0,#REF!=0,#REF!=0),"BLANKS",1)</f>
        <v>#REF!</v>
      </c>
      <c r="B118" s="408"/>
      <c r="C118" s="409"/>
      <c r="D118" s="281" t="str">
        <f ca="1">IF(ISERROR(OFFSET('HARGA SATUAN'!$D$6,MATCH(RAB!C118,'HARGA SATUAN'!$C$7:$C$1492,0),0)),"",OFFSET('HARGA SATUAN'!$D$6,MATCH(RAB!C118,'HARGA SATUAN'!$C$7:$C$1492,0),0))</f>
        <v/>
      </c>
      <c r="E118" s="282" t="str">
        <f ca="1">IF(B118="+","Unit",IF(ISERROR(OFFSET('HARGA SATUAN'!$E$6,MATCH(RAB!C118,'HARGA SATUAN'!$C$7:$C$1492,0),0)),"",OFFSET('HARGA SATUAN'!$E$6,MATCH(RAB!C118,'HARGA SATUAN'!$C$7:$C$1492,0),0)))</f>
        <v/>
      </c>
      <c r="F118" s="390"/>
      <c r="G118" s="283">
        <f ca="1">IF(ISERROR(OFFSET('HARGA SATUAN'!$I$6,MATCH(RAB!C118,'HARGA SATUAN'!$C$7:$C$1492,0),0)),0,OFFSET('HARGA SATUAN'!$I$6,MATCH(RAB!C118,'HARGA SATUAN'!$C$7:$C$1492,0),0))</f>
        <v>0</v>
      </c>
      <c r="H118" s="284">
        <f t="shared" ca="1" si="51"/>
        <v>0</v>
      </c>
      <c r="I118" s="284">
        <f t="shared" ca="1" si="52"/>
        <v>0</v>
      </c>
      <c r="J118" s="284">
        <f t="shared" ca="1" si="53"/>
        <v>0</v>
      </c>
      <c r="K118" s="285">
        <f t="shared" ca="1" si="54"/>
        <v>0</v>
      </c>
      <c r="L118" s="290"/>
      <c r="M118" s="290"/>
      <c r="N118" s="290"/>
      <c r="O118" s="286"/>
      <c r="P118" s="286"/>
      <c r="Q118" s="267"/>
      <c r="R118" s="259"/>
      <c r="S118" s="287"/>
      <c r="T118" s="264"/>
      <c r="U118" s="264"/>
      <c r="V118" s="264"/>
    </row>
    <row r="119" spans="1:22" s="291" customFormat="1" ht="15">
      <c r="A119" s="259" t="s">
        <v>1414</v>
      </c>
      <c r="B119" s="408"/>
      <c r="C119" s="409"/>
      <c r="D119" s="281" t="str">
        <f ca="1">IF(ISERROR(OFFSET('HARGA SATUAN'!$D$6,MATCH(RAB!C119,'HARGA SATUAN'!$C$7:$C$1492,0),0)),"",OFFSET('HARGA SATUAN'!$D$6,MATCH(RAB!C119,'HARGA SATUAN'!$C$7:$C$1492,0),0))</f>
        <v/>
      </c>
      <c r="E119" s="282" t="str">
        <f ca="1">IF(B119="+","Unit",IF(ISERROR(OFFSET('HARGA SATUAN'!$E$6,MATCH(RAB!C119,'HARGA SATUAN'!$C$7:$C$1492,0),0)),"",OFFSET('HARGA SATUAN'!$E$6,MATCH(RAB!C119,'HARGA SATUAN'!$C$7:$C$1492,0),0)))</f>
        <v/>
      </c>
      <c r="F119" s="390"/>
      <c r="G119" s="283">
        <f ca="1">IF(ISERROR(OFFSET('HARGA SATUAN'!$I$6,MATCH(RAB!C119,'HARGA SATUAN'!$C$7:$C$1492,0),0)),0,OFFSET('HARGA SATUAN'!$I$6,MATCH(RAB!C119,'HARGA SATUAN'!$C$7:$C$1492,0),0))</f>
        <v>0</v>
      </c>
      <c r="H119" s="284">
        <f t="shared" ca="1" si="51"/>
        <v>0</v>
      </c>
      <c r="I119" s="284">
        <f t="shared" ca="1" si="52"/>
        <v>0</v>
      </c>
      <c r="J119" s="284">
        <f t="shared" ca="1" si="53"/>
        <v>0</v>
      </c>
      <c r="K119" s="285">
        <f t="shared" ca="1" si="54"/>
        <v>0</v>
      </c>
      <c r="L119" s="290"/>
      <c r="M119" s="290"/>
      <c r="N119" s="290"/>
      <c r="O119" s="286"/>
      <c r="P119" s="286"/>
      <c r="Q119" s="267"/>
      <c r="R119" s="259"/>
      <c r="S119" s="287"/>
      <c r="T119" s="264"/>
      <c r="U119" s="264"/>
      <c r="V119" s="264"/>
    </row>
    <row r="120" spans="1:22" s="291" customFormat="1" ht="15">
      <c r="A120" s="259" t="e">
        <f>IF(AND(C120=0,#REF!=0,#REF!=0),"BLANKS",1)</f>
        <v>#REF!</v>
      </c>
      <c r="B120" s="293"/>
      <c r="C120" s="294"/>
      <c r="D120" s="281" t="str">
        <f ca="1">IF(ISERROR(OFFSET('HARGA SATUAN'!$D$6,MATCH(RAB!C120,'HARGA SATUAN'!$C$7:$C$1492,0),0)),"",OFFSET('HARGA SATUAN'!$D$6,MATCH(RAB!C120,'HARGA SATUAN'!$C$7:$C$1492,0),0))</f>
        <v/>
      </c>
      <c r="E120" s="282" t="str">
        <f ca="1">IF(B120="+","Unit",IF(ISERROR(OFFSET('HARGA SATUAN'!$E$6,MATCH(RAB!C120,'HARGA SATUAN'!$C$7:$C$1492,0),0)),"",OFFSET('HARGA SATUAN'!$E$6,MATCH(RAB!C120,'HARGA SATUAN'!$C$7:$C$1492,0),0)))</f>
        <v/>
      </c>
      <c r="F120" s="400"/>
      <c r="G120" s="283">
        <f ca="1">IF(ISERROR(OFFSET('HARGA SATUAN'!$I$6,MATCH(RAB!C120,'HARGA SATUAN'!$C$7:$C$1492,0),0)),0,OFFSET('HARGA SATUAN'!$I$6,MATCH(RAB!C120,'HARGA SATUAN'!$C$7:$C$1492,0),0))</f>
        <v>0</v>
      </c>
      <c r="H120" s="284">
        <f t="shared" ca="1" si="51"/>
        <v>0</v>
      </c>
      <c r="I120" s="284">
        <f t="shared" ca="1" si="52"/>
        <v>0</v>
      </c>
      <c r="J120" s="284">
        <f t="shared" ca="1" si="53"/>
        <v>0</v>
      </c>
      <c r="K120" s="285">
        <f t="shared" ca="1" si="54"/>
        <v>0</v>
      </c>
      <c r="L120" s="290"/>
      <c r="M120" s="290"/>
      <c r="N120" s="290"/>
      <c r="O120" s="286"/>
      <c r="P120" s="286"/>
      <c r="Q120" s="267"/>
      <c r="R120" s="259"/>
      <c r="S120" s="287"/>
      <c r="T120" s="264"/>
      <c r="U120" s="264"/>
      <c r="V120" s="264"/>
    </row>
    <row r="121" spans="1:22" s="291" customFormat="1" ht="15">
      <c r="A121" s="259"/>
      <c r="B121" s="293"/>
      <c r="C121" s="294"/>
      <c r="D121" s="281" t="str">
        <f ca="1">IF(ISERROR(OFFSET('HARGA SATUAN'!$D$6,MATCH(RAB!C121,'HARGA SATUAN'!$C$7:$C$1492,0),0)),"",OFFSET('HARGA SATUAN'!$D$6,MATCH(RAB!C121,'HARGA SATUAN'!$C$7:$C$1492,0),0))</f>
        <v/>
      </c>
      <c r="E121" s="282"/>
      <c r="F121" s="400"/>
      <c r="G121" s="283"/>
      <c r="H121" s="284"/>
      <c r="I121" s="284"/>
      <c r="J121" s="284"/>
      <c r="K121" s="285"/>
      <c r="L121" s="290"/>
      <c r="M121" s="290"/>
      <c r="N121" s="290"/>
      <c r="O121" s="286"/>
      <c r="P121" s="286"/>
      <c r="Q121" s="267"/>
      <c r="R121" s="259"/>
      <c r="S121" s="287"/>
      <c r="T121" s="264"/>
      <c r="U121" s="264"/>
      <c r="V121" s="264"/>
    </row>
    <row r="122" spans="1:22" s="291" customFormat="1" ht="15">
      <c r="A122" s="259" t="e">
        <f>IF(AND(#REF!=0,#REF!=0,#REF!=0),"BLANKS",1)</f>
        <v>#REF!</v>
      </c>
      <c r="B122" s="293"/>
      <c r="C122" s="294"/>
      <c r="D122" s="281" t="str">
        <f ca="1">IF(ISERROR(OFFSET('HARGA SATUAN'!$D$6,MATCH(RAB!C122,'HARGA SATUAN'!$C$7:$C$1492,0),0)),"",OFFSET('HARGA SATUAN'!$D$6,MATCH(RAB!C122,'HARGA SATUAN'!$C$7:$C$1492,0),0))</f>
        <v/>
      </c>
      <c r="E122" s="282" t="str">
        <f ca="1">IF(B122="+","Unit",IF(ISERROR(OFFSET('HARGA SATUAN'!$E$6,MATCH(RAB!C122,'HARGA SATUAN'!$C$7:$C$1492,0),0)),"",OFFSET('HARGA SATUAN'!$E$6,MATCH(RAB!C122,'HARGA SATUAN'!$C$7:$C$1492,0),0)))</f>
        <v/>
      </c>
      <c r="F122" s="400"/>
      <c r="G122" s="283">
        <f ca="1">IF(ISERROR(OFFSET('HARGA SATUAN'!$I$6,MATCH(RAB!C122,'HARGA SATUAN'!$C$7:$C$1492,0),0)),0,OFFSET('HARGA SATUAN'!$I$6,MATCH(RAB!C122,'HARGA SATUAN'!$C$7:$C$1492,0),0))</f>
        <v>0</v>
      </c>
      <c r="H122" s="284">
        <f t="shared" ca="1" si="51"/>
        <v>0</v>
      </c>
      <c r="I122" s="284">
        <f t="shared" ca="1" si="52"/>
        <v>0</v>
      </c>
      <c r="J122" s="284">
        <f t="shared" ca="1" si="53"/>
        <v>0</v>
      </c>
      <c r="K122" s="285">
        <f t="shared" ca="1" si="54"/>
        <v>0</v>
      </c>
      <c r="L122" s="290"/>
      <c r="M122" s="290"/>
      <c r="N122" s="290"/>
      <c r="O122" s="286"/>
      <c r="P122" s="286"/>
      <c r="Q122" s="267"/>
      <c r="R122" s="259"/>
      <c r="S122" s="287"/>
      <c r="T122" s="264"/>
      <c r="U122" s="264"/>
      <c r="V122" s="264"/>
    </row>
    <row r="123" spans="1:22" s="291" customFormat="1" ht="15">
      <c r="A123" s="259" t="e">
        <f>IF(AND(#REF!=0,#REF!=0,#REF!=0),"BLANKS",1)</f>
        <v>#REF!</v>
      </c>
      <c r="B123" s="293"/>
      <c r="C123" s="109"/>
      <c r="D123" s="281" t="str">
        <f ca="1">IF(ISERROR(OFFSET('HARGA SATUAN'!$D$6,MATCH(RAB!C123,'HARGA SATUAN'!$C$7:$C$1492,0),0)),"",OFFSET('HARGA SATUAN'!$D$6,MATCH(RAB!C123,'HARGA SATUAN'!$C$7:$C$1492,0),0))</f>
        <v/>
      </c>
      <c r="E123" s="282" t="str">
        <f ca="1">IF(B123="+","Unit",IF(ISERROR(OFFSET('HARGA SATUAN'!$E$6,MATCH(RAB!C123,'HARGA SATUAN'!$C$7:$C$1492,0),0)),"",OFFSET('HARGA SATUAN'!$E$6,MATCH(RAB!C123,'HARGA SATUAN'!$C$7:$C$1492,0),0)))</f>
        <v/>
      </c>
      <c r="F123" s="400"/>
      <c r="G123" s="283">
        <f ca="1">IF(ISERROR(OFFSET('HARGA SATUAN'!$I$6,MATCH(RAB!C123,'HARGA SATUAN'!$C$7:$C$1492,0),0)),0,OFFSET('HARGA SATUAN'!$I$6,MATCH(RAB!C123,'HARGA SATUAN'!$C$7:$C$1492,0),0))</f>
        <v>0</v>
      </c>
      <c r="H123" s="284">
        <f t="shared" ca="1" si="51"/>
        <v>0</v>
      </c>
      <c r="I123" s="284">
        <f t="shared" ca="1" si="52"/>
        <v>0</v>
      </c>
      <c r="J123" s="284">
        <f t="shared" ca="1" si="53"/>
        <v>0</v>
      </c>
      <c r="K123" s="285">
        <f t="shared" ca="1" si="54"/>
        <v>0</v>
      </c>
      <c r="L123" s="290"/>
      <c r="M123" s="290"/>
      <c r="N123" s="290"/>
      <c r="O123" s="286"/>
      <c r="P123" s="286"/>
      <c r="Q123" s="267"/>
      <c r="R123" s="259"/>
      <c r="S123" s="287"/>
      <c r="T123" s="264"/>
      <c r="U123" s="264"/>
      <c r="V123" s="264"/>
    </row>
    <row r="124" spans="1:22" s="291" customFormat="1" ht="15">
      <c r="A124" s="259"/>
      <c r="B124" s="404"/>
      <c r="C124" s="405"/>
      <c r="D124" s="281" t="str">
        <f ca="1">IF(ISERROR(OFFSET('HARGA SATUAN'!$D$6,MATCH(RAB!C124,'HARGA SATUAN'!$C$7:$C$1492,0),0)),"",OFFSET('HARGA SATUAN'!$D$6,MATCH(RAB!C124,'HARGA SATUAN'!$C$7:$C$1492,0),0))</f>
        <v/>
      </c>
      <c r="E124" s="282" t="str">
        <f ca="1">IF(B124="+","Unit",IF(ISERROR(OFFSET('HARGA SATUAN'!$E$6,MATCH(RAB!C124,'HARGA SATUAN'!$C$7:$C$1492,0),0)),"",OFFSET('HARGA SATUAN'!$E$6,MATCH(RAB!C124,'HARGA SATUAN'!$C$7:$C$1492,0),0)))</f>
        <v/>
      </c>
      <c r="F124" s="400"/>
      <c r="G124" s="283">
        <f ca="1">IF(ISERROR(OFFSET('HARGA SATUAN'!$I$6,MATCH(RAB!C124,'HARGA SATUAN'!$C$7:$C$1492,0),0)),0,OFFSET('HARGA SATUAN'!$I$6,MATCH(RAB!C124,'HARGA SATUAN'!$C$7:$C$1492,0),0))</f>
        <v>0</v>
      </c>
      <c r="H124" s="284">
        <f t="shared" ca="1" si="51"/>
        <v>0</v>
      </c>
      <c r="I124" s="284">
        <f t="shared" ca="1" si="52"/>
        <v>0</v>
      </c>
      <c r="J124" s="284">
        <f t="shared" ca="1" si="53"/>
        <v>0</v>
      </c>
      <c r="K124" s="285">
        <f t="shared" ca="1" si="54"/>
        <v>0</v>
      </c>
      <c r="L124" s="290"/>
      <c r="M124" s="290"/>
      <c r="N124" s="290"/>
      <c r="O124" s="286"/>
      <c r="P124" s="286"/>
      <c r="Q124" s="267"/>
      <c r="R124" s="259"/>
      <c r="S124" s="287"/>
      <c r="T124" s="264"/>
      <c r="U124" s="264"/>
      <c r="V124" s="264"/>
    </row>
    <row r="125" spans="1:22" s="291" customFormat="1" ht="15">
      <c r="A125" s="259">
        <f>IF(AND(C143=0,C144=0,C145=0),"BLANKS",1)</f>
        <v>1</v>
      </c>
      <c r="B125" s="293"/>
      <c r="C125" s="109"/>
      <c r="D125" s="281" t="str">
        <f ca="1">IF(ISERROR(OFFSET('HARGA SATUAN'!$D$6,MATCH(RAB!C125,'HARGA SATUAN'!$C$7:$C$1492,0),0)),"",OFFSET('HARGA SATUAN'!$D$6,MATCH(RAB!C125,'HARGA SATUAN'!$C$7:$C$1492,0),0))</f>
        <v/>
      </c>
      <c r="E125" s="282" t="str">
        <f ca="1">IF(B125="+","Unit",IF(ISERROR(OFFSET('HARGA SATUAN'!$E$6,MATCH(RAB!C125,'HARGA SATUAN'!$C$7:$C$1492,0),0)),"",OFFSET('HARGA SATUAN'!$E$6,MATCH(RAB!C125,'HARGA SATUAN'!$C$7:$C$1492,0),0)))</f>
        <v/>
      </c>
      <c r="F125" s="400"/>
      <c r="G125" s="283">
        <f ca="1">IF(ISERROR(OFFSET('HARGA SATUAN'!$I$6,MATCH(RAB!C125,'HARGA SATUAN'!$C$7:$C$1492,0),0)),0,OFFSET('HARGA SATUAN'!$I$6,MATCH(RAB!C125,'HARGA SATUAN'!$C$7:$C$1492,0),0))</f>
        <v>0</v>
      </c>
      <c r="H125" s="284">
        <f t="shared" ca="1" si="51"/>
        <v>0</v>
      </c>
      <c r="I125" s="284">
        <f t="shared" ca="1" si="52"/>
        <v>0</v>
      </c>
      <c r="J125" s="284">
        <f t="shared" ca="1" si="53"/>
        <v>0</v>
      </c>
      <c r="K125" s="285">
        <f t="shared" ca="1" si="54"/>
        <v>0</v>
      </c>
      <c r="L125" s="290"/>
      <c r="M125" s="290"/>
      <c r="N125" s="290"/>
      <c r="O125" s="267"/>
      <c r="P125" s="267"/>
      <c r="Q125" s="267"/>
      <c r="R125" s="259"/>
      <c r="S125" s="287"/>
      <c r="T125" s="264"/>
      <c r="U125" s="264"/>
      <c r="V125" s="264"/>
    </row>
    <row r="126" spans="1:22" s="291" customFormat="1" ht="30" customHeight="1">
      <c r="A126" s="259">
        <f>IF(AND(C144=0,C145=0,C146=0),"BLANKS",1)</f>
        <v>1</v>
      </c>
      <c r="B126" s="293"/>
      <c r="C126" s="109"/>
      <c r="D126" s="281" t="str">
        <f ca="1">IF(ISERROR(OFFSET('HARGA SATUAN'!$D$6,MATCH(RAB!C126,'HARGA SATUAN'!$C$7:$C$1492,0),0)),"",OFFSET('HARGA SATUAN'!$D$6,MATCH(RAB!C126,'HARGA SATUAN'!$C$7:$C$1492,0),0))</f>
        <v/>
      </c>
      <c r="E126" s="282" t="str">
        <f ca="1">IF(B126="+","Unit",IF(ISERROR(OFFSET('HARGA SATUAN'!$E$6,MATCH(RAB!C126,'HARGA SATUAN'!$C$7:$C$1492,0),0)),"",OFFSET('HARGA SATUAN'!$E$6,MATCH(RAB!C126,'HARGA SATUAN'!$C$7:$C$1492,0),0)))</f>
        <v/>
      </c>
      <c r="F126" s="400"/>
      <c r="G126" s="283">
        <f ca="1">IF(ISERROR(OFFSET('HARGA SATUAN'!$I$6,MATCH(RAB!C126,'HARGA SATUAN'!$C$7:$C$1492,0),0)),0,OFFSET('HARGA SATUAN'!$I$6,MATCH(RAB!C126,'HARGA SATUAN'!$C$7:$C$1492,0),0))</f>
        <v>0</v>
      </c>
      <c r="H126" s="284">
        <f t="shared" ca="1" si="51"/>
        <v>0</v>
      </c>
      <c r="I126" s="284">
        <f t="shared" ca="1" si="52"/>
        <v>0</v>
      </c>
      <c r="J126" s="284">
        <f t="shared" ca="1" si="53"/>
        <v>0</v>
      </c>
      <c r="K126" s="285">
        <f t="shared" ca="1" si="54"/>
        <v>0</v>
      </c>
      <c r="L126" s="290"/>
      <c r="M126" s="290"/>
      <c r="N126" s="290"/>
      <c r="O126" s="267"/>
      <c r="P126" s="267"/>
      <c r="Q126" s="267"/>
      <c r="R126" s="259"/>
      <c r="S126" s="287"/>
      <c r="T126" s="264"/>
      <c r="U126" s="264"/>
      <c r="V126" s="264"/>
    </row>
    <row r="127" spans="1:22" s="291" customFormat="1" ht="15">
      <c r="A127" s="259">
        <f>IF(AND(C145=0,C146=0,C147=0),"BLANKS",1)</f>
        <v>1</v>
      </c>
      <c r="B127" s="293"/>
      <c r="C127" s="109"/>
      <c r="D127" s="281" t="str">
        <f ca="1">IF(ISERROR(OFFSET('HARGA SATUAN'!$D$6,MATCH(RAB!C127,'HARGA SATUAN'!$C$7:$C$1492,0),0)),"",OFFSET('HARGA SATUAN'!$D$6,MATCH(RAB!C127,'HARGA SATUAN'!$C$7:$C$1492,0),0))</f>
        <v/>
      </c>
      <c r="E127" s="282" t="str">
        <f ca="1">IF(B127="+","Unit",IF(ISERROR(OFFSET('HARGA SATUAN'!$E$6,MATCH(RAB!C127,'HARGA SATUAN'!$C$7:$C$1492,0),0)),"",OFFSET('HARGA SATUAN'!$E$6,MATCH(RAB!C127,'HARGA SATUAN'!$C$7:$C$1492,0),0)))</f>
        <v/>
      </c>
      <c r="F127" s="400"/>
      <c r="G127" s="283">
        <f ca="1">IF(ISERROR(OFFSET('HARGA SATUAN'!$I$6,MATCH(RAB!C127,'HARGA SATUAN'!$C$7:$C$1492,0),0)),0,OFFSET('HARGA SATUAN'!$I$6,MATCH(RAB!C127,'HARGA SATUAN'!$C$7:$C$1492,0),0))</f>
        <v>0</v>
      </c>
      <c r="H127" s="284">
        <f t="shared" ca="1" si="51"/>
        <v>0</v>
      </c>
      <c r="I127" s="284">
        <f t="shared" ca="1" si="52"/>
        <v>0</v>
      </c>
      <c r="J127" s="284">
        <f t="shared" ca="1" si="53"/>
        <v>0</v>
      </c>
      <c r="K127" s="285">
        <f t="shared" ca="1" si="54"/>
        <v>0</v>
      </c>
      <c r="L127" s="290"/>
      <c r="M127" s="290"/>
      <c r="N127" s="290"/>
      <c r="O127" s="267"/>
      <c r="P127" s="267"/>
      <c r="Q127" s="267"/>
      <c r="R127" s="267"/>
      <c r="S127" s="264"/>
      <c r="T127" s="264"/>
      <c r="U127" s="264"/>
      <c r="V127" s="264"/>
    </row>
    <row r="128" spans="1:22" s="291" customFormat="1" ht="15" customHeight="1">
      <c r="A128" s="259"/>
      <c r="B128" s="404"/>
      <c r="C128" s="405"/>
      <c r="D128" s="281" t="str">
        <f ca="1">IF(ISERROR(OFFSET('HARGA SATUAN'!$D$6,MATCH(RAB!C128,'HARGA SATUAN'!$C$7:$C$1492,0),0)),"",OFFSET('HARGA SATUAN'!$D$6,MATCH(RAB!C128,'HARGA SATUAN'!$C$7:$C$1492,0),0))</f>
        <v/>
      </c>
      <c r="E128" s="282" t="str">
        <f ca="1">IF(B128="+","Unit",IF(ISERROR(OFFSET('HARGA SATUAN'!$E$6,MATCH(RAB!C128,'HARGA SATUAN'!$C$7:$C$1492,0),0)),"",OFFSET('HARGA SATUAN'!$E$6,MATCH(RAB!C128,'HARGA SATUAN'!$C$7:$C$1492,0),0)))</f>
        <v/>
      </c>
      <c r="F128" s="400"/>
      <c r="G128" s="283">
        <f ca="1">IF(ISERROR(OFFSET('HARGA SATUAN'!$I$6,MATCH(RAB!C128,'HARGA SATUAN'!$C$7:$C$1492,0),0)),0,OFFSET('HARGA SATUAN'!$I$6,MATCH(RAB!C128,'HARGA SATUAN'!$C$7:$C$1492,0),0))</f>
        <v>0</v>
      </c>
      <c r="H128" s="284">
        <f t="shared" ca="1" si="51"/>
        <v>0</v>
      </c>
      <c r="I128" s="284">
        <f t="shared" ca="1" si="52"/>
        <v>0</v>
      </c>
      <c r="J128" s="284">
        <f t="shared" ca="1" si="53"/>
        <v>0</v>
      </c>
      <c r="K128" s="285">
        <f t="shared" ca="1" si="54"/>
        <v>0</v>
      </c>
      <c r="L128" s="265"/>
      <c r="M128" s="290"/>
      <c r="N128" s="290"/>
      <c r="O128" s="267"/>
      <c r="P128" s="267"/>
      <c r="Q128" s="267"/>
      <c r="R128" s="267"/>
      <c r="S128" s="267"/>
    </row>
    <row r="129" spans="1:22" s="288" customFormat="1" ht="15">
      <c r="A129" s="259"/>
      <c r="B129" s="404"/>
      <c r="C129" s="405"/>
      <c r="D129" s="281" t="str">
        <f ca="1">IF(ISERROR(OFFSET('HARGA SATUAN'!$D$6,MATCH(RAB!C129,'HARGA SATUAN'!$C$7:$C$1492,0),0)),"",OFFSET('HARGA SATUAN'!$D$6,MATCH(RAB!C129,'HARGA SATUAN'!$C$7:$C$1492,0),0))</f>
        <v/>
      </c>
      <c r="E129" s="282" t="str">
        <f ca="1">IF(B129="+","Unit",IF(ISERROR(OFFSET('HARGA SATUAN'!$E$6,MATCH(RAB!C129,'HARGA SATUAN'!$C$7:$C$1492,0),0)),"",OFFSET('HARGA SATUAN'!$E$6,MATCH(RAB!C129,'HARGA SATUAN'!$C$7:$C$1492,0),0)))</f>
        <v/>
      </c>
      <c r="F129" s="400"/>
      <c r="G129" s="283">
        <f ca="1">IF(ISERROR(OFFSET('HARGA SATUAN'!$I$6,MATCH(RAB!C129,'HARGA SATUAN'!$C$7:$C$1492,0),0)),0,OFFSET('HARGA SATUAN'!$I$6,MATCH(RAB!C129,'HARGA SATUAN'!$C$7:$C$1492,0),0))</f>
        <v>0</v>
      </c>
      <c r="H129" s="284">
        <f t="shared" ref="H129:H131" ca="1" si="55">IF(OR(D129="MDU",D129="MDU-KD"),(IF($O$3="RAB NON MDU","PLN KD",G129*F129)),0)</f>
        <v>0</v>
      </c>
      <c r="I129" s="284">
        <f t="shared" ref="I129:I131" ca="1" si="56">IF(D129="HDW",G129*F129,0)</f>
        <v>0</v>
      </c>
      <c r="J129" s="284">
        <f t="shared" ref="J129:J131" ca="1" si="57">IF(D129="JASA",G129*F129,0)</f>
        <v>0</v>
      </c>
      <c r="K129" s="285">
        <f t="shared" ref="K129:K131" ca="1" si="58">SUM(H129:J129)</f>
        <v>0</v>
      </c>
      <c r="L129" s="265"/>
      <c r="M129" s="265"/>
      <c r="N129" s="290"/>
      <c r="O129" s="267"/>
      <c r="P129" s="267"/>
      <c r="Q129" s="318"/>
      <c r="R129" s="267"/>
      <c r="S129" s="318"/>
      <c r="T129" s="319"/>
      <c r="U129" s="319"/>
      <c r="V129" s="319"/>
    </row>
    <row r="130" spans="1:22" s="288" customFormat="1" ht="15">
      <c r="A130" s="259"/>
      <c r="B130" s="406"/>
      <c r="C130" s="407"/>
      <c r="D130" s="281" t="str">
        <f ca="1">IF(ISERROR(OFFSET('HARGA SATUAN'!$D$6,MATCH(RAB!C130,'HARGA SATUAN'!$C$7:$C$1492,0),0)),"",OFFSET('HARGA SATUAN'!$D$6,MATCH(RAB!C130,'HARGA SATUAN'!$C$7:$C$1492,0),0))</f>
        <v/>
      </c>
      <c r="E130" s="282" t="str">
        <f ca="1">IF(B130="+","Unit",IF(ISERROR(OFFSET('HARGA SATUAN'!$E$6,MATCH(RAB!C130,'HARGA SATUAN'!$C$7:$C$1492,0),0)),"",OFFSET('HARGA SATUAN'!$E$6,MATCH(RAB!C130,'HARGA SATUAN'!$C$7:$C$1492,0),0)))</f>
        <v/>
      </c>
      <c r="F130" s="400"/>
      <c r="G130" s="283">
        <f ca="1">IF(ISERROR(OFFSET('HARGA SATUAN'!$I$6,MATCH(RAB!C130,'HARGA SATUAN'!$C$7:$C$1492,0),0)),0,OFFSET('HARGA SATUAN'!$I$6,MATCH(RAB!C130,'HARGA SATUAN'!$C$7:$C$1492,0),0))</f>
        <v>0</v>
      </c>
      <c r="H130" s="284">
        <f t="shared" ca="1" si="55"/>
        <v>0</v>
      </c>
      <c r="I130" s="284">
        <f t="shared" ca="1" si="56"/>
        <v>0</v>
      </c>
      <c r="J130" s="284">
        <f t="shared" ca="1" si="57"/>
        <v>0</v>
      </c>
      <c r="K130" s="285">
        <f t="shared" ca="1" si="58"/>
        <v>0</v>
      </c>
      <c r="L130" s="265"/>
      <c r="M130" s="265"/>
      <c r="N130" s="290"/>
      <c r="O130" s="267"/>
      <c r="P130" s="267"/>
      <c r="Q130" s="267"/>
      <c r="R130" s="267"/>
      <c r="S130" s="267"/>
      <c r="T130" s="323"/>
      <c r="U130" s="323"/>
      <c r="V130" s="323"/>
    </row>
    <row r="131" spans="1:22" s="288" customFormat="1" ht="15">
      <c r="A131" s="259"/>
      <c r="B131" s="408"/>
      <c r="C131" s="109"/>
      <c r="D131" s="281" t="str">
        <f ca="1">IF(ISERROR(OFFSET('HARGA SATUAN'!$D$6,MATCH(RAB!C131,'HARGA SATUAN'!$C$7:$C$1492,0),0)),"",OFFSET('HARGA SATUAN'!$D$6,MATCH(RAB!C131,'HARGA SATUAN'!$C$7:$C$1492,0),0))</f>
        <v/>
      </c>
      <c r="E131" s="282" t="str">
        <f ca="1">IF(B131="+","Unit",IF(ISERROR(OFFSET('HARGA SATUAN'!$E$6,MATCH(RAB!C131,'HARGA SATUAN'!$C$7:$C$1492,0),0)),"",OFFSET('HARGA SATUAN'!$E$6,MATCH(RAB!C131,'HARGA SATUAN'!$C$7:$C$1492,0),0)))</f>
        <v/>
      </c>
      <c r="F131" s="400"/>
      <c r="G131" s="283">
        <f ca="1">IF(ISERROR(OFFSET('HARGA SATUAN'!$I$6,MATCH(RAB!C131,'HARGA SATUAN'!$C$7:$C$1492,0),0)),0,OFFSET('HARGA SATUAN'!$I$6,MATCH(RAB!C131,'HARGA SATUAN'!$C$7:$C$1492,0),0))</f>
        <v>0</v>
      </c>
      <c r="H131" s="284">
        <f t="shared" ca="1" si="55"/>
        <v>0</v>
      </c>
      <c r="I131" s="284">
        <f t="shared" ca="1" si="56"/>
        <v>0</v>
      </c>
      <c r="J131" s="284">
        <f t="shared" ca="1" si="57"/>
        <v>0</v>
      </c>
      <c r="K131" s="285">
        <f t="shared" ca="1" si="58"/>
        <v>0</v>
      </c>
      <c r="L131" s="265"/>
      <c r="M131" s="265"/>
      <c r="N131" s="290"/>
      <c r="O131" s="267"/>
      <c r="P131" s="267"/>
      <c r="Q131" s="267"/>
      <c r="R131" s="267"/>
      <c r="S131" s="267"/>
      <c r="T131" s="319"/>
      <c r="U131" s="319"/>
      <c r="V131" s="319"/>
    </row>
    <row r="132" spans="1:22" s="288" customFormat="1" ht="15">
      <c r="A132" s="259"/>
      <c r="B132" s="408"/>
      <c r="C132" s="410"/>
      <c r="D132" s="281"/>
      <c r="E132" s="282"/>
      <c r="F132" s="400"/>
      <c r="G132" s="283"/>
      <c r="H132" s="284"/>
      <c r="I132" s="284"/>
      <c r="J132" s="284"/>
      <c r="K132" s="285"/>
      <c r="L132" s="326"/>
      <c r="M132" s="326"/>
      <c r="N132" s="290"/>
      <c r="O132" s="267"/>
      <c r="P132" s="267"/>
      <c r="Q132" s="267"/>
    </row>
    <row r="133" spans="1:22" s="288" customFormat="1" ht="15">
      <c r="A133" s="259"/>
      <c r="B133" s="408"/>
      <c r="C133" s="410"/>
      <c r="D133" s="281" t="str">
        <f ca="1">IF(ISERROR(OFFSET('HARGA SATUAN'!$D$6,MATCH(RAB!C133,'HARGA SATUAN'!$C$7:$C$1492,0),0)),"",OFFSET('HARGA SATUAN'!$D$6,MATCH(RAB!C133,'HARGA SATUAN'!$C$7:$C$1492,0),0))</f>
        <v/>
      </c>
      <c r="E133" s="282" t="str">
        <f ca="1">IF(B133="+","Unit",IF(ISERROR(OFFSET('HARGA SATUAN'!$E$6,MATCH(RAB!C133,'HARGA SATUAN'!$C$7:$C$1492,0),0)),"",OFFSET('HARGA SATUAN'!$E$6,MATCH(RAB!C133,'HARGA SATUAN'!$C$7:$C$1492,0),0)))</f>
        <v/>
      </c>
      <c r="F133" s="400"/>
      <c r="G133" s="283">
        <f ca="1">IF(ISERROR(OFFSET('HARGA SATUAN'!$I$6,MATCH(RAB!C133,'HARGA SATUAN'!$C$7:$C$1492,0),0)),0,OFFSET('HARGA SATUAN'!$I$6,MATCH(RAB!C133,'HARGA SATUAN'!$C$7:$C$1492,0),0))</f>
        <v>0</v>
      </c>
      <c r="H133" s="284">
        <f t="shared" ca="1" si="51"/>
        <v>0</v>
      </c>
      <c r="I133" s="284">
        <f t="shared" ca="1" si="52"/>
        <v>0</v>
      </c>
      <c r="J133" s="284">
        <f t="shared" ca="1" si="53"/>
        <v>0</v>
      </c>
      <c r="K133" s="285">
        <f t="shared" ca="1" si="54"/>
        <v>0</v>
      </c>
      <c r="L133" s="265"/>
      <c r="M133" s="265"/>
      <c r="N133" s="290"/>
      <c r="O133" s="267"/>
      <c r="P133" s="267"/>
      <c r="Q133" s="318"/>
      <c r="R133" s="267"/>
      <c r="S133" s="318"/>
      <c r="T133" s="319"/>
      <c r="U133" s="319"/>
      <c r="V133" s="319"/>
    </row>
    <row r="134" spans="1:22" s="288" customFormat="1" ht="15">
      <c r="A134" s="259"/>
      <c r="B134" s="408"/>
      <c r="C134" s="109"/>
      <c r="D134" s="281" t="str">
        <f ca="1">IF(ISERROR(OFFSET('HARGA SATUAN'!$D$6,MATCH(RAB!C134,'HARGA SATUAN'!$C$7:$C$1492,0),0)),"",OFFSET('HARGA SATUAN'!$D$6,MATCH(RAB!C134,'HARGA SATUAN'!$C$7:$C$1492,0),0))</f>
        <v/>
      </c>
      <c r="E134" s="282" t="str">
        <f ca="1">IF(B134="+","Unit",IF(ISERROR(OFFSET('HARGA SATUAN'!$E$6,MATCH(RAB!C134,'HARGA SATUAN'!$C$7:$C$1492,0),0)),"",OFFSET('HARGA SATUAN'!$E$6,MATCH(RAB!C134,'HARGA SATUAN'!$C$7:$C$1492,0),0)))</f>
        <v/>
      </c>
      <c r="F134" s="400"/>
      <c r="G134" s="283">
        <f ca="1">IF(ISERROR(OFFSET('HARGA SATUAN'!$I$6,MATCH(RAB!C134,'HARGA SATUAN'!$C$7:$C$1492,0),0)),0,OFFSET('HARGA SATUAN'!$I$6,MATCH(RAB!C134,'HARGA SATUAN'!$C$7:$C$1492,0),0))</f>
        <v>0</v>
      </c>
      <c r="H134" s="284">
        <f t="shared" ca="1" si="51"/>
        <v>0</v>
      </c>
      <c r="I134" s="284">
        <f t="shared" ca="1" si="52"/>
        <v>0</v>
      </c>
      <c r="J134" s="284">
        <f t="shared" ca="1" si="53"/>
        <v>0</v>
      </c>
      <c r="K134" s="285">
        <f t="shared" ca="1" si="54"/>
        <v>0</v>
      </c>
      <c r="L134" s="265"/>
      <c r="M134" s="265"/>
      <c r="N134" s="290"/>
      <c r="O134" s="267"/>
      <c r="P134" s="267"/>
      <c r="Q134" s="267"/>
      <c r="R134" s="267"/>
      <c r="S134" s="267"/>
      <c r="T134" s="323"/>
      <c r="U134" s="323"/>
      <c r="V134" s="323"/>
    </row>
    <row r="135" spans="1:22" s="288" customFormat="1" ht="15">
      <c r="A135" s="259"/>
      <c r="B135" s="408"/>
      <c r="C135" s="410"/>
      <c r="D135" s="281" t="str">
        <f ca="1">IF(ISERROR(OFFSET('HARGA SATUAN'!$D$6,MATCH(RAB!C135,'HARGA SATUAN'!$C$7:$C$1492,0),0)),"",OFFSET('HARGA SATUAN'!$D$6,MATCH(RAB!C135,'HARGA SATUAN'!$C$7:$C$1492,0),0))</f>
        <v/>
      </c>
      <c r="E135" s="282" t="str">
        <f ca="1">IF(B135="+","Unit",IF(ISERROR(OFFSET('HARGA SATUAN'!$E$6,MATCH(RAB!C135,'HARGA SATUAN'!$C$7:$C$1492,0),0)),"",OFFSET('HARGA SATUAN'!$E$6,MATCH(RAB!C135,'HARGA SATUAN'!$C$7:$C$1492,0),0)))</f>
        <v/>
      </c>
      <c r="F135" s="400"/>
      <c r="G135" s="283">
        <f ca="1">IF(ISERROR(OFFSET('HARGA SATUAN'!$I$6,MATCH(RAB!C135,'HARGA SATUAN'!$C$7:$C$1492,0),0)),0,OFFSET('HARGA SATUAN'!$I$6,MATCH(RAB!C135,'HARGA SATUAN'!$C$7:$C$1492,0),0))</f>
        <v>0</v>
      </c>
      <c r="H135" s="284">
        <f t="shared" ca="1" si="51"/>
        <v>0</v>
      </c>
      <c r="I135" s="284">
        <f t="shared" ca="1" si="52"/>
        <v>0</v>
      </c>
      <c r="J135" s="284">
        <f t="shared" ca="1" si="53"/>
        <v>0</v>
      </c>
      <c r="K135" s="285">
        <f t="shared" ca="1" si="54"/>
        <v>0</v>
      </c>
      <c r="L135" s="265"/>
      <c r="M135" s="265"/>
      <c r="N135" s="290"/>
      <c r="O135" s="267"/>
      <c r="P135" s="267"/>
      <c r="Q135" s="267"/>
      <c r="R135" s="267"/>
      <c r="S135" s="267"/>
      <c r="T135" s="319"/>
      <c r="U135" s="319"/>
      <c r="V135" s="319"/>
    </row>
    <row r="136" spans="1:22" s="288" customFormat="1" ht="15">
      <c r="A136" s="259"/>
      <c r="B136" s="293"/>
      <c r="C136" s="405"/>
      <c r="D136" s="281" t="str">
        <f ca="1">IF(ISERROR(OFFSET('HARGA SATUAN'!$D$6,MATCH(RAB!C136,'HARGA SATUAN'!$C$7:$C$1492,0),0)),"",OFFSET('HARGA SATUAN'!$D$6,MATCH(RAB!C136,'HARGA SATUAN'!$C$7:$C$1492,0),0))</f>
        <v/>
      </c>
      <c r="E136" s="282" t="str">
        <f ca="1">IF(B136="+","Unit",IF(ISERROR(OFFSET('HARGA SATUAN'!$E$6,MATCH(RAB!C136,'HARGA SATUAN'!$C$7:$C$1492,0),0)),"",OFFSET('HARGA SATUAN'!$E$6,MATCH(RAB!C136,'HARGA SATUAN'!$C$7:$C$1492,0),0)))</f>
        <v/>
      </c>
      <c r="F136" s="400"/>
      <c r="G136" s="283">
        <f ca="1">IF(ISERROR(OFFSET('HARGA SATUAN'!$I$6,MATCH(RAB!C136,'HARGA SATUAN'!$C$7:$C$1492,0),0)),0,OFFSET('HARGA SATUAN'!$I$6,MATCH(RAB!C136,'HARGA SATUAN'!$C$7:$C$1492,0),0))</f>
        <v>0</v>
      </c>
      <c r="H136" s="284">
        <f t="shared" ca="1" si="51"/>
        <v>0</v>
      </c>
      <c r="I136" s="284">
        <f t="shared" ca="1" si="52"/>
        <v>0</v>
      </c>
      <c r="J136" s="284">
        <f t="shared" ca="1" si="53"/>
        <v>0</v>
      </c>
      <c r="K136" s="285">
        <f t="shared" ca="1" si="54"/>
        <v>0</v>
      </c>
      <c r="L136" s="265"/>
      <c r="M136" s="265"/>
      <c r="N136" s="290"/>
      <c r="O136" s="267"/>
      <c r="P136" s="267"/>
      <c r="Q136" s="267"/>
      <c r="R136" s="267"/>
      <c r="S136" s="267"/>
      <c r="T136" s="323"/>
      <c r="U136" s="323"/>
      <c r="V136" s="323"/>
    </row>
    <row r="137" spans="1:22" s="288" customFormat="1" ht="15">
      <c r="A137" s="259"/>
      <c r="B137" s="404"/>
      <c r="C137" s="405"/>
      <c r="D137" s="281" t="str">
        <f ca="1">IF(ISERROR(OFFSET('HARGA SATUAN'!$D$6,MATCH(RAB!C137,'HARGA SATUAN'!$C$7:$C$1492,0),0)),"",OFFSET('HARGA SATUAN'!$D$6,MATCH(RAB!C137,'HARGA SATUAN'!$C$7:$C$1492,0),0))</f>
        <v/>
      </c>
      <c r="E137" s="282" t="str">
        <f ca="1">IF(B137="+","Unit",IF(ISERROR(OFFSET('HARGA SATUAN'!$E$6,MATCH(RAB!C137,'HARGA SATUAN'!$C$7:$C$1492,0),0)),"",OFFSET('HARGA SATUAN'!$E$6,MATCH(RAB!C137,'HARGA SATUAN'!$C$7:$C$1492,0),0)))</f>
        <v/>
      </c>
      <c r="F137" s="400"/>
      <c r="G137" s="283">
        <f ca="1">IF(ISERROR(OFFSET('HARGA SATUAN'!$I$6,MATCH(RAB!C137,'HARGA SATUAN'!$C$7:$C$1492,0),0)),0,OFFSET('HARGA SATUAN'!$I$6,MATCH(RAB!C137,'HARGA SATUAN'!$C$7:$C$1492,0),0))</f>
        <v>0</v>
      </c>
      <c r="H137" s="284">
        <f t="shared" ca="1" si="51"/>
        <v>0</v>
      </c>
      <c r="I137" s="284">
        <f t="shared" ca="1" si="52"/>
        <v>0</v>
      </c>
      <c r="J137" s="284">
        <f t="shared" ca="1" si="53"/>
        <v>0</v>
      </c>
      <c r="K137" s="285">
        <f t="shared" ca="1" si="54"/>
        <v>0</v>
      </c>
      <c r="L137" s="326" t="e">
        <f ca="1">PROPER([92]!terbilang(K149))</f>
        <v>#NAME?</v>
      </c>
      <c r="M137" s="326"/>
      <c r="N137" s="290"/>
      <c r="O137" s="267"/>
      <c r="P137" s="267"/>
      <c r="Q137" s="267"/>
    </row>
    <row r="138" spans="1:22" s="288" customFormat="1" ht="15">
      <c r="A138" s="259"/>
      <c r="B138" s="293"/>
      <c r="C138" s="109"/>
      <c r="D138" s="281" t="str">
        <f ca="1">IF(ISERROR(OFFSET('HARGA SATUAN'!$D$6,MATCH(RAB!C138,'HARGA SATUAN'!$C$7:$C$1492,0),0)),"",OFFSET('HARGA SATUAN'!$D$6,MATCH(RAB!C138,'HARGA SATUAN'!$C$7:$C$1492,0),0))</f>
        <v/>
      </c>
      <c r="E138" s="282" t="str">
        <f ca="1">IF(B138="+","Unit",IF(ISERROR(OFFSET('HARGA SATUAN'!$E$6,MATCH(RAB!C138,'HARGA SATUAN'!$C$7:$C$1492,0),0)),"",OFFSET('HARGA SATUAN'!$E$6,MATCH(RAB!C138,'HARGA SATUAN'!$C$7:$C$1492,0),0)))</f>
        <v/>
      </c>
      <c r="F138" s="400"/>
      <c r="G138" s="283">
        <f ca="1">IF(ISERROR(OFFSET('HARGA SATUAN'!$I$6,MATCH(RAB!C138,'HARGA SATUAN'!$C$7:$C$1492,0),0)),0,OFFSET('HARGA SATUAN'!$I$6,MATCH(RAB!C138,'HARGA SATUAN'!$C$7:$C$1492,0),0))</f>
        <v>0</v>
      </c>
      <c r="H138" s="284">
        <f t="shared" ca="1" si="51"/>
        <v>0</v>
      </c>
      <c r="I138" s="284">
        <f t="shared" ca="1" si="52"/>
        <v>0</v>
      </c>
      <c r="J138" s="284">
        <f t="shared" ca="1" si="53"/>
        <v>0</v>
      </c>
      <c r="K138" s="285">
        <f t="shared" ca="1" si="54"/>
        <v>0</v>
      </c>
      <c r="L138" s="265"/>
      <c r="M138" s="265"/>
      <c r="N138" s="290"/>
      <c r="O138" s="267"/>
      <c r="P138" s="318"/>
      <c r="Q138" s="267"/>
    </row>
    <row r="139" spans="1:22" s="288" customFormat="1" ht="15">
      <c r="A139" s="259"/>
      <c r="B139" s="293"/>
      <c r="C139" s="294"/>
      <c r="D139" s="281" t="str">
        <f ca="1">IF(ISERROR(OFFSET('HARGA SATUAN'!$D$6,MATCH(RAB!C139,'HARGA SATUAN'!$C$7:$C$1492,0),0)),"",OFFSET('HARGA SATUAN'!$D$6,MATCH(RAB!C139,'HARGA SATUAN'!$C$7:$C$1492,0),0))</f>
        <v/>
      </c>
      <c r="E139" s="282" t="str">
        <f ca="1">IF(B139="+","Unit",IF(ISERROR(OFFSET('HARGA SATUAN'!$E$6,MATCH(RAB!C139,'HARGA SATUAN'!$C$7:$C$1492,0),0)),"",OFFSET('HARGA SATUAN'!$E$6,MATCH(RAB!C139,'HARGA SATUAN'!$C$7:$C$1492,0),0)))</f>
        <v/>
      </c>
      <c r="F139" s="400"/>
      <c r="G139" s="283">
        <f ca="1">IF(ISERROR(OFFSET('HARGA SATUAN'!$I$6,MATCH(RAB!C139,'HARGA SATUAN'!$C$7:$C$1492,0),0)),0,OFFSET('HARGA SATUAN'!$I$6,MATCH(RAB!C139,'HARGA SATUAN'!$C$7:$C$1492,0),0))</f>
        <v>0</v>
      </c>
      <c r="H139" s="284">
        <f t="shared" ca="1" si="51"/>
        <v>0</v>
      </c>
      <c r="I139" s="284">
        <f t="shared" ca="1" si="52"/>
        <v>0</v>
      </c>
      <c r="J139" s="284">
        <f t="shared" ca="1" si="53"/>
        <v>0</v>
      </c>
      <c r="K139" s="285">
        <f t="shared" ca="1" si="54"/>
        <v>0</v>
      </c>
      <c r="L139" s="265"/>
      <c r="M139" s="265"/>
      <c r="N139" s="290"/>
      <c r="O139" s="267"/>
      <c r="P139" s="267"/>
      <c r="Q139" s="267"/>
    </row>
    <row r="140" spans="1:22" s="288" customFormat="1" ht="15">
      <c r="A140" s="259"/>
      <c r="B140" s="293"/>
      <c r="C140" s="292"/>
      <c r="D140" s="281" t="str">
        <f ca="1">IF(ISERROR(OFFSET('HARGA SATUAN'!$D$6,MATCH(RAB!C140,'HARGA SATUAN'!$C$7:$C$1492,0),0)),"",OFFSET('HARGA SATUAN'!$D$6,MATCH(RAB!C140,'HARGA SATUAN'!$C$7:$C$1492,0),0))</f>
        <v/>
      </c>
      <c r="E140" s="282" t="str">
        <f ca="1">IF(B140="+","Unit",IF(ISERROR(OFFSET('HARGA SATUAN'!$E$6,MATCH(RAB!C140,'HARGA SATUAN'!$C$7:$C$1492,0),0)),"",OFFSET('HARGA SATUAN'!$E$6,MATCH(RAB!C140,'HARGA SATUAN'!$C$7:$C$1492,0),0)))</f>
        <v/>
      </c>
      <c r="F140" s="400"/>
      <c r="G140" s="283">
        <f ca="1">IF(ISERROR(OFFSET('HARGA SATUAN'!$I$6,MATCH(RAB!C140,'HARGA SATUAN'!$C$7:$C$1492,0),0)),0,OFFSET('HARGA SATUAN'!$I$6,MATCH(RAB!C140,'HARGA SATUAN'!$C$7:$C$1492,0),0))</f>
        <v>0</v>
      </c>
      <c r="H140" s="284">
        <f t="shared" ca="1" si="51"/>
        <v>0</v>
      </c>
      <c r="I140" s="284">
        <f t="shared" ca="1" si="52"/>
        <v>0</v>
      </c>
      <c r="J140" s="284">
        <f t="shared" ca="1" si="53"/>
        <v>0</v>
      </c>
      <c r="K140" s="285">
        <f t="shared" ca="1" si="54"/>
        <v>0</v>
      </c>
      <c r="L140" s="265"/>
      <c r="M140" s="265"/>
      <c r="N140" s="290"/>
      <c r="O140" s="267"/>
      <c r="P140" s="267"/>
      <c r="Q140" s="267"/>
    </row>
    <row r="141" spans="1:22" s="288" customFormat="1" ht="15">
      <c r="A141" s="259"/>
      <c r="B141" s="391"/>
      <c r="C141" s="392"/>
      <c r="D141" s="281" t="str">
        <f ca="1">IF(ISERROR(OFFSET('HARGA SATUAN'!$D$6,MATCH(RAB!C141,'HARGA SATUAN'!$C$7:$C$1492,0),0)),"",OFFSET('HARGA SATUAN'!$D$6,MATCH(RAB!C141,'HARGA SATUAN'!$C$7:$C$1492,0),0))</f>
        <v/>
      </c>
      <c r="E141" s="282" t="str">
        <f ca="1">IF(B141="+","Unit",IF(ISERROR(OFFSET('HARGA SATUAN'!$E$6,MATCH(RAB!C141,'HARGA SATUAN'!$C$7:$C$1492,0),0)),"",OFFSET('HARGA SATUAN'!$E$6,MATCH(RAB!C141,'HARGA SATUAN'!$C$7:$C$1492,0),0)))</f>
        <v/>
      </c>
      <c r="F141" s="390"/>
      <c r="G141" s="283">
        <f ca="1">IF(ISERROR(OFFSET('HARGA SATUAN'!$I$6,MATCH(RAB!C141,'HARGA SATUAN'!$C$7:$C$1492,0),0)),0,OFFSET('HARGA SATUAN'!$I$6,MATCH(RAB!C141,'HARGA SATUAN'!$C$7:$C$1492,0),0))</f>
        <v>0</v>
      </c>
      <c r="H141" s="284">
        <f t="shared" ca="1" si="51"/>
        <v>0</v>
      </c>
      <c r="I141" s="284">
        <f t="shared" ca="1" si="52"/>
        <v>0</v>
      </c>
      <c r="J141" s="284">
        <f t="shared" ca="1" si="53"/>
        <v>0</v>
      </c>
      <c r="K141" s="285">
        <f t="shared" ca="1" si="54"/>
        <v>0</v>
      </c>
      <c r="L141" s="265"/>
      <c r="M141" s="265"/>
      <c r="N141" s="290"/>
      <c r="O141" s="267"/>
      <c r="P141" s="267"/>
      <c r="Q141" s="267"/>
    </row>
    <row r="142" spans="1:22" ht="15">
      <c r="B142" s="295"/>
      <c r="C142" s="292"/>
      <c r="D142" s="281" t="str">
        <f ca="1">IF(ISERROR(OFFSET('HARGA SATUAN'!$D$6,MATCH(RAB!C142,'HARGA SATUAN'!$C$7:$C$1492,0),0)),"",OFFSET('HARGA SATUAN'!$D$6,MATCH(RAB!C142,'HARGA SATUAN'!$C$7:$C$1492,0),0))</f>
        <v/>
      </c>
      <c r="E142" s="282" t="str">
        <f ca="1">IF(B142="+","Unit",IF(ISERROR(OFFSET('HARGA SATUAN'!$E$6,MATCH(RAB!C142,'HARGA SATUAN'!$C$7:$C$1492,0),0)),"",OFFSET('HARGA SATUAN'!$E$6,MATCH(RAB!C142,'HARGA SATUAN'!$C$7:$C$1492,0),0)))</f>
        <v/>
      </c>
      <c r="F142" s="289"/>
      <c r="G142" s="283">
        <f ca="1">IF(ISERROR(OFFSET('HARGA SATUAN'!$I$6,MATCH(RAB!C142,'HARGA SATUAN'!$C$7:$C$1492,0),0)),0,OFFSET('HARGA SATUAN'!$I$6,MATCH(RAB!C142,'HARGA SATUAN'!$C$7:$C$1492,0),0))</f>
        <v>0</v>
      </c>
      <c r="H142" s="284">
        <f t="shared" ca="1" si="51"/>
        <v>0</v>
      </c>
      <c r="I142" s="284">
        <f t="shared" ca="1" si="52"/>
        <v>0</v>
      </c>
      <c r="J142" s="284">
        <f t="shared" ca="1" si="53"/>
        <v>0</v>
      </c>
      <c r="K142" s="285">
        <f t="shared" ca="1" si="54"/>
        <v>0</v>
      </c>
    </row>
    <row r="143" spans="1:22" ht="15">
      <c r="B143" s="296"/>
      <c r="C143" s="297" t="s">
        <v>465</v>
      </c>
      <c r="D143" s="281" t="str">
        <f ca="1">IF(ISERROR(OFFSET('HARGA SATUAN'!$D$6,MATCH(RAB!C143,'HARGA SATUAN'!$C$7:$C$1492,0),0)),"",OFFSET('HARGA SATUAN'!$D$6,MATCH(RAB!C143,'HARGA SATUAN'!$C$7:$C$1492,0),0))</f>
        <v/>
      </c>
      <c r="E143" s="282" t="str">
        <f ca="1">IF(B143="+","Unit",IF(ISERROR(OFFSET('HARGA SATUAN'!$E$6,MATCH(RAB!C143,'HARGA SATUAN'!$C$7:$C$1492,0),0)),"",OFFSET('HARGA SATUAN'!$E$6,MATCH(RAB!C143,'HARGA SATUAN'!$C$7:$C$1492,0),0)))</f>
        <v/>
      </c>
      <c r="F143" s="298"/>
      <c r="G143" s="283">
        <f ca="1">IF(ISERROR(OFFSET('HARGA SATUAN'!$I$6,MATCH(RAB!C143,'HARGA SATUAN'!$C$7:$C$1492,0),0)),0,OFFSET('HARGA SATUAN'!$I$6,MATCH(RAB!C143,'HARGA SATUAN'!$C$7:$C$1492,0),0))</f>
        <v>0</v>
      </c>
      <c r="H143" s="284">
        <f t="shared" ref="H143" ca="1" si="59">IF(OR(D143="MDU",D143="MDU-KD"),(IF($O$3="RAB NON MDU","PLN KD",G143*F143)),0)</f>
        <v>0</v>
      </c>
      <c r="I143" s="284">
        <f ca="1">IF(D143="HDW",G143*F143,0)</f>
        <v>0</v>
      </c>
      <c r="J143" s="284">
        <f ca="1">IF(D143="JASA",G143*F143,0)</f>
        <v>0</v>
      </c>
      <c r="K143" s="285">
        <f ca="1">SUM(H143:J143)</f>
        <v>0</v>
      </c>
    </row>
    <row r="144" spans="1:22" ht="15">
      <c r="B144" s="299">
        <v>1</v>
      </c>
      <c r="C144" s="300" t="s">
        <v>1062</v>
      </c>
      <c r="D144" s="301" t="str">
        <f ca="1">IF(ISERROR(OFFSET('HARGA SATUAN'!$D$6,MATCH(RAB!C144,'HARGA SATUAN'!$C$7:$C$1492,0),0)),"",OFFSET('HARGA SATUAN'!$D$6,MATCH(RAB!C144,'HARGA SATUAN'!$C$7:$C$1492,0),0))</f>
        <v>JASA</v>
      </c>
      <c r="E144" s="302" t="str">
        <f ca="1">IF(ISERROR(OFFSET('HARGA SATUAN'!$E$6,MATCH(RAB!C144,'HARGA SATUAN'!$C$7:$C$1492,0),0)),"",OFFSET('HARGA SATUAN'!$E$6,MATCH(RAB!C144,'HARGA SATUAN'!$C$7:$C$1492,0),0))</f>
        <v>Lot</v>
      </c>
      <c r="F144" s="303">
        <v>1</v>
      </c>
      <c r="G144" s="304">
        <f ca="1">IF(ISERROR(OFFSET('HARGA SATUAN'!$I$6,MATCH(RAB!C144,'HARGA SATUAN'!$C$7:$C$1492,0),0)),0,OFFSET('HARGA SATUAN'!$I$6,MATCH(RAB!C144,'HARGA SATUAN'!$C$7:$C$1492,0),0))</f>
        <v>2.5000000000000001E-2</v>
      </c>
      <c r="H144" s="305"/>
      <c r="I144" s="305"/>
      <c r="J144" s="305">
        <f ca="1">SUM(K15:K142)*G144</f>
        <v>1812576.5750000002</v>
      </c>
      <c r="K144" s="306">
        <f ca="1">SUM(H144:J144)</f>
        <v>1812576.5750000002</v>
      </c>
    </row>
    <row r="145" spans="2:13" ht="15">
      <c r="B145" s="307"/>
      <c r="C145" s="308"/>
      <c r="D145" s="281" t="str">
        <f ca="1">IF(ISERROR(OFFSET('HARGA SATUAN'!$D$6,MATCH(RAB!C145,'HARGA SATUAN'!$C$7:$C$1492,0),0)),"",OFFSET('HARGA SATUAN'!$D$6,MATCH(RAB!C145,'HARGA SATUAN'!$C$7:$C$1492,0),0))</f>
        <v/>
      </c>
      <c r="E145" s="282" t="str">
        <f ca="1">IF(ISERROR(OFFSET('HARGA SATUAN'!$E$6,MATCH(RAB!C145,'HARGA SATUAN'!$C$7:$C$1492,0),0)),"",OFFSET('HARGA SATUAN'!$E$6,MATCH(RAB!C145,'HARGA SATUAN'!$C$7:$C$1492,0),0))</f>
        <v/>
      </c>
      <c r="F145" s="298"/>
      <c r="G145" s="283" t="str">
        <f ca="1">IF(ISERROR(OFFSET('HARGA SATUAN'!$I$6,MATCH(RAB!C145,'HARGA SATUAN'!$C$7:$C$1492,0),0)),"",OFFSET('HARGA SATUAN'!$I$6,MATCH(RAB!C145,'HARGA SATUAN'!$C$7:$C$1492,0),0))</f>
        <v/>
      </c>
      <c r="H145" s="284">
        <f ca="1">IF(OR(D145="MDU",D145="MDU-KD"),IF(G145="PLN",0,G145*F145),0)</f>
        <v>0</v>
      </c>
      <c r="I145" s="284">
        <f ca="1">IF(D145="HDW",IF(G145="PLN",0,G145*F145),0)</f>
        <v>0</v>
      </c>
      <c r="J145" s="284">
        <f ca="1">IF(D145="JASA",IF(G145="PLN",0,G145*F145),0)</f>
        <v>0</v>
      </c>
      <c r="K145" s="285">
        <f ca="1">SUM(H145:J145)</f>
        <v>0</v>
      </c>
    </row>
    <row r="146" spans="2:13" ht="15" thickBot="1">
      <c r="B146" s="309"/>
      <c r="C146" s="310"/>
      <c r="D146" s="311"/>
      <c r="E146" s="312"/>
      <c r="F146" s="312"/>
      <c r="G146" s="312"/>
      <c r="H146" s="313"/>
      <c r="I146" s="313"/>
      <c r="J146" s="313"/>
      <c r="K146" s="314"/>
    </row>
    <row r="147" spans="2:13">
      <c r="B147" s="315"/>
      <c r="C147" s="622" t="s">
        <v>981</v>
      </c>
      <c r="D147" s="622"/>
      <c r="E147" s="622"/>
      <c r="F147" s="622"/>
      <c r="G147" s="316" t="s">
        <v>9</v>
      </c>
      <c r="H147" s="317">
        <f ca="1">SUM(H14:H145)</f>
        <v>64337800</v>
      </c>
      <c r="I147" s="317">
        <f ca="1">SUM(I14:I145)</f>
        <v>3264643</v>
      </c>
      <c r="J147" s="317">
        <f ca="1">SUM(J14:J145)</f>
        <v>6713196.5750000002</v>
      </c>
      <c r="K147" s="317">
        <f ca="1">SUM(K14:K145)</f>
        <v>74315639.575000003</v>
      </c>
    </row>
    <row r="148" spans="2:13">
      <c r="B148" s="320"/>
      <c r="C148" s="639" t="s">
        <v>1427</v>
      </c>
      <c r="D148" s="639"/>
      <c r="E148" s="639"/>
      <c r="F148" s="639"/>
      <c r="G148" s="321" t="s">
        <v>9</v>
      </c>
      <c r="H148" s="322">
        <f ca="1">H147*0.11</f>
        <v>7077158</v>
      </c>
      <c r="I148" s="322">
        <f ca="1">I147*0.11</f>
        <v>359110.73</v>
      </c>
      <c r="J148" s="322">
        <f ca="1">J147*0.11</f>
        <v>738451.62325000006</v>
      </c>
      <c r="K148" s="322">
        <f ca="1">K147*0.11</f>
        <v>8174720.3532500006</v>
      </c>
    </row>
    <row r="149" spans="2:13" ht="15" thickBot="1">
      <c r="B149" s="320"/>
      <c r="C149" s="638" t="s">
        <v>453</v>
      </c>
      <c r="D149" s="638"/>
      <c r="E149" s="638"/>
      <c r="F149" s="638"/>
      <c r="G149" s="324" t="s">
        <v>9</v>
      </c>
      <c r="H149" s="325">
        <f ca="1">SUM(H147:H148)</f>
        <v>71414958</v>
      </c>
      <c r="I149" s="325">
        <f ca="1">SUM(I147:I148)</f>
        <v>3623753.73</v>
      </c>
      <c r="J149" s="324">
        <f ca="1">SUM(J147:J148)</f>
        <v>7451648.1982500004</v>
      </c>
      <c r="K149" s="324">
        <f ca="1">SUM(K147:K148)</f>
        <v>82490359.92825</v>
      </c>
      <c r="M149" s="393"/>
    </row>
    <row r="150" spans="2:13">
      <c r="B150" s="640" t="str">
        <f ca="1">"Terbilang : "&amp;PROPER(IF(K149=0,"nol",IF(K149&lt;0,"minus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IF(--MID(TEXT(ABS(K149),"000000000000000"),1,3)=0,"",MID(TEXT(ABS(K149),"000000000000000"),1,1)&amp;" ratus "&amp;MID(TEXT(ABS(K149),"000000000000000"),2,1)&amp;" puluh "&amp;MID(TEXT(ABS(K149),"000000000000000"),3,1)&amp;" trilyun ")&amp; IF(--MID(TEXT(ABS(K149),"000000000000000"),4,3)=0,"",MID(TEXT(ABS(K149),"000000000000000"),4,1)&amp;" ratus "&amp;MID(TEXT(ABS(K149),"000000000000000"),5,1)&amp;" puluh "&amp;MID(TEXT(ABS(K149),"000000000000000"),6,1)&amp;" milyar ")&amp; IF(--MID(TEXT(ABS(K149),"000000000000000"),7,3)=0,"",MID(TEXT(ABS(K149),"000000000000000"),7,1)&amp;" ratus "&amp;MID(TEXT(ABS(K149),"000000000000000"),8,1)&amp;" puluh "&amp;MID(TEXT(ABS(K149),"000000000000000"),9,1)&amp;" juta ")&amp; IF(--MID(TEXT(ABS(K149),"000000000000000"),10,3)=0,"",IF(--MID(TEXT(ABS(K149),"000000000000000"),10,3)=1,"*",MID(TEXT(ABS(K149),"000000000000000"),10,1)&amp;" ratus "&amp;MID(TEXT(ABS(K149),"000000000000000"),11,1)&amp;" puluh ")&amp;MID(TEXT(ABS(K149),"000000000000000"),12,1)&amp;" ribu ")&amp; IF(--MID(TEXT(ABS(K149),"000000000000000"),13,3)=0,"",MID(TEXT(ABS(K149),"000000000000000"),13,1)&amp;" ratus "&amp;MID(TEXT(ABS(K149),"000000000000000"),14,1)&amp;" puluh "&amp;MID(TEXT(ABS(K149),"000000000000000"),15,1)),1,"satu"),2,"dua"),3,"tiga"),4,"empat"),5,"lima"),6,"enam"),7,"tujuh"),8,"delapan"),9,"sembilan"),"0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Empat Ratus Sembilan Puluh Ribu Tiga Ratus Enam Puluh Rupiah</v>
      </c>
      <c r="C150" s="641"/>
      <c r="D150" s="641"/>
      <c r="E150" s="641"/>
      <c r="F150" s="641"/>
      <c r="G150" s="641"/>
      <c r="H150" s="641"/>
      <c r="I150" s="641"/>
      <c r="J150" s="641"/>
      <c r="K150" s="642"/>
    </row>
    <row r="151" spans="2:13">
      <c r="B151" s="643"/>
      <c r="C151" s="644"/>
      <c r="D151" s="644"/>
      <c r="E151" s="644"/>
      <c r="F151" s="644"/>
      <c r="G151" s="644"/>
      <c r="H151" s="644"/>
      <c r="I151" s="644"/>
      <c r="J151" s="644"/>
      <c r="K151" s="645"/>
    </row>
    <row r="152" spans="2:13" ht="15" thickBot="1">
      <c r="B152" s="327" t="str">
        <f>"Harga yang dipakai adalah "&amp;'HARGA SATUAN'!I5&amp;""</f>
        <v>Harga yang dipakai adalah RAB HSS 2023</v>
      </c>
      <c r="C152" s="328"/>
      <c r="D152" s="329"/>
      <c r="E152" s="329"/>
      <c r="F152" s="329"/>
      <c r="G152" s="330"/>
      <c r="H152" s="330"/>
      <c r="I152" s="330"/>
      <c r="J152" s="330"/>
      <c r="K152" s="331"/>
    </row>
    <row r="153" spans="2:13">
      <c r="C153" s="332"/>
      <c r="E153" s="334"/>
      <c r="F153" s="334"/>
      <c r="G153" s="334"/>
    </row>
    <row r="154" spans="2:13">
      <c r="C154" s="260"/>
      <c r="E154" s="334"/>
      <c r="F154" s="334"/>
      <c r="G154" s="334"/>
      <c r="H154" s="646"/>
      <c r="I154" s="646"/>
      <c r="J154" s="647"/>
      <c r="K154" s="647"/>
    </row>
    <row r="155" spans="2:13">
      <c r="C155" s="260"/>
      <c r="E155" s="334"/>
      <c r="F155" s="334"/>
      <c r="G155" s="334"/>
      <c r="H155" s="335"/>
      <c r="I155" s="637" t="s">
        <v>1645</v>
      </c>
      <c r="J155" s="637"/>
      <c r="K155" s="637"/>
    </row>
    <row r="156" spans="2:13">
      <c r="C156" s="260"/>
      <c r="E156" s="334"/>
      <c r="F156" s="334"/>
      <c r="G156" s="334"/>
      <c r="H156" s="335"/>
      <c r="I156" s="637" t="s">
        <v>1646</v>
      </c>
      <c r="J156" s="637"/>
      <c r="K156" s="637"/>
    </row>
    <row r="157" spans="2:13">
      <c r="C157" s="260"/>
      <c r="E157" s="334"/>
      <c r="F157" s="334"/>
      <c r="G157" s="334"/>
      <c r="H157" s="336"/>
      <c r="I157" s="337"/>
      <c r="J157" s="337"/>
      <c r="K157" s="337"/>
    </row>
    <row r="158" spans="2:13">
      <c r="C158" s="260"/>
      <c r="E158" s="334"/>
      <c r="F158" s="334"/>
      <c r="G158" s="334"/>
      <c r="H158" s="336"/>
      <c r="I158" s="336"/>
      <c r="J158" s="336"/>
      <c r="K158" s="336"/>
    </row>
    <row r="159" spans="2:13">
      <c r="C159" s="260"/>
      <c r="E159" s="334"/>
      <c r="F159" s="334"/>
      <c r="G159" s="334"/>
      <c r="H159" s="336"/>
      <c r="I159" s="336"/>
      <c r="J159" s="336"/>
      <c r="K159" s="336"/>
    </row>
    <row r="160" spans="2:13">
      <c r="C160" s="260"/>
      <c r="E160" s="334"/>
      <c r="F160" s="334"/>
      <c r="G160" s="334"/>
      <c r="H160" s="336"/>
      <c r="I160" s="336"/>
      <c r="J160" s="336"/>
      <c r="K160" s="336"/>
    </row>
    <row r="161" spans="3:11">
      <c r="C161" s="260"/>
      <c r="E161" s="334"/>
      <c r="F161" s="334"/>
      <c r="G161" s="334"/>
      <c r="H161" s="338"/>
      <c r="I161" s="637" t="s">
        <v>1647</v>
      </c>
      <c r="J161" s="637"/>
      <c r="K161" s="637"/>
    </row>
    <row r="162" spans="3:11">
      <c r="C162" s="332"/>
      <c r="E162" s="334"/>
      <c r="F162" s="334"/>
      <c r="G162" s="334"/>
      <c r="H162" s="336"/>
      <c r="I162" s="336"/>
      <c r="J162" s="336"/>
      <c r="K162" s="336"/>
    </row>
    <row r="163" spans="3:11">
      <c r="C163" s="332"/>
      <c r="E163" s="334"/>
      <c r="F163" s="334"/>
      <c r="G163" s="334"/>
      <c r="H163" s="336"/>
      <c r="I163" s="336"/>
      <c r="J163" s="336"/>
      <c r="K163" s="336"/>
    </row>
    <row r="164" spans="3:11">
      <c r="C164" s="332"/>
      <c r="E164" s="334"/>
      <c r="F164" s="334"/>
      <c r="G164" s="334"/>
      <c r="H164" s="336"/>
      <c r="I164" s="336"/>
      <c r="J164" s="336"/>
      <c r="K164" s="336"/>
    </row>
  </sheetData>
  <sheetProtection sort="0" autoFilter="0"/>
  <protectedRanges>
    <protectedRange sqref="B142 B118:C118 B119 B120:C128 B141:C141 B117 B97:B98 B99:C99 B100 B101:C109" name="Range1_1"/>
    <protectedRange sqref="F97 F142" name="Range1_1_3"/>
    <protectedRange sqref="F15" name="Range1_1_2_2"/>
    <protectedRange sqref="B135:C135 B136 B137:C140 B134 B129:C129 B132:C133 B130:B131 B116:C116 B115 B110:C110 B113:C114 B111:B112" name="Range1_1_1"/>
    <protectedRange sqref="C131 C112" name="Range1_1_4"/>
    <protectedRange sqref="B92 B93:C95 B88:C91" name="Range1_1_5"/>
    <protectedRange sqref="C92" name="Range1_1_2_4"/>
    <protectedRange sqref="B87:C87" name="Range1_1_6"/>
    <protectedRange sqref="B69:C70 B68 B38:C40 B79 B35:B36 B22:C34 B18:B20 B80:C82 B73:C78 B71:B72 B83:B86 B58:C67 B41:B47" name="Range1_1_2"/>
    <protectedRange sqref="B15 C35:C36 B21:C21 C18:C20 B37:C37" name="Range1_6"/>
    <protectedRange sqref="C68" name="Range1_1_2_1"/>
    <protectedRange sqref="C79" name="Range1_1_2_3"/>
    <protectedRange sqref="C72" name="Range1_3"/>
    <protectedRange sqref="C71" name="Range1_2_1"/>
    <protectedRange sqref="C41:C47" name="Range1_1_1_2"/>
    <protectedRange sqref="B48:C57" name="Range1_1_4_2"/>
    <protectedRange sqref="B16:B17" name="Range1_1_1_1_1"/>
    <protectedRange sqref="C17" name="Range1_6_1_2"/>
    <protectedRange sqref="C16" name="Range1_1_2_12"/>
    <protectedRange sqref="C84" name="Range1_1_2_3_1"/>
    <protectedRange sqref="C83" name="Range1_1_2_10_1"/>
    <protectedRange sqref="C85" name="Range1_1_2_11"/>
    <protectedRange sqref="C86" name="Range1_1_2_13"/>
  </protectedRanges>
  <mergeCells count="22">
    <mergeCell ref="I156:K156"/>
    <mergeCell ref="I161:K161"/>
    <mergeCell ref="C149:F149"/>
    <mergeCell ref="I155:K155"/>
    <mergeCell ref="C148:F148"/>
    <mergeCell ref="B150:K151"/>
    <mergeCell ref="H154:K154"/>
    <mergeCell ref="O3:P4"/>
    <mergeCell ref="B4:K4"/>
    <mergeCell ref="C147:F147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18" type="noConversion"/>
  <conditionalFormatting sqref="C15:C16">
    <cfRule type="cellIs" dxfId="22" priority="11" operator="equal">
      <formula>0</formula>
    </cfRule>
  </conditionalFormatting>
  <conditionalFormatting sqref="C21">
    <cfRule type="cellIs" dxfId="21" priority="6" operator="equal">
      <formula>0</formula>
    </cfRule>
  </conditionalFormatting>
  <conditionalFormatting sqref="C25">
    <cfRule type="cellIs" dxfId="20" priority="5" operator="equal">
      <formula>0</formula>
    </cfRule>
  </conditionalFormatting>
  <conditionalFormatting sqref="C68">
    <cfRule type="cellIs" dxfId="19" priority="14" operator="equal">
      <formula>0</formula>
    </cfRule>
  </conditionalFormatting>
  <conditionalFormatting sqref="C71:C72">
    <cfRule type="cellIs" dxfId="18" priority="13" operator="equal">
      <formula>0</formula>
    </cfRule>
  </conditionalFormatting>
  <conditionalFormatting sqref="C76">
    <cfRule type="cellIs" dxfId="17" priority="12" operator="equal">
      <formula>0</formula>
    </cfRule>
  </conditionalFormatting>
  <conditionalFormatting sqref="C83:C86">
    <cfRule type="cellIs" dxfId="16" priority="7" operator="equal">
      <formula>0</formula>
    </cfRule>
  </conditionalFormatting>
  <conditionalFormatting sqref="C89">
    <cfRule type="cellIs" dxfId="15" priority="47" operator="equal">
      <formula>0</formula>
    </cfRule>
  </conditionalFormatting>
  <conditionalFormatting sqref="C136">
    <cfRule type="cellIs" dxfId="14" priority="111" operator="equal">
      <formula>0</formula>
    </cfRule>
  </conditionalFormatting>
  <conditionalFormatting sqref="C140">
    <cfRule type="cellIs" dxfId="13" priority="112" operator="equal">
      <formula>0</formula>
    </cfRule>
  </conditionalFormatting>
  <conditionalFormatting sqref="C142">
    <cfRule type="cellIs" dxfId="12" priority="185" operator="equal">
      <formula>0</formula>
    </cfRule>
  </conditionalFormatting>
  <conditionalFormatting sqref="E1:E3 H12:I12 O13 H142:K146 G143:H143 E145:H145 E146:F146">
    <cfRule type="cellIs" dxfId="11" priority="988" stopIfTrue="1" operator="equal">
      <formula>0</formula>
    </cfRule>
  </conditionalFormatting>
  <conditionalFormatting sqref="E5:E101">
    <cfRule type="cellIs" dxfId="10" priority="64" stopIfTrue="1" operator="equal">
      <formula>0</formula>
    </cfRule>
  </conditionalFormatting>
  <conditionalFormatting sqref="E142:G144">
    <cfRule type="cellIs" dxfId="9" priority="184" stopIfTrue="1" operator="equal">
      <formula>0</formula>
    </cfRule>
  </conditionalFormatting>
  <conditionalFormatting sqref="E102:K141">
    <cfRule type="cellIs" dxfId="8" priority="63" stopIfTrue="1" operator="equal">
      <formula>0</formula>
    </cfRule>
  </conditionalFormatting>
  <conditionalFormatting sqref="F16:F95">
    <cfRule type="cellIs" dxfId="7" priority="1" stopIfTrue="1" operator="equal">
      <formula>0</formula>
    </cfRule>
  </conditionalFormatting>
  <conditionalFormatting sqref="F97:F101">
    <cfRule type="cellIs" dxfId="6" priority="67" stopIfTrue="1" operator="equal">
      <formula>0</formula>
    </cfRule>
  </conditionalFormatting>
  <conditionalFormatting sqref="F14:K15">
    <cfRule type="cellIs" dxfId="5" priority="210" stopIfTrue="1" operator="equal">
      <formula>0</formula>
    </cfRule>
  </conditionalFormatting>
  <conditionalFormatting sqref="G1:G13">
    <cfRule type="cellIs" dxfId="4" priority="15" stopIfTrue="1" operator="equal">
      <formula>0</formula>
    </cfRule>
  </conditionalFormatting>
  <conditionalFormatting sqref="G145:G65611 E150:E65611">
    <cfRule type="cellIs" dxfId="3" priority="122" stopIfTrue="1" operator="equal">
      <formula>0</formula>
    </cfRule>
  </conditionalFormatting>
  <conditionalFormatting sqref="G16:K101">
    <cfRule type="cellIs" dxfId="2" priority="66" stopIfTrue="1" operator="equal">
      <formula>0</formula>
    </cfRule>
  </conditionalFormatting>
  <conditionalFormatting sqref="S14:V108">
    <cfRule type="cellIs" dxfId="1" priority="65" stopIfTrue="1" operator="equal">
      <formula>0</formula>
    </cfRule>
  </conditionalFormatting>
  <conditionalFormatting sqref="S117:V127">
    <cfRule type="cellIs" dxfId="0" priority="78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17:F130 H14:K146 F98:F111 F141 F114:F115 F133:F134 C22:C24 F18:F9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37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DE823-0DF3-4727-BE8E-4C73614AC7A8}">
  <sheetPr>
    <tabColor rgb="FF92D050"/>
  </sheetPr>
  <dimension ref="C1:AD55"/>
  <sheetViews>
    <sheetView showGridLines="0" view="pageBreakPreview" topLeftCell="D10" zoomScaleNormal="100" zoomScaleSheetLayoutView="100" workbookViewId="0">
      <selection activeCell="P36" sqref="P36"/>
    </sheetView>
  </sheetViews>
  <sheetFormatPr baseColWidth="10" defaultColWidth="9.1640625" defaultRowHeight="12"/>
  <cols>
    <col min="1" max="2" width="1.5" style="488" customWidth="1"/>
    <col min="3" max="3" width="7.5" style="488" customWidth="1"/>
    <col min="4" max="23" width="5.6640625" style="488" customWidth="1"/>
    <col min="24" max="24" width="6.33203125" style="488" customWidth="1"/>
    <col min="25" max="26" width="5.6640625" style="488" customWidth="1"/>
    <col min="27" max="27" width="6.5" style="488" customWidth="1"/>
    <col min="28" max="118" width="5.6640625" style="488" customWidth="1"/>
    <col min="119" max="16384" width="9.1640625" style="488"/>
  </cols>
  <sheetData>
    <row r="1" spans="3:30" ht="13" thickBot="1"/>
    <row r="2" spans="3:30" ht="12.75" customHeight="1">
      <c r="C2" s="411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/>
      <c r="S2" s="412"/>
      <c r="T2" s="412"/>
      <c r="U2" s="412"/>
      <c r="V2" s="412"/>
      <c r="W2" s="709" t="s">
        <v>1410</v>
      </c>
      <c r="X2" s="710"/>
      <c r="Y2" s="710"/>
      <c r="Z2" s="710"/>
      <c r="AA2" s="710"/>
      <c r="AB2" s="710"/>
      <c r="AC2" s="710"/>
      <c r="AD2" s="711"/>
    </row>
    <row r="3" spans="3:30">
      <c r="C3" s="413"/>
      <c r="D3" s="507" t="s">
        <v>1627</v>
      </c>
      <c r="E3" s="507"/>
      <c r="F3" s="508"/>
      <c r="G3" s="507"/>
      <c r="H3" s="507"/>
      <c r="I3" s="507"/>
      <c r="J3" s="507"/>
      <c r="K3" s="508"/>
      <c r="L3" s="508"/>
      <c r="W3" s="712"/>
      <c r="X3" s="713"/>
      <c r="Y3" s="713"/>
      <c r="Z3" s="713"/>
      <c r="AA3" s="713"/>
      <c r="AB3" s="713"/>
      <c r="AC3" s="713"/>
      <c r="AD3" s="714"/>
    </row>
    <row r="4" spans="3:30">
      <c r="C4" s="413"/>
      <c r="D4" s="704"/>
      <c r="E4" s="704"/>
      <c r="F4" s="449" t="s">
        <v>1584</v>
      </c>
      <c r="G4" s="705" t="s">
        <v>1585</v>
      </c>
      <c r="H4" s="706"/>
      <c r="I4" s="705" t="s">
        <v>1586</v>
      </c>
      <c r="J4" s="706"/>
      <c r="K4" s="707" t="s">
        <v>1587</v>
      </c>
      <c r="L4" s="708"/>
      <c r="W4" s="414" t="s">
        <v>1588</v>
      </c>
      <c r="AD4" s="415"/>
    </row>
    <row r="5" spans="3:30">
      <c r="C5" s="413"/>
      <c r="D5" s="704" t="s">
        <v>1589</v>
      </c>
      <c r="E5" s="704"/>
      <c r="F5" s="449"/>
      <c r="G5" s="705"/>
      <c r="H5" s="706"/>
      <c r="I5" s="705"/>
      <c r="J5" s="706"/>
      <c r="K5" s="707"/>
      <c r="L5" s="708"/>
      <c r="W5" s="448" t="s">
        <v>1590</v>
      </c>
      <c r="X5" s="654" t="s">
        <v>1591</v>
      </c>
      <c r="Y5" s="654"/>
      <c r="Z5" s="654"/>
      <c r="AA5" s="654" t="s">
        <v>1592</v>
      </c>
      <c r="AB5" s="654"/>
      <c r="AC5" s="654" t="s">
        <v>1593</v>
      </c>
      <c r="AD5" s="655"/>
    </row>
    <row r="6" spans="3:30">
      <c r="C6" s="413"/>
      <c r="D6" s="704" t="s">
        <v>1594</v>
      </c>
      <c r="E6" s="704"/>
      <c r="F6" s="449"/>
      <c r="G6" s="705"/>
      <c r="H6" s="706"/>
      <c r="I6" s="705"/>
      <c r="J6" s="706"/>
      <c r="K6" s="707"/>
      <c r="L6" s="708"/>
      <c r="W6" s="448">
        <v>1</v>
      </c>
      <c r="X6" s="654" t="s">
        <v>1595</v>
      </c>
      <c r="Y6" s="654"/>
      <c r="Z6" s="654"/>
      <c r="AA6" s="654"/>
      <c r="AB6" s="654"/>
      <c r="AC6" s="654"/>
      <c r="AD6" s="655"/>
    </row>
    <row r="7" spans="3:30">
      <c r="C7" s="413"/>
      <c r="W7" s="448">
        <v>2</v>
      </c>
      <c r="X7" s="654" t="s">
        <v>1596</v>
      </c>
      <c r="Y7" s="654"/>
      <c r="Z7" s="654"/>
      <c r="AA7" s="654"/>
      <c r="AB7" s="654"/>
      <c r="AC7" s="654"/>
      <c r="AD7" s="655"/>
    </row>
    <row r="8" spans="3:30">
      <c r="C8" s="413"/>
      <c r="W8" s="448">
        <v>3</v>
      </c>
      <c r="X8" s="654" t="s">
        <v>1597</v>
      </c>
      <c r="Y8" s="654"/>
      <c r="Z8" s="654"/>
      <c r="AA8" s="654"/>
      <c r="AB8" s="654"/>
      <c r="AC8" s="654"/>
      <c r="AD8" s="655"/>
    </row>
    <row r="9" spans="3:30">
      <c r="C9" s="413"/>
      <c r="W9" s="448">
        <v>4</v>
      </c>
      <c r="X9" s="654" t="s">
        <v>1598</v>
      </c>
      <c r="Y9" s="654"/>
      <c r="Z9" s="654"/>
      <c r="AA9" s="654"/>
      <c r="AB9" s="654"/>
      <c r="AC9" s="654"/>
      <c r="AD9" s="655"/>
    </row>
    <row r="10" spans="3:30">
      <c r="C10" s="413"/>
      <c r="W10" s="448">
        <v>5</v>
      </c>
      <c r="X10" s="654" t="s">
        <v>1599</v>
      </c>
      <c r="Y10" s="654"/>
      <c r="Z10" s="654"/>
      <c r="AA10" s="654"/>
      <c r="AB10" s="654"/>
      <c r="AC10" s="654"/>
      <c r="AD10" s="655"/>
    </row>
    <row r="11" spans="3:30">
      <c r="C11" s="413"/>
      <c r="W11" s="448">
        <v>6</v>
      </c>
      <c r="X11" s="654" t="s">
        <v>1600</v>
      </c>
      <c r="Y11" s="654"/>
      <c r="Z11" s="654"/>
      <c r="AA11" s="654"/>
      <c r="AB11" s="654"/>
      <c r="AC11" s="654"/>
      <c r="AD11" s="655"/>
    </row>
    <row r="12" spans="3:30">
      <c r="C12" s="413"/>
      <c r="W12" s="448">
        <v>7</v>
      </c>
      <c r="X12" s="654" t="s">
        <v>1601</v>
      </c>
      <c r="Y12" s="654"/>
      <c r="Z12" s="654"/>
      <c r="AA12" s="654"/>
      <c r="AB12" s="654"/>
      <c r="AC12" s="654"/>
      <c r="AD12" s="655"/>
    </row>
    <row r="13" spans="3:30" ht="12.75" customHeight="1">
      <c r="C13" s="413"/>
      <c r="W13" s="448">
        <v>8</v>
      </c>
      <c r="X13" s="654" t="s">
        <v>1602</v>
      </c>
      <c r="Y13" s="654"/>
      <c r="Z13" s="654"/>
      <c r="AA13" s="654"/>
      <c r="AB13" s="654"/>
      <c r="AC13" s="654"/>
      <c r="AD13" s="655"/>
    </row>
    <row r="14" spans="3:30">
      <c r="C14" s="413"/>
      <c r="W14" s="448">
        <v>9</v>
      </c>
      <c r="X14" s="654" t="s">
        <v>1603</v>
      </c>
      <c r="Y14" s="654"/>
      <c r="Z14" s="654"/>
      <c r="AA14" s="654"/>
      <c r="AB14" s="654"/>
      <c r="AC14" s="654"/>
      <c r="AD14" s="655"/>
    </row>
    <row r="15" spans="3:30">
      <c r="C15" s="413"/>
      <c r="W15" s="448">
        <v>10</v>
      </c>
      <c r="X15" s="654" t="s">
        <v>1604</v>
      </c>
      <c r="Y15" s="654"/>
      <c r="Z15" s="654"/>
      <c r="AA15" s="654"/>
      <c r="AB15" s="654"/>
      <c r="AC15" s="654"/>
      <c r="AD15" s="655"/>
    </row>
    <row r="16" spans="3:30">
      <c r="C16" s="413"/>
      <c r="W16" s="448">
        <v>11</v>
      </c>
      <c r="X16" s="654" t="s">
        <v>1605</v>
      </c>
      <c r="Y16" s="654"/>
      <c r="Z16" s="654"/>
      <c r="AA16" s="654"/>
      <c r="AB16" s="654"/>
      <c r="AC16" s="654"/>
      <c r="AD16" s="655"/>
    </row>
    <row r="17" spans="3:30">
      <c r="C17" s="413"/>
      <c r="S17" s="416"/>
      <c r="W17" s="448">
        <v>12</v>
      </c>
      <c r="X17" s="654" t="s">
        <v>1606</v>
      </c>
      <c r="Y17" s="654"/>
      <c r="Z17" s="654"/>
      <c r="AA17" s="654"/>
      <c r="AB17" s="654"/>
      <c r="AC17" s="654"/>
      <c r="AD17" s="655"/>
    </row>
    <row r="18" spans="3:30">
      <c r="C18" s="417"/>
      <c r="D18" s="418"/>
      <c r="E18" s="418"/>
      <c r="W18" s="448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413"/>
      <c r="W19" s="446"/>
      <c r="X19" s="693"/>
      <c r="Y19" s="693"/>
      <c r="Z19" s="693"/>
      <c r="AA19" s="693"/>
      <c r="AB19" s="693"/>
      <c r="AC19" s="693"/>
      <c r="AD19" s="694"/>
    </row>
    <row r="20" spans="3:30">
      <c r="C20" s="413"/>
      <c r="W20" s="695" t="s">
        <v>1607</v>
      </c>
      <c r="X20" s="696"/>
      <c r="Y20" s="696"/>
      <c r="Z20" s="696"/>
      <c r="AA20" s="696"/>
      <c r="AB20" s="696"/>
      <c r="AC20" s="696"/>
      <c r="AD20" s="697"/>
    </row>
    <row r="21" spans="3:30">
      <c r="C21" s="413"/>
      <c r="W21" s="698" t="s">
        <v>1608</v>
      </c>
      <c r="X21" s="699"/>
      <c r="Y21" s="699"/>
      <c r="Z21" s="700"/>
      <c r="AA21" s="701" t="s">
        <v>1609</v>
      </c>
      <c r="AB21" s="702"/>
      <c r="AC21" s="702"/>
      <c r="AD21" s="703"/>
    </row>
    <row r="22" spans="3:30">
      <c r="C22" s="413"/>
      <c r="W22" s="674" t="s">
        <v>1634</v>
      </c>
      <c r="X22" s="675"/>
      <c r="Y22" s="419" t="s">
        <v>1029</v>
      </c>
      <c r="Z22" s="420">
        <v>1</v>
      </c>
      <c r="AA22" s="445"/>
      <c r="AB22" s="445"/>
      <c r="AC22" s="444"/>
      <c r="AD22" s="443"/>
    </row>
    <row r="23" spans="3:30">
      <c r="C23" s="413"/>
      <c r="W23" s="670" t="s">
        <v>1628</v>
      </c>
      <c r="X23" s="671"/>
      <c r="Y23" s="419" t="s">
        <v>1029</v>
      </c>
      <c r="Z23" s="420">
        <v>3</v>
      </c>
      <c r="AA23" s="687" t="s">
        <v>1629</v>
      </c>
      <c r="AB23" s="688"/>
      <c r="AC23" s="444" t="s">
        <v>1029</v>
      </c>
      <c r="AD23" s="443">
        <v>1</v>
      </c>
    </row>
    <row r="24" spans="3:30">
      <c r="C24" s="413"/>
      <c r="W24" s="670" t="s">
        <v>1635</v>
      </c>
      <c r="X24" s="671"/>
      <c r="Y24" s="419" t="s">
        <v>1029</v>
      </c>
      <c r="Z24" s="420">
        <v>1</v>
      </c>
      <c r="AA24" s="691" t="s">
        <v>1636</v>
      </c>
      <c r="AB24" s="692"/>
      <c r="AC24" s="444" t="s">
        <v>1029</v>
      </c>
      <c r="AD24" s="443">
        <v>1</v>
      </c>
    </row>
    <row r="25" spans="3:30">
      <c r="C25" s="413"/>
      <c r="W25" s="685" t="s">
        <v>1515</v>
      </c>
      <c r="X25" s="686"/>
      <c r="Y25" s="421" t="s">
        <v>1029</v>
      </c>
      <c r="Z25" s="422">
        <v>1</v>
      </c>
      <c r="AA25" s="687" t="s">
        <v>1637</v>
      </c>
      <c r="AB25" s="688"/>
      <c r="AC25" s="444" t="s">
        <v>1638</v>
      </c>
      <c r="AD25" s="443">
        <v>110</v>
      </c>
    </row>
    <row r="26" spans="3:30">
      <c r="C26" s="413"/>
      <c r="W26" s="685" t="s">
        <v>1639</v>
      </c>
      <c r="X26" s="686"/>
      <c r="Y26" s="419" t="s">
        <v>1638</v>
      </c>
      <c r="Z26" s="420">
        <v>110</v>
      </c>
      <c r="AA26" s="687" t="s">
        <v>1628</v>
      </c>
      <c r="AB26" s="688"/>
      <c r="AC26" s="444" t="s">
        <v>1029</v>
      </c>
      <c r="AD26" s="443">
        <v>2</v>
      </c>
    </row>
    <row r="27" spans="3:30">
      <c r="C27" s="413"/>
      <c r="W27" s="674"/>
      <c r="X27" s="675"/>
      <c r="Y27" s="419"/>
      <c r="Z27" s="420"/>
      <c r="AA27" s="676"/>
      <c r="AB27" s="677"/>
      <c r="AC27" s="444"/>
      <c r="AD27" s="443"/>
    </row>
    <row r="28" spans="3:30">
      <c r="C28" s="413"/>
      <c r="W28" s="689"/>
      <c r="X28" s="690"/>
      <c r="Y28" s="419"/>
      <c r="Z28" s="420"/>
      <c r="AA28" s="676"/>
      <c r="AB28" s="677"/>
      <c r="AC28" s="444"/>
      <c r="AD28" s="443"/>
    </row>
    <row r="29" spans="3:30">
      <c r="C29" s="413"/>
      <c r="W29" s="683"/>
      <c r="X29" s="684"/>
      <c r="Y29" s="419"/>
      <c r="Z29" s="420"/>
      <c r="AA29" s="676"/>
      <c r="AB29" s="677"/>
      <c r="AC29" s="444"/>
      <c r="AD29" s="443"/>
    </row>
    <row r="30" spans="3:30" ht="11.25" customHeight="1">
      <c r="C30" s="413"/>
      <c r="W30" s="683"/>
      <c r="X30" s="684"/>
      <c r="Y30" s="419"/>
      <c r="Z30" s="420"/>
      <c r="AA30" s="676"/>
      <c r="AB30" s="677"/>
      <c r="AC30" s="444"/>
      <c r="AD30" s="443"/>
    </row>
    <row r="31" spans="3:30">
      <c r="C31" s="413"/>
      <c r="U31" s="423"/>
      <c r="W31" s="683"/>
      <c r="X31" s="684"/>
      <c r="Y31" s="419"/>
      <c r="Z31" s="420"/>
      <c r="AA31" s="676"/>
      <c r="AB31" s="677"/>
      <c r="AC31" s="444"/>
      <c r="AD31" s="443"/>
    </row>
    <row r="32" spans="3:30">
      <c r="C32" s="413"/>
      <c r="U32" s="423"/>
      <c r="W32" s="683"/>
      <c r="X32" s="684"/>
      <c r="Y32" s="419"/>
      <c r="Z32" s="420"/>
      <c r="AA32" s="676"/>
      <c r="AB32" s="677"/>
      <c r="AC32" s="444"/>
      <c r="AD32" s="443"/>
    </row>
    <row r="33" spans="3:30">
      <c r="C33" s="413"/>
      <c r="W33" s="685"/>
      <c r="X33" s="686"/>
      <c r="Y33" s="421"/>
      <c r="Z33" s="422"/>
      <c r="AA33" s="676"/>
      <c r="AB33" s="677"/>
      <c r="AC33" s="444"/>
      <c r="AD33" s="443"/>
    </row>
    <row r="34" spans="3:30">
      <c r="C34" s="413"/>
      <c r="W34" s="674"/>
      <c r="X34" s="675"/>
      <c r="Y34" s="419"/>
      <c r="Z34" s="420"/>
      <c r="AA34" s="676"/>
      <c r="AB34" s="677"/>
      <c r="AC34" s="444"/>
      <c r="AD34" s="443"/>
    </row>
    <row r="35" spans="3:30">
      <c r="C35" s="413"/>
      <c r="W35" s="674"/>
      <c r="X35" s="675"/>
      <c r="Y35" s="419"/>
      <c r="Z35" s="420"/>
      <c r="AA35" s="676"/>
      <c r="AB35" s="677"/>
      <c r="AC35" s="444"/>
      <c r="AD35" s="443"/>
    </row>
    <row r="36" spans="3:30">
      <c r="C36" s="413"/>
      <c r="W36" s="678"/>
      <c r="X36" s="679"/>
      <c r="Y36" s="419"/>
      <c r="Z36" s="422"/>
      <c r="AA36" s="680"/>
      <c r="AB36" s="677"/>
      <c r="AC36" s="444"/>
      <c r="AD36" s="443"/>
    </row>
    <row r="37" spans="3:30" ht="12.75" customHeight="1">
      <c r="C37" s="413"/>
      <c r="W37" s="666"/>
      <c r="X37" s="667"/>
      <c r="Y37" s="419"/>
      <c r="Z37" s="422"/>
      <c r="AA37" s="681"/>
      <c r="AB37" s="682"/>
      <c r="AC37" s="440"/>
      <c r="AD37" s="439"/>
    </row>
    <row r="38" spans="3:30" ht="12.75" customHeight="1">
      <c r="C38" s="413"/>
      <c r="W38" s="666"/>
      <c r="X38" s="667"/>
      <c r="Y38" s="421"/>
      <c r="Z38" s="422"/>
      <c r="AA38" s="442"/>
      <c r="AB38" s="441"/>
      <c r="AC38" s="440"/>
      <c r="AD38" s="439"/>
    </row>
    <row r="39" spans="3:30" ht="12" customHeight="1">
      <c r="C39" s="413"/>
      <c r="W39" s="666"/>
      <c r="X39" s="667"/>
      <c r="Y39" s="421"/>
      <c r="Z39" s="424"/>
      <c r="AA39" s="668"/>
      <c r="AB39" s="669"/>
      <c r="AC39" s="440"/>
      <c r="AD39" s="439"/>
    </row>
    <row r="40" spans="3:30" ht="12" customHeight="1">
      <c r="C40" s="413"/>
      <c r="W40" s="670"/>
      <c r="X40" s="671"/>
      <c r="Y40" s="421"/>
      <c r="Z40" s="424"/>
      <c r="AA40" s="450"/>
      <c r="AB40" s="438"/>
      <c r="AC40" s="440"/>
      <c r="AD40" s="439"/>
    </row>
    <row r="41" spans="3:30" ht="12" customHeight="1">
      <c r="C41" s="413"/>
      <c r="W41" s="672"/>
      <c r="X41" s="673"/>
      <c r="Y41" s="425"/>
      <c r="Z41" s="426"/>
      <c r="AA41" s="668"/>
      <c r="AB41" s="669"/>
      <c r="AC41" s="440"/>
      <c r="AD41" s="439"/>
    </row>
    <row r="42" spans="3:30" ht="12" customHeight="1">
      <c r="C42" s="413"/>
      <c r="W42" s="663" t="s">
        <v>1640</v>
      </c>
      <c r="X42" s="664"/>
      <c r="Y42" s="664"/>
      <c r="Z42" s="664"/>
      <c r="AA42" s="664"/>
      <c r="AB42" s="664"/>
      <c r="AC42" s="664"/>
      <c r="AD42" s="665"/>
    </row>
    <row r="43" spans="3:30" ht="12" customHeight="1">
      <c r="C43" s="413"/>
      <c r="V43" s="427"/>
      <c r="W43" s="428"/>
      <c r="X43" s="429"/>
      <c r="Y43" s="429"/>
      <c r="Z43" s="429"/>
      <c r="AA43" s="429"/>
      <c r="AB43" s="429"/>
      <c r="AC43" s="429"/>
      <c r="AD43" s="430"/>
    </row>
    <row r="44" spans="3:30">
      <c r="C44" s="431"/>
      <c r="D44" s="432"/>
      <c r="E44" s="432"/>
      <c r="F44" s="432"/>
      <c r="G44" s="432"/>
      <c r="H44" s="432"/>
      <c r="I44" s="432"/>
      <c r="J44" s="432"/>
      <c r="K44" s="432"/>
      <c r="L44" s="432"/>
      <c r="M44" s="432"/>
      <c r="N44" s="432"/>
      <c r="O44" s="432"/>
      <c r="P44" s="432"/>
      <c r="Q44" s="432"/>
      <c r="R44" s="432"/>
      <c r="S44" s="432"/>
      <c r="T44" s="432"/>
      <c r="U44" s="432"/>
      <c r="V44" s="427"/>
      <c r="W44" s="652" t="s">
        <v>1610</v>
      </c>
      <c r="X44" s="653"/>
      <c r="Y44" s="654"/>
      <c r="Z44" s="654"/>
      <c r="AA44" s="654"/>
      <c r="AB44" s="654"/>
      <c r="AC44" s="654"/>
      <c r="AD44" s="655"/>
    </row>
    <row r="45" spans="3:30">
      <c r="C45" s="431"/>
      <c r="D45" s="432"/>
      <c r="E45" s="432"/>
      <c r="F45" s="432"/>
      <c r="G45" s="432"/>
      <c r="H45" s="432"/>
      <c r="I45" s="432"/>
      <c r="J45" s="432"/>
      <c r="K45" s="432"/>
      <c r="L45" s="432"/>
      <c r="M45" s="432"/>
      <c r="N45" s="432"/>
      <c r="O45" s="432"/>
      <c r="P45" s="432"/>
      <c r="Q45" s="432"/>
      <c r="R45" s="432"/>
      <c r="S45" s="432"/>
      <c r="T45" s="432"/>
      <c r="U45" s="432"/>
      <c r="V45" s="427"/>
      <c r="W45" s="652" t="s">
        <v>1611</v>
      </c>
      <c r="X45" s="653"/>
      <c r="Y45" s="654">
        <v>1</v>
      </c>
      <c r="Z45" s="654"/>
      <c r="AA45" s="654"/>
      <c r="AB45" s="654" t="s">
        <v>1612</v>
      </c>
      <c r="AC45" s="654"/>
      <c r="AD45" s="447" t="s">
        <v>1613</v>
      </c>
    </row>
    <row r="46" spans="3:30">
      <c r="C46" s="431"/>
      <c r="D46" s="432"/>
      <c r="E46" s="432"/>
      <c r="F46" s="432"/>
      <c r="G46" s="432"/>
      <c r="H46" s="432"/>
      <c r="I46" s="432"/>
      <c r="J46" s="432"/>
      <c r="K46" s="432"/>
      <c r="L46" s="432"/>
      <c r="M46" s="432"/>
      <c r="N46" s="432"/>
      <c r="O46" s="432"/>
      <c r="P46" s="432"/>
      <c r="Q46" s="432"/>
      <c r="R46" s="432"/>
      <c r="S46" s="432"/>
      <c r="T46" s="432"/>
      <c r="U46" s="432"/>
      <c r="V46" s="427"/>
      <c r="W46" s="652" t="s">
        <v>1614</v>
      </c>
      <c r="X46" s="653"/>
      <c r="Y46" s="656"/>
      <c r="Z46" s="656"/>
      <c r="AA46" s="656"/>
      <c r="AB46" s="654" t="s">
        <v>1615</v>
      </c>
      <c r="AC46" s="654"/>
      <c r="AD46" s="401"/>
    </row>
    <row r="47" spans="3:30">
      <c r="C47" s="431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432"/>
      <c r="T47" s="432"/>
      <c r="U47" s="432"/>
      <c r="V47" s="427"/>
      <c r="W47" s="657" t="s">
        <v>1616</v>
      </c>
      <c r="X47" s="657"/>
      <c r="Y47" s="657"/>
      <c r="Z47" s="657"/>
      <c r="AA47" s="657"/>
      <c r="AB47" s="657"/>
      <c r="AC47" s="657"/>
      <c r="AD47" s="658"/>
    </row>
    <row r="48" spans="3:30" ht="12.75" customHeight="1">
      <c r="C48" s="431"/>
      <c r="D48" s="432"/>
      <c r="E48" s="432"/>
      <c r="F48" s="432"/>
      <c r="G48" s="432"/>
      <c r="H48" s="432"/>
      <c r="I48" s="432"/>
      <c r="J48" s="432"/>
      <c r="K48" s="432"/>
      <c r="L48" s="432"/>
      <c r="M48" s="432"/>
      <c r="N48" s="432"/>
      <c r="O48" s="432"/>
      <c r="P48" s="432"/>
      <c r="Q48" s="432"/>
      <c r="R48" s="432"/>
      <c r="S48" s="432"/>
      <c r="T48" s="432"/>
      <c r="U48" s="432"/>
      <c r="V48" s="427"/>
      <c r="W48" s="659" t="s">
        <v>1641</v>
      </c>
      <c r="X48" s="659"/>
      <c r="Y48" s="659"/>
      <c r="Z48" s="659"/>
      <c r="AA48" s="659"/>
      <c r="AB48" s="659"/>
      <c r="AC48" s="659"/>
      <c r="AD48" s="660"/>
    </row>
    <row r="49" spans="3:30">
      <c r="C49" s="431"/>
      <c r="D49" s="432"/>
      <c r="E49" s="432"/>
      <c r="F49" s="432"/>
      <c r="G49" s="432"/>
      <c r="H49" s="432"/>
      <c r="I49" s="432"/>
      <c r="J49" s="432"/>
      <c r="K49" s="432"/>
      <c r="L49" s="432"/>
      <c r="M49" s="432"/>
      <c r="N49" s="432"/>
      <c r="O49" s="432"/>
      <c r="P49" s="432"/>
      <c r="Q49" s="432"/>
      <c r="R49" s="432"/>
      <c r="S49" s="432"/>
      <c r="T49" s="432"/>
      <c r="U49" s="432"/>
      <c r="V49" s="433"/>
      <c r="W49" s="659"/>
      <c r="X49" s="659"/>
      <c r="Y49" s="659"/>
      <c r="Z49" s="659"/>
      <c r="AA49" s="659"/>
      <c r="AB49" s="659"/>
      <c r="AC49" s="659"/>
      <c r="AD49" s="660"/>
    </row>
    <row r="50" spans="3:30">
      <c r="C50" s="431"/>
      <c r="D50" s="432"/>
      <c r="E50" s="432"/>
      <c r="F50" s="432"/>
      <c r="G50" s="432"/>
      <c r="H50" s="432"/>
      <c r="I50" s="432"/>
      <c r="J50" s="432"/>
      <c r="K50" s="432"/>
      <c r="L50" s="432"/>
      <c r="M50" s="432"/>
      <c r="N50" s="432"/>
      <c r="O50" s="432"/>
      <c r="P50" s="432"/>
      <c r="Q50" s="432"/>
      <c r="R50" s="432"/>
      <c r="S50" s="432"/>
      <c r="T50" s="432"/>
      <c r="U50" s="432"/>
      <c r="V50" s="433"/>
      <c r="W50" s="659"/>
      <c r="X50" s="659"/>
      <c r="Y50" s="659"/>
      <c r="Z50" s="659"/>
      <c r="AA50" s="659"/>
      <c r="AB50" s="659"/>
      <c r="AC50" s="659"/>
      <c r="AD50" s="660"/>
    </row>
    <row r="51" spans="3:30" ht="19.5" customHeight="1">
      <c r="C51" s="431"/>
      <c r="D51" s="432"/>
      <c r="E51" s="432"/>
      <c r="F51" s="432"/>
      <c r="G51" s="432"/>
      <c r="H51" s="432"/>
      <c r="I51" s="432"/>
      <c r="J51" s="432"/>
      <c r="K51" s="432"/>
      <c r="L51" s="432"/>
      <c r="M51" s="432"/>
      <c r="N51" s="432"/>
      <c r="O51" s="432"/>
      <c r="P51" s="432"/>
      <c r="Q51" s="432"/>
      <c r="R51" s="432"/>
      <c r="S51" s="432"/>
      <c r="T51" s="432"/>
      <c r="U51" s="432"/>
      <c r="V51" s="433"/>
      <c r="W51" s="661"/>
      <c r="X51" s="661"/>
      <c r="Y51" s="661"/>
      <c r="Z51" s="661"/>
      <c r="AA51" s="661"/>
      <c r="AB51" s="661"/>
      <c r="AC51" s="661"/>
      <c r="AD51" s="662"/>
    </row>
    <row r="52" spans="3:30">
      <c r="C52" s="431"/>
      <c r="D52" s="432"/>
      <c r="E52" s="432"/>
      <c r="F52" s="432"/>
      <c r="G52" s="432"/>
      <c r="H52" s="432"/>
      <c r="I52" s="432"/>
      <c r="J52" s="432"/>
      <c r="K52" s="432"/>
      <c r="L52" s="432"/>
      <c r="M52" s="432"/>
      <c r="N52" s="432"/>
      <c r="O52" s="432"/>
      <c r="P52" s="432"/>
      <c r="Q52" s="432"/>
      <c r="R52" s="432"/>
      <c r="S52" s="432"/>
      <c r="T52" s="432"/>
      <c r="U52" s="432"/>
      <c r="V52" s="427"/>
      <c r="W52" s="652" t="s">
        <v>1617</v>
      </c>
      <c r="X52" s="653"/>
      <c r="Y52" s="654" t="s">
        <v>1618</v>
      </c>
      <c r="Z52" s="654"/>
      <c r="AA52" s="654"/>
      <c r="AB52" s="654"/>
      <c r="AC52" s="654"/>
      <c r="AD52" s="655"/>
    </row>
    <row r="53" spans="3:30">
      <c r="C53" s="431"/>
      <c r="D53" s="432"/>
      <c r="E53" s="432"/>
      <c r="F53" s="432"/>
      <c r="G53" s="432"/>
      <c r="H53" s="432"/>
      <c r="I53" s="432"/>
      <c r="J53" s="432"/>
      <c r="K53" s="432"/>
      <c r="L53" s="432"/>
      <c r="M53" s="432"/>
      <c r="N53" s="432"/>
      <c r="O53" s="432"/>
      <c r="P53" s="432"/>
      <c r="Q53" s="432"/>
      <c r="R53" s="432"/>
      <c r="S53" s="432"/>
      <c r="T53" s="432"/>
      <c r="V53" s="427"/>
      <c r="W53" s="652" t="s">
        <v>1619</v>
      </c>
      <c r="X53" s="653"/>
      <c r="Y53" s="654" t="s">
        <v>1620</v>
      </c>
      <c r="Z53" s="654"/>
      <c r="AA53" s="654"/>
      <c r="AB53" s="654"/>
      <c r="AC53" s="654"/>
      <c r="AD53" s="655"/>
    </row>
    <row r="54" spans="3:30">
      <c r="C54" s="431"/>
      <c r="D54" s="432"/>
      <c r="E54" s="432"/>
      <c r="F54" s="432"/>
      <c r="G54" s="432"/>
      <c r="H54" s="432"/>
      <c r="I54" s="432"/>
      <c r="J54" s="432"/>
      <c r="K54" s="432"/>
      <c r="L54" s="432"/>
      <c r="M54" s="432"/>
      <c r="N54" s="432"/>
      <c r="O54" s="432"/>
      <c r="P54" s="432"/>
      <c r="Q54" s="432"/>
      <c r="R54" s="432"/>
      <c r="S54" s="432"/>
      <c r="T54" s="432"/>
      <c r="V54" s="427"/>
      <c r="W54" s="652" t="s">
        <v>1621</v>
      </c>
      <c r="X54" s="653"/>
      <c r="Y54" s="654" t="s">
        <v>1622</v>
      </c>
      <c r="Z54" s="654"/>
      <c r="AA54" s="654"/>
      <c r="AB54" s="654"/>
      <c r="AC54" s="654"/>
      <c r="AD54" s="655"/>
    </row>
    <row r="55" spans="3:30" ht="13" thickBot="1">
      <c r="C55" s="434"/>
      <c r="D55" s="435"/>
      <c r="E55" s="435"/>
      <c r="F55" s="435"/>
      <c r="G55" s="435"/>
      <c r="H55" s="435"/>
      <c r="I55" s="435"/>
      <c r="J55" s="435"/>
      <c r="K55" s="435"/>
      <c r="L55" s="435"/>
      <c r="M55" s="435"/>
      <c r="N55" s="435"/>
      <c r="O55" s="435"/>
      <c r="P55" s="435"/>
      <c r="Q55" s="435"/>
      <c r="R55" s="435"/>
      <c r="S55" s="435"/>
      <c r="T55" s="435"/>
      <c r="U55" s="436"/>
      <c r="V55" s="437"/>
      <c r="W55" s="648" t="s">
        <v>1623</v>
      </c>
      <c r="X55" s="649"/>
      <c r="Y55" s="650" t="s">
        <v>1624</v>
      </c>
      <c r="Z55" s="650"/>
      <c r="AA55" s="650"/>
      <c r="AB55" s="650"/>
      <c r="AC55" s="650"/>
      <c r="AD55" s="651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3BBB9-07D4-4669-A45C-7368DE8181F3}">
  <sheetPr>
    <tabColor rgb="FF92D050"/>
  </sheetPr>
  <dimension ref="A1:AD120"/>
  <sheetViews>
    <sheetView view="pageBreakPreview" topLeftCell="A3" zoomScale="55" zoomScaleNormal="40" zoomScaleSheetLayoutView="55" workbookViewId="0">
      <selection activeCell="C8" sqref="C8"/>
    </sheetView>
  </sheetViews>
  <sheetFormatPr baseColWidth="10" defaultColWidth="9.1640625" defaultRowHeight="14"/>
  <cols>
    <col min="1" max="1" width="1.6640625" style="493" customWidth="1"/>
    <col min="2" max="2" width="10.6640625" style="493" customWidth="1"/>
    <col min="3" max="3" width="2.5" style="493" customWidth="1"/>
    <col min="4" max="20" width="9.1640625" style="493"/>
    <col min="21" max="21" width="14.5" style="493" customWidth="1"/>
    <col min="22" max="22" width="3.1640625" style="493" customWidth="1"/>
    <col min="23" max="26" width="9.1640625" style="493"/>
    <col min="27" max="27" width="2.83203125" style="493" customWidth="1"/>
    <col min="28" max="30" width="4.6640625" style="493" customWidth="1"/>
    <col min="31" max="31" width="1.6640625" style="493" customWidth="1"/>
    <col min="32" max="16384" width="9.1640625" style="493"/>
  </cols>
  <sheetData>
    <row r="1" spans="1:29">
      <c r="A1" s="452"/>
      <c r="B1" s="453"/>
      <c r="C1" s="453"/>
      <c r="D1" s="453"/>
      <c r="E1" s="453"/>
      <c r="F1" s="453"/>
      <c r="G1" s="453"/>
      <c r="H1" s="453"/>
      <c r="I1" s="453"/>
      <c r="J1" s="453"/>
      <c r="K1" s="453"/>
      <c r="L1" s="453"/>
      <c r="M1" s="453"/>
      <c r="N1" s="453"/>
      <c r="O1" s="453"/>
      <c r="P1" s="453"/>
      <c r="Q1" s="453"/>
      <c r="R1" s="453"/>
      <c r="S1" s="453"/>
      <c r="T1" s="453"/>
      <c r="U1" s="453"/>
      <c r="V1" s="453"/>
      <c r="W1" s="454"/>
    </row>
    <row r="2" spans="1:29">
      <c r="A2" s="455"/>
      <c r="W2" s="456"/>
    </row>
    <row r="3" spans="1:29" ht="12.75" customHeight="1">
      <c r="A3" s="455"/>
      <c r="C3" s="715" t="s">
        <v>1625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456"/>
      <c r="X3" s="504"/>
      <c r="Y3" s="504"/>
      <c r="Z3" s="504"/>
      <c r="AA3" s="504"/>
      <c r="AB3" s="504"/>
      <c r="AC3" s="494"/>
    </row>
    <row r="4" spans="1:29" ht="18.75" customHeight="1">
      <c r="A4" s="455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456"/>
      <c r="X4" s="504"/>
      <c r="Y4" s="504"/>
      <c r="Z4" s="504"/>
      <c r="AA4" s="504"/>
      <c r="AB4" s="504"/>
      <c r="AC4" s="494"/>
    </row>
    <row r="5" spans="1:29" ht="12.75" customHeight="1">
      <c r="A5" s="455"/>
      <c r="C5" s="495"/>
      <c r="W5" s="456"/>
    </row>
    <row r="6" spans="1:29" ht="12.75" customHeight="1">
      <c r="A6" s="455"/>
      <c r="C6" s="716" t="s">
        <v>1642</v>
      </c>
      <c r="D6" s="716"/>
      <c r="E6" s="716"/>
      <c r="F6" s="716"/>
      <c r="G6" s="716"/>
      <c r="H6" s="716"/>
      <c r="I6" s="716"/>
      <c r="J6" s="716"/>
      <c r="K6" s="716"/>
      <c r="L6" s="716"/>
      <c r="M6" s="716"/>
      <c r="W6" s="456"/>
      <c r="Y6" s="496"/>
      <c r="Z6" s="496"/>
      <c r="AA6" s="496"/>
      <c r="AB6" s="497"/>
      <c r="AC6" s="497"/>
    </row>
    <row r="7" spans="1:29" ht="18" customHeight="1">
      <c r="A7" s="455"/>
      <c r="C7" s="716"/>
      <c r="D7" s="716"/>
      <c r="E7" s="716"/>
      <c r="F7" s="716"/>
      <c r="G7" s="716"/>
      <c r="H7" s="716"/>
      <c r="I7" s="716"/>
      <c r="J7" s="716"/>
      <c r="K7" s="716"/>
      <c r="L7" s="716"/>
      <c r="M7" s="716"/>
      <c r="W7" s="456"/>
      <c r="Y7" s="496"/>
      <c r="Z7" s="496"/>
      <c r="AA7" s="496"/>
      <c r="AB7" s="497"/>
      <c r="AC7" s="497"/>
    </row>
    <row r="8" spans="1:29">
      <c r="A8" s="455"/>
      <c r="W8" s="456"/>
    </row>
    <row r="9" spans="1:29">
      <c r="A9" s="455"/>
      <c r="W9" s="456"/>
    </row>
    <row r="10" spans="1:29">
      <c r="A10" s="455"/>
      <c r="W10" s="456"/>
    </row>
    <row r="11" spans="1:29">
      <c r="A11" s="455"/>
      <c r="W11" s="456"/>
    </row>
    <row r="12" spans="1:29">
      <c r="A12" s="455"/>
      <c r="D12" s="498"/>
      <c r="W12" s="456"/>
    </row>
    <row r="13" spans="1:29">
      <c r="A13" s="455"/>
      <c r="W13" s="456"/>
    </row>
    <row r="14" spans="1:29">
      <c r="A14" s="455"/>
      <c r="W14" s="456"/>
    </row>
    <row r="15" spans="1:29">
      <c r="A15" s="455"/>
      <c r="W15" s="456"/>
    </row>
    <row r="16" spans="1:29">
      <c r="A16" s="455"/>
      <c r="W16" s="456"/>
    </row>
    <row r="17" spans="1:23">
      <c r="A17" s="455"/>
      <c r="W17" s="456"/>
    </row>
    <row r="18" spans="1:23">
      <c r="A18" s="455"/>
      <c r="W18" s="456"/>
    </row>
    <row r="19" spans="1:23">
      <c r="A19" s="455"/>
      <c r="W19" s="456"/>
    </row>
    <row r="20" spans="1:23">
      <c r="A20" s="455"/>
      <c r="W20" s="456"/>
    </row>
    <row r="21" spans="1:23">
      <c r="A21" s="455"/>
      <c r="W21" s="456"/>
    </row>
    <row r="22" spans="1:23">
      <c r="A22" s="455"/>
      <c r="W22" s="456"/>
    </row>
    <row r="23" spans="1:23">
      <c r="A23" s="455"/>
      <c r="W23" s="456"/>
    </row>
    <row r="24" spans="1:23">
      <c r="A24" s="455"/>
      <c r="W24" s="456"/>
    </row>
    <row r="25" spans="1:23">
      <c r="A25" s="455"/>
      <c r="W25" s="456"/>
    </row>
    <row r="26" spans="1:23">
      <c r="A26" s="455"/>
      <c r="W26" s="456"/>
    </row>
    <row r="27" spans="1:23">
      <c r="A27" s="455"/>
      <c r="W27" s="456"/>
    </row>
    <row r="28" spans="1:23">
      <c r="A28" s="455"/>
      <c r="W28" s="456"/>
    </row>
    <row r="29" spans="1:23">
      <c r="A29" s="455"/>
      <c r="W29" s="456"/>
    </row>
    <row r="30" spans="1:23">
      <c r="A30" s="455"/>
      <c r="W30" s="456"/>
    </row>
    <row r="31" spans="1:23">
      <c r="A31" s="455"/>
      <c r="W31" s="456"/>
    </row>
    <row r="32" spans="1:23">
      <c r="A32" s="455"/>
      <c r="W32" s="456"/>
    </row>
    <row r="33" spans="1:23">
      <c r="A33" s="455"/>
      <c r="W33" s="456"/>
    </row>
    <row r="34" spans="1:23">
      <c r="A34" s="455"/>
      <c r="W34" s="456"/>
    </row>
    <row r="35" spans="1:23">
      <c r="A35" s="455"/>
      <c r="W35" s="456"/>
    </row>
    <row r="36" spans="1:23">
      <c r="A36" s="455"/>
      <c r="W36" s="456"/>
    </row>
    <row r="37" spans="1:23">
      <c r="A37" s="455"/>
      <c r="W37" s="456"/>
    </row>
    <row r="38" spans="1:23">
      <c r="A38" s="455"/>
      <c r="W38" s="456"/>
    </row>
    <row r="39" spans="1:23">
      <c r="A39" s="455"/>
      <c r="W39" s="456"/>
    </row>
    <row r="40" spans="1:23">
      <c r="A40" s="455"/>
      <c r="W40" s="456"/>
    </row>
    <row r="41" spans="1:23">
      <c r="A41" s="455"/>
      <c r="W41" s="456"/>
    </row>
    <row r="42" spans="1:23">
      <c r="A42" s="455"/>
      <c r="W42" s="456"/>
    </row>
    <row r="43" spans="1:23">
      <c r="A43" s="455"/>
      <c r="W43" s="456"/>
    </row>
    <row r="44" spans="1:23">
      <c r="A44" s="455"/>
      <c r="W44" s="456"/>
    </row>
    <row r="45" spans="1:23">
      <c r="A45" s="455"/>
      <c r="W45" s="456"/>
    </row>
    <row r="46" spans="1:23">
      <c r="A46" s="455"/>
      <c r="W46" s="456"/>
    </row>
    <row r="47" spans="1:23">
      <c r="A47" s="455"/>
      <c r="W47" s="456"/>
    </row>
    <row r="48" spans="1:23">
      <c r="A48" s="455"/>
      <c r="W48" s="456"/>
    </row>
    <row r="49" spans="1:30">
      <c r="A49" s="455"/>
      <c r="W49" s="456"/>
    </row>
    <row r="50" spans="1:30">
      <c r="A50" s="455"/>
      <c r="W50" s="456"/>
    </row>
    <row r="51" spans="1:30">
      <c r="A51" s="455"/>
      <c r="W51" s="456"/>
    </row>
    <row r="52" spans="1:30">
      <c r="A52" s="455"/>
      <c r="W52" s="456"/>
    </row>
    <row r="53" spans="1:30">
      <c r="A53" s="455"/>
      <c r="W53" s="456"/>
    </row>
    <row r="54" spans="1:30">
      <c r="A54" s="455"/>
      <c r="R54" s="499"/>
      <c r="S54" s="499"/>
      <c r="T54" s="499"/>
      <c r="U54" s="500"/>
      <c r="V54" s="500"/>
      <c r="W54" s="457"/>
      <c r="X54" s="500"/>
      <c r="Y54" s="500"/>
      <c r="Z54" s="500"/>
      <c r="AA54" s="500"/>
      <c r="AB54" s="500"/>
      <c r="AC54" s="500"/>
      <c r="AD54" s="500"/>
    </row>
    <row r="55" spans="1:30" ht="15" thickBot="1">
      <c r="A55" s="458"/>
      <c r="B55" s="459"/>
      <c r="C55" s="459"/>
      <c r="D55" s="459"/>
      <c r="E55" s="459"/>
      <c r="F55" s="459"/>
      <c r="G55" s="459"/>
      <c r="H55" s="459"/>
      <c r="I55" s="459"/>
      <c r="J55" s="459"/>
      <c r="K55" s="459"/>
      <c r="L55" s="459"/>
      <c r="M55" s="459"/>
      <c r="N55" s="459"/>
      <c r="O55" s="459"/>
      <c r="P55" s="459"/>
      <c r="Q55" s="459"/>
      <c r="R55" s="505"/>
      <c r="S55" s="506"/>
      <c r="T55" s="506"/>
      <c r="U55" s="460"/>
      <c r="V55" s="461"/>
      <c r="W55" s="462"/>
      <c r="X55" s="500"/>
      <c r="Y55" s="500"/>
      <c r="Z55" s="500"/>
      <c r="AA55" s="501"/>
      <c r="AB55" s="501"/>
      <c r="AC55" s="501"/>
      <c r="AD55" s="501"/>
    </row>
    <row r="56" spans="1:30">
      <c r="U56" s="500"/>
      <c r="V56" s="501"/>
      <c r="W56" s="500"/>
      <c r="X56" s="500"/>
      <c r="Y56" s="500"/>
      <c r="Z56" s="500"/>
      <c r="AA56" s="501"/>
      <c r="AB56" s="500"/>
      <c r="AC56" s="500"/>
      <c r="AD56" s="500"/>
    </row>
    <row r="57" spans="1:30">
      <c r="U57" s="500"/>
      <c r="V57" s="501"/>
      <c r="W57" s="500"/>
      <c r="X57" s="500"/>
      <c r="Y57" s="500"/>
      <c r="Z57" s="500"/>
      <c r="AA57" s="500"/>
      <c r="AB57" s="500"/>
      <c r="AC57" s="500"/>
      <c r="AD57" s="500"/>
    </row>
    <row r="58" spans="1:30">
      <c r="U58" s="500"/>
      <c r="V58" s="501"/>
      <c r="W58" s="500"/>
      <c r="X58" s="500"/>
      <c r="Y58" s="500"/>
      <c r="Z58" s="500"/>
      <c r="AA58" s="500"/>
      <c r="AB58" s="500"/>
      <c r="AC58" s="500"/>
      <c r="AD58" s="500"/>
    </row>
    <row r="59" spans="1:30">
      <c r="U59" s="500"/>
      <c r="V59" s="501"/>
      <c r="W59" s="500"/>
      <c r="X59" s="500"/>
      <c r="Y59" s="500"/>
      <c r="Z59" s="500"/>
      <c r="AA59" s="500"/>
      <c r="AB59" s="500"/>
      <c r="AC59" s="500"/>
      <c r="AD59" s="500"/>
    </row>
    <row r="60" spans="1:30">
      <c r="U60" s="500"/>
      <c r="V60" s="501"/>
      <c r="W60" s="500"/>
      <c r="X60" s="500"/>
      <c r="Y60" s="500"/>
      <c r="Z60" s="500"/>
      <c r="AA60" s="501"/>
      <c r="AB60" s="500"/>
      <c r="AC60" s="500"/>
      <c r="AD60" s="500"/>
    </row>
    <row r="61" spans="1:30">
      <c r="U61" s="500"/>
      <c r="V61" s="501"/>
      <c r="W61" s="500"/>
      <c r="X61" s="500"/>
      <c r="Y61" s="500"/>
      <c r="Z61" s="500"/>
      <c r="AA61" s="500"/>
      <c r="AB61" s="500"/>
      <c r="AC61" s="500"/>
      <c r="AD61" s="500"/>
    </row>
    <row r="62" spans="1:30">
      <c r="U62" s="500"/>
      <c r="V62" s="501"/>
      <c r="W62" s="500"/>
      <c r="X62" s="500"/>
      <c r="Y62" s="500"/>
      <c r="Z62" s="500"/>
      <c r="AA62" s="500"/>
      <c r="AB62" s="500"/>
      <c r="AC62" s="500"/>
      <c r="AD62" s="500"/>
    </row>
    <row r="63" spans="1:30">
      <c r="U63" s="500"/>
      <c r="V63" s="501"/>
      <c r="W63" s="500"/>
      <c r="X63" s="500"/>
      <c r="Y63" s="500"/>
      <c r="Z63" s="500"/>
      <c r="AA63" s="500"/>
      <c r="AB63" s="500"/>
      <c r="AC63" s="500"/>
      <c r="AD63" s="500"/>
    </row>
    <row r="64" spans="1:30">
      <c r="U64" s="500"/>
      <c r="V64" s="501"/>
      <c r="W64" s="500"/>
      <c r="X64" s="500"/>
      <c r="Y64" s="500"/>
      <c r="Z64" s="500"/>
      <c r="AA64" s="500"/>
      <c r="AB64" s="500"/>
      <c r="AC64" s="500"/>
      <c r="AD64" s="500"/>
    </row>
    <row r="65" spans="5:30">
      <c r="U65" s="500"/>
      <c r="V65" s="501"/>
      <c r="W65" s="500"/>
      <c r="X65" s="500"/>
      <c r="Y65" s="500"/>
      <c r="Z65" s="500"/>
      <c r="AA65" s="500"/>
      <c r="AB65" s="500"/>
      <c r="AC65" s="500"/>
      <c r="AD65" s="500"/>
    </row>
    <row r="66" spans="5:30" ht="6" customHeight="1"/>
    <row r="73" spans="5:30">
      <c r="M73" s="502"/>
    </row>
    <row r="74" spans="5:30" ht="15" customHeight="1">
      <c r="E74" s="503"/>
      <c r="M74" s="502"/>
    </row>
    <row r="75" spans="5:30" ht="15" customHeight="1">
      <c r="E75" s="503"/>
      <c r="M75" s="502"/>
    </row>
    <row r="76" spans="5:30" ht="15" customHeight="1">
      <c r="E76" s="503"/>
      <c r="M76" s="502"/>
    </row>
    <row r="77" spans="5:30" ht="15" customHeight="1">
      <c r="E77" s="503"/>
      <c r="M77" s="502"/>
    </row>
    <row r="78" spans="5:30" ht="15" customHeight="1">
      <c r="E78" s="503"/>
      <c r="M78" s="502"/>
    </row>
    <row r="79" spans="5:30" ht="15" customHeight="1">
      <c r="E79" s="503"/>
      <c r="M79" s="502"/>
    </row>
    <row r="80" spans="5:30" ht="15" customHeight="1">
      <c r="E80" s="503"/>
      <c r="M80" s="502"/>
    </row>
    <row r="81" spans="5:13" ht="15" customHeight="1">
      <c r="E81" s="503"/>
      <c r="M81" s="502"/>
    </row>
    <row r="82" spans="5:13" ht="15" customHeight="1">
      <c r="E82" s="503"/>
      <c r="M82" s="502"/>
    </row>
    <row r="83" spans="5:13" ht="15" customHeight="1">
      <c r="E83" s="503"/>
      <c r="M83" s="502"/>
    </row>
    <row r="84" spans="5:13" ht="15" customHeight="1">
      <c r="E84" s="503"/>
      <c r="M84" s="502"/>
    </row>
    <row r="85" spans="5:13" ht="15" customHeight="1">
      <c r="E85" s="503"/>
      <c r="M85" s="502"/>
    </row>
    <row r="86" spans="5:13" ht="15" customHeight="1">
      <c r="E86" s="503"/>
      <c r="M86" s="502"/>
    </row>
    <row r="87" spans="5:13" ht="15" customHeight="1">
      <c r="E87" s="503"/>
      <c r="M87" s="502"/>
    </row>
    <row r="88" spans="5:13" ht="15" customHeight="1">
      <c r="E88" s="503"/>
      <c r="M88" s="502"/>
    </row>
    <row r="89" spans="5:13" ht="15" customHeight="1">
      <c r="E89" s="503"/>
      <c r="M89" s="502"/>
    </row>
    <row r="90" spans="5:13" ht="15" customHeight="1">
      <c r="E90" s="503"/>
      <c r="M90" s="502"/>
    </row>
    <row r="91" spans="5:13" ht="15" customHeight="1">
      <c r="E91" s="503"/>
      <c r="M91" s="502"/>
    </row>
    <row r="92" spans="5:13" ht="15" customHeight="1">
      <c r="E92" s="503"/>
      <c r="M92" s="502"/>
    </row>
    <row r="93" spans="5:13" ht="15" customHeight="1">
      <c r="E93" s="503"/>
      <c r="M93" s="502"/>
    </row>
    <row r="94" spans="5:13" ht="15" customHeight="1">
      <c r="E94" s="503"/>
      <c r="M94" s="502"/>
    </row>
    <row r="95" spans="5:13" ht="15" customHeight="1">
      <c r="E95" s="503"/>
      <c r="M95" s="502"/>
    </row>
    <row r="96" spans="5:13" ht="15" customHeight="1">
      <c r="E96" s="503"/>
    </row>
    <row r="97" spans="5:5" ht="15" customHeight="1">
      <c r="E97" s="503"/>
    </row>
    <row r="98" spans="5:5" ht="15" customHeight="1">
      <c r="E98" s="503"/>
    </row>
    <row r="99" spans="5:5" ht="15" customHeight="1">
      <c r="E99" s="503"/>
    </row>
    <row r="100" spans="5:5" ht="15" customHeight="1">
      <c r="E100" s="503"/>
    </row>
    <row r="101" spans="5:5" ht="15" customHeight="1">
      <c r="E101" s="503"/>
    </row>
    <row r="102" spans="5:5" ht="15" customHeight="1">
      <c r="E102" s="503"/>
    </row>
    <row r="103" spans="5:5" ht="15" customHeight="1">
      <c r="E103" s="503"/>
    </row>
    <row r="104" spans="5:5" ht="15" customHeight="1">
      <c r="E104" s="503"/>
    </row>
    <row r="105" spans="5:5" ht="15" customHeight="1">
      <c r="E105" s="503"/>
    </row>
    <row r="106" spans="5:5" ht="15" customHeight="1">
      <c r="E106" s="503"/>
    </row>
    <row r="107" spans="5:5" ht="15" customHeight="1">
      <c r="E107" s="503"/>
    </row>
    <row r="108" spans="5:5" ht="15" customHeight="1">
      <c r="E108" s="503"/>
    </row>
    <row r="109" spans="5:5" ht="15" customHeight="1">
      <c r="E109" s="503"/>
    </row>
    <row r="110" spans="5:5" ht="15" customHeight="1">
      <c r="E110" s="503"/>
    </row>
    <row r="111" spans="5:5" ht="15" customHeight="1">
      <c r="E111" s="503"/>
    </row>
    <row r="112" spans="5:5" ht="15" customHeight="1">
      <c r="E112" s="503"/>
    </row>
    <row r="113" spans="5:5" ht="15" customHeight="1">
      <c r="E113" s="503"/>
    </row>
    <row r="114" spans="5:5" ht="15" customHeight="1">
      <c r="E114" s="503"/>
    </row>
    <row r="115" spans="5:5" ht="15" customHeight="1">
      <c r="E115" s="503"/>
    </row>
    <row r="116" spans="5:5" ht="15" customHeight="1">
      <c r="E116" s="503"/>
    </row>
    <row r="117" spans="5:5" ht="15" customHeight="1">
      <c r="E117" s="503"/>
    </row>
    <row r="118" spans="5:5" ht="15" customHeight="1">
      <c r="E118" s="503"/>
    </row>
    <row r="119" spans="5:5" ht="15" customHeight="1">
      <c r="E119" s="503"/>
    </row>
    <row r="120" spans="5:5">
      <c r="E120" s="503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582FC-4E08-42C1-91EF-22FAC09FC13A}">
  <sheetPr>
    <tabColor rgb="FF92D050"/>
  </sheetPr>
  <dimension ref="B1:AF68"/>
  <sheetViews>
    <sheetView view="pageBreakPreview" topLeftCell="A5" zoomScale="55" zoomScaleNormal="55" zoomScaleSheetLayoutView="55" workbookViewId="0">
      <selection activeCell="AD30" sqref="AD30"/>
    </sheetView>
  </sheetViews>
  <sheetFormatPr baseColWidth="10" defaultColWidth="9.1640625" defaultRowHeight="14"/>
  <cols>
    <col min="1" max="1" width="1.6640625" style="464" customWidth="1"/>
    <col min="2" max="2" width="1.5" style="464" customWidth="1"/>
    <col min="3" max="3" width="10.6640625" style="464" customWidth="1"/>
    <col min="4" max="4" width="2.5" style="464" customWidth="1"/>
    <col min="5" max="21" width="9.1640625" style="464"/>
    <col min="22" max="22" width="14.5" style="464" customWidth="1"/>
    <col min="23" max="23" width="3.1640625" style="464" customWidth="1"/>
    <col min="24" max="27" width="9.1640625" style="464"/>
    <col min="28" max="28" width="2.83203125" style="464" customWidth="1"/>
    <col min="29" max="31" width="4.6640625" style="464" customWidth="1"/>
    <col min="32" max="32" width="1.6640625" style="464" customWidth="1"/>
    <col min="33" max="16384" width="9.1640625" style="464"/>
  </cols>
  <sheetData>
    <row r="1" spans="2:32" ht="15" thickBot="1"/>
    <row r="2" spans="2:32" ht="6" customHeight="1" thickBot="1">
      <c r="B2" s="465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466"/>
      <c r="S2" s="466"/>
      <c r="T2" s="466"/>
      <c r="U2" s="466"/>
      <c r="V2" s="466"/>
      <c r="W2" s="466"/>
      <c r="X2" s="466"/>
      <c r="Y2" s="466"/>
      <c r="Z2" s="466"/>
      <c r="AA2" s="466"/>
      <c r="AB2" s="466"/>
      <c r="AC2" s="466"/>
      <c r="AD2" s="466"/>
      <c r="AE2" s="466"/>
      <c r="AF2" s="467"/>
    </row>
    <row r="3" spans="2:32" ht="15" thickBot="1">
      <c r="B3" s="468"/>
      <c r="C3" s="465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466"/>
      <c r="Z3" s="466"/>
      <c r="AA3" s="466"/>
      <c r="AB3" s="466"/>
      <c r="AC3" s="466"/>
      <c r="AD3" s="466"/>
      <c r="AE3" s="467"/>
      <c r="AF3" s="469"/>
    </row>
    <row r="4" spans="2:32" ht="12.75" customHeight="1">
      <c r="B4" s="468"/>
      <c r="C4" s="468"/>
      <c r="D4" s="717" t="s">
        <v>1626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470"/>
      <c r="AE4" s="469"/>
      <c r="AF4" s="469"/>
    </row>
    <row r="5" spans="2:32" ht="13.5" customHeight="1">
      <c r="B5" s="468"/>
      <c r="C5" s="468"/>
      <c r="D5" s="720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21"/>
      <c r="AD5" s="470"/>
      <c r="AE5" s="469"/>
      <c r="AF5" s="469"/>
    </row>
    <row r="6" spans="2:32" ht="12.75" customHeight="1">
      <c r="B6" s="468"/>
      <c r="C6" s="468"/>
      <c r="D6" s="720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21"/>
      <c r="AE6" s="469"/>
      <c r="AF6" s="469"/>
    </row>
    <row r="7" spans="2:32" ht="12.75" customHeight="1" thickBot="1">
      <c r="B7" s="468"/>
      <c r="C7" s="468"/>
      <c r="D7" s="722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  <c r="X7" s="723"/>
      <c r="Y7" s="723"/>
      <c r="Z7" s="723"/>
      <c r="AA7" s="723"/>
      <c r="AB7" s="723"/>
      <c r="AC7" s="724"/>
      <c r="AD7" s="472"/>
      <c r="AE7" s="469"/>
      <c r="AF7" s="469"/>
    </row>
    <row r="8" spans="2:32" ht="12.75" customHeight="1">
      <c r="B8" s="468"/>
      <c r="C8" s="468"/>
      <c r="Z8" s="471"/>
      <c r="AA8" s="471"/>
      <c r="AB8" s="471"/>
      <c r="AC8" s="472"/>
      <c r="AD8" s="472"/>
      <c r="AE8" s="469"/>
      <c r="AF8" s="469"/>
    </row>
    <row r="9" spans="2:32" ht="12.75" customHeight="1">
      <c r="B9" s="468"/>
      <c r="C9" s="468"/>
      <c r="AE9" s="469"/>
      <c r="AF9" s="469"/>
    </row>
    <row r="10" spans="2:32" ht="12.75" customHeight="1">
      <c r="B10" s="468"/>
      <c r="C10" s="468"/>
      <c r="AE10" s="469"/>
      <c r="AF10" s="469"/>
    </row>
    <row r="11" spans="2:32">
      <c r="B11" s="468"/>
      <c r="C11" s="468"/>
      <c r="D11" s="474"/>
      <c r="AE11" s="469"/>
      <c r="AF11" s="469"/>
    </row>
    <row r="12" spans="2:32">
      <c r="B12" s="468"/>
      <c r="C12" s="468"/>
      <c r="AE12" s="469"/>
      <c r="AF12" s="469"/>
    </row>
    <row r="13" spans="2:32">
      <c r="B13" s="468"/>
      <c r="C13" s="468"/>
      <c r="AE13" s="469"/>
      <c r="AF13" s="469"/>
    </row>
    <row r="14" spans="2:32">
      <c r="B14" s="468"/>
      <c r="C14" s="468"/>
      <c r="AE14" s="469"/>
      <c r="AF14" s="469"/>
    </row>
    <row r="15" spans="2:32">
      <c r="B15" s="468"/>
      <c r="C15" s="468"/>
      <c r="E15" s="473"/>
      <c r="AE15" s="469"/>
      <c r="AF15" s="469"/>
    </row>
    <row r="16" spans="2:32">
      <c r="B16" s="468"/>
      <c r="C16" s="468"/>
      <c r="AE16" s="469"/>
      <c r="AF16" s="469"/>
    </row>
    <row r="17" spans="2:32">
      <c r="B17" s="468"/>
      <c r="C17" s="468"/>
      <c r="AE17" s="469"/>
      <c r="AF17" s="469"/>
    </row>
    <row r="18" spans="2:32">
      <c r="B18" s="468"/>
      <c r="C18" s="468"/>
      <c r="AE18" s="469"/>
      <c r="AF18" s="469"/>
    </row>
    <row r="19" spans="2:32">
      <c r="B19" s="468"/>
      <c r="C19" s="468"/>
      <c r="AE19" s="469"/>
      <c r="AF19" s="469"/>
    </row>
    <row r="20" spans="2:32">
      <c r="B20" s="468"/>
      <c r="C20" s="468"/>
      <c r="AE20" s="469"/>
      <c r="AF20" s="469"/>
    </row>
    <row r="21" spans="2:32">
      <c r="B21" s="468"/>
      <c r="C21" s="468"/>
      <c r="AE21" s="469"/>
      <c r="AF21" s="469"/>
    </row>
    <row r="22" spans="2:32">
      <c r="B22" s="468"/>
      <c r="C22" s="468"/>
      <c r="AE22" s="469"/>
      <c r="AF22" s="469"/>
    </row>
    <row r="23" spans="2:32">
      <c r="B23" s="468"/>
      <c r="C23" s="468"/>
      <c r="AE23" s="469"/>
      <c r="AF23" s="469"/>
    </row>
    <row r="24" spans="2:32">
      <c r="B24" s="468"/>
      <c r="C24" s="468"/>
      <c r="AE24" s="469"/>
      <c r="AF24" s="469"/>
    </row>
    <row r="25" spans="2:32">
      <c r="B25" s="468"/>
      <c r="C25" s="468"/>
      <c r="AE25" s="469"/>
      <c r="AF25" s="469"/>
    </row>
    <row r="26" spans="2:32">
      <c r="B26" s="468"/>
      <c r="C26" s="468"/>
      <c r="AE26" s="469"/>
      <c r="AF26" s="469"/>
    </row>
    <row r="27" spans="2:32">
      <c r="B27" s="468"/>
      <c r="C27" s="468"/>
      <c r="AE27" s="469"/>
      <c r="AF27" s="469"/>
    </row>
    <row r="28" spans="2:32">
      <c r="B28" s="468"/>
      <c r="C28" s="468"/>
      <c r="AE28" s="469"/>
      <c r="AF28" s="469"/>
    </row>
    <row r="29" spans="2:32">
      <c r="B29" s="468"/>
      <c r="C29" s="468"/>
      <c r="AE29" s="469"/>
      <c r="AF29" s="469"/>
    </row>
    <row r="30" spans="2:32">
      <c r="B30" s="468"/>
      <c r="C30" s="468"/>
      <c r="AE30" s="469"/>
      <c r="AF30" s="469"/>
    </row>
    <row r="31" spans="2:32">
      <c r="B31" s="468"/>
      <c r="C31" s="468"/>
      <c r="AE31" s="469"/>
      <c r="AF31" s="469"/>
    </row>
    <row r="32" spans="2:32">
      <c r="B32" s="468"/>
      <c r="C32" s="468"/>
      <c r="AE32" s="469"/>
      <c r="AF32" s="469"/>
    </row>
    <row r="33" spans="2:32">
      <c r="B33" s="468"/>
      <c r="C33" s="468"/>
      <c r="AE33" s="469"/>
      <c r="AF33" s="469"/>
    </row>
    <row r="34" spans="2:32">
      <c r="B34" s="468"/>
      <c r="C34" s="468"/>
      <c r="AE34" s="469"/>
      <c r="AF34" s="469"/>
    </row>
    <row r="35" spans="2:32">
      <c r="B35" s="468"/>
      <c r="C35" s="468"/>
      <c r="AE35" s="469"/>
      <c r="AF35" s="469"/>
    </row>
    <row r="36" spans="2:32">
      <c r="B36" s="468"/>
      <c r="C36" s="468"/>
      <c r="AE36" s="469"/>
      <c r="AF36" s="469"/>
    </row>
    <row r="37" spans="2:32">
      <c r="B37" s="468"/>
      <c r="C37" s="468"/>
      <c r="AE37" s="469"/>
      <c r="AF37" s="469"/>
    </row>
    <row r="38" spans="2:32">
      <c r="B38" s="468"/>
      <c r="C38" s="468"/>
      <c r="AE38" s="469"/>
      <c r="AF38" s="469"/>
    </row>
    <row r="39" spans="2:32">
      <c r="B39" s="468"/>
      <c r="C39" s="468"/>
      <c r="AE39" s="469"/>
      <c r="AF39" s="469"/>
    </row>
    <row r="40" spans="2:32">
      <c r="B40" s="468"/>
      <c r="C40" s="468"/>
      <c r="AE40" s="469"/>
      <c r="AF40" s="469"/>
    </row>
    <row r="41" spans="2:32">
      <c r="B41" s="468"/>
      <c r="C41" s="468"/>
      <c r="AE41" s="469"/>
      <c r="AF41" s="469"/>
    </row>
    <row r="42" spans="2:32">
      <c r="B42" s="468"/>
      <c r="C42" s="468"/>
      <c r="AE42" s="469"/>
      <c r="AF42" s="469"/>
    </row>
    <row r="43" spans="2:32">
      <c r="B43" s="468"/>
      <c r="C43" s="468"/>
      <c r="AE43" s="469"/>
      <c r="AF43" s="469"/>
    </row>
    <row r="44" spans="2:32">
      <c r="B44" s="468"/>
      <c r="C44" s="468"/>
      <c r="AE44" s="469"/>
      <c r="AF44" s="469"/>
    </row>
    <row r="45" spans="2:32">
      <c r="B45" s="468"/>
      <c r="C45" s="468"/>
      <c r="AE45" s="469"/>
      <c r="AF45" s="469"/>
    </row>
    <row r="46" spans="2:32">
      <c r="B46" s="468"/>
      <c r="C46" s="468"/>
      <c r="AE46" s="469"/>
      <c r="AF46" s="469"/>
    </row>
    <row r="47" spans="2:32">
      <c r="B47" s="468"/>
      <c r="C47" s="468"/>
      <c r="AE47" s="469"/>
      <c r="AF47" s="469"/>
    </row>
    <row r="48" spans="2:32">
      <c r="B48" s="468"/>
      <c r="C48" s="468"/>
      <c r="AE48" s="469"/>
      <c r="AF48" s="469"/>
    </row>
    <row r="49" spans="2:32">
      <c r="B49" s="468"/>
      <c r="C49" s="468"/>
      <c r="AE49" s="469"/>
      <c r="AF49" s="469"/>
    </row>
    <row r="50" spans="2:32">
      <c r="B50" s="468"/>
      <c r="C50" s="468"/>
      <c r="AE50" s="469"/>
      <c r="AF50" s="469"/>
    </row>
    <row r="51" spans="2:32">
      <c r="B51" s="468"/>
      <c r="C51" s="468"/>
      <c r="AE51" s="469"/>
      <c r="AF51" s="469"/>
    </row>
    <row r="52" spans="2:32">
      <c r="B52" s="468"/>
      <c r="C52" s="468"/>
      <c r="AE52" s="469"/>
      <c r="AF52" s="469"/>
    </row>
    <row r="53" spans="2:32">
      <c r="B53" s="468"/>
      <c r="C53" s="468"/>
      <c r="AE53" s="469"/>
      <c r="AF53" s="469"/>
    </row>
    <row r="54" spans="2:32">
      <c r="B54" s="468"/>
      <c r="C54" s="468"/>
      <c r="AE54" s="469"/>
      <c r="AF54" s="469"/>
    </row>
    <row r="55" spans="2:32">
      <c r="B55" s="468"/>
      <c r="C55" s="468"/>
      <c r="AE55" s="469"/>
      <c r="AF55" s="469"/>
    </row>
    <row r="56" spans="2:32">
      <c r="B56" s="468"/>
      <c r="C56" s="468"/>
      <c r="AE56" s="469"/>
      <c r="AF56" s="469"/>
    </row>
    <row r="57" spans="2:32">
      <c r="B57" s="468"/>
      <c r="C57" s="468"/>
      <c r="S57" s="474"/>
      <c r="T57" s="474"/>
      <c r="U57" s="474"/>
      <c r="V57" s="475"/>
      <c r="W57" s="475"/>
      <c r="X57" s="475"/>
      <c r="Y57" s="475"/>
      <c r="Z57" s="475"/>
      <c r="AA57" s="475"/>
      <c r="AB57" s="475"/>
      <c r="AC57" s="475"/>
      <c r="AD57" s="475"/>
      <c r="AE57" s="476"/>
      <c r="AF57" s="469"/>
    </row>
    <row r="58" spans="2:32">
      <c r="B58" s="468"/>
      <c r="C58" s="468"/>
      <c r="S58" s="477"/>
      <c r="T58" s="474"/>
      <c r="U58" s="474"/>
      <c r="V58" s="475"/>
      <c r="W58" s="478"/>
      <c r="X58" s="475"/>
      <c r="Y58" s="475"/>
      <c r="Z58" s="475"/>
      <c r="AA58" s="475"/>
      <c r="AB58" s="478"/>
      <c r="AC58" s="478"/>
      <c r="AD58" s="478"/>
      <c r="AE58" s="479"/>
      <c r="AF58" s="469"/>
    </row>
    <row r="59" spans="2:32">
      <c r="B59" s="468"/>
      <c r="C59" s="468"/>
      <c r="V59" s="475"/>
      <c r="W59" s="478"/>
      <c r="X59" s="475"/>
      <c r="Y59" s="475"/>
      <c r="Z59" s="475"/>
      <c r="AA59" s="475"/>
      <c r="AB59" s="478"/>
      <c r="AC59" s="475"/>
      <c r="AD59" s="475"/>
      <c r="AE59" s="476"/>
      <c r="AF59" s="469"/>
    </row>
    <row r="60" spans="2:32">
      <c r="B60" s="468"/>
      <c r="C60" s="468"/>
      <c r="V60" s="475"/>
      <c r="W60" s="478"/>
      <c r="X60" s="475"/>
      <c r="Y60" s="475"/>
      <c r="Z60" s="475"/>
      <c r="AA60" s="475"/>
      <c r="AB60" s="475"/>
      <c r="AC60" s="475"/>
      <c r="AD60" s="475"/>
      <c r="AE60" s="476"/>
      <c r="AF60" s="469"/>
    </row>
    <row r="61" spans="2:32">
      <c r="B61" s="468"/>
      <c r="C61" s="468"/>
      <c r="V61" s="480"/>
      <c r="W61" s="480"/>
      <c r="X61" s="480"/>
      <c r="Y61" s="480"/>
      <c r="Z61" s="480"/>
      <c r="AA61" s="480"/>
      <c r="AB61" s="480"/>
      <c r="AC61" s="480"/>
      <c r="AD61" s="480"/>
      <c r="AE61" s="481"/>
      <c r="AF61" s="469"/>
    </row>
    <row r="62" spans="2:32">
      <c r="B62" s="468"/>
      <c r="C62" s="468"/>
      <c r="V62" s="475"/>
      <c r="W62" s="475"/>
      <c r="X62" s="475"/>
      <c r="Y62" s="475"/>
      <c r="Z62" s="475"/>
      <c r="AA62" s="475"/>
      <c r="AB62" s="475"/>
      <c r="AC62" s="475"/>
      <c r="AD62" s="475"/>
      <c r="AE62" s="476"/>
      <c r="AF62" s="469"/>
    </row>
    <row r="63" spans="2:32">
      <c r="B63" s="468"/>
      <c r="C63" s="468"/>
      <c r="V63" s="475"/>
      <c r="W63" s="478"/>
      <c r="X63" s="475"/>
      <c r="Y63" s="475"/>
      <c r="Z63" s="475"/>
      <c r="AA63" s="475"/>
      <c r="AB63" s="475"/>
      <c r="AC63" s="475"/>
      <c r="AD63" s="475"/>
      <c r="AE63" s="476"/>
      <c r="AF63" s="469"/>
    </row>
    <row r="64" spans="2:32">
      <c r="B64" s="468"/>
      <c r="C64" s="468"/>
      <c r="V64" s="475"/>
      <c r="W64" s="478"/>
      <c r="X64" s="475"/>
      <c r="Y64" s="475"/>
      <c r="Z64" s="475"/>
      <c r="AA64" s="475"/>
      <c r="AB64" s="475"/>
      <c r="AC64" s="475"/>
      <c r="AD64" s="475"/>
      <c r="AE64" s="476"/>
      <c r="AF64" s="469"/>
    </row>
    <row r="65" spans="2:32">
      <c r="B65" s="468"/>
      <c r="C65" s="468"/>
      <c r="V65" s="475"/>
      <c r="W65" s="478"/>
      <c r="X65" s="475"/>
      <c r="Y65" s="475"/>
      <c r="Z65" s="475"/>
      <c r="AA65" s="475"/>
      <c r="AB65" s="475"/>
      <c r="AC65" s="475"/>
      <c r="AD65" s="475"/>
      <c r="AE65" s="476"/>
      <c r="AF65" s="469"/>
    </row>
    <row r="66" spans="2:32">
      <c r="B66" s="468"/>
      <c r="C66" s="468"/>
      <c r="V66" s="475"/>
      <c r="W66" s="478"/>
      <c r="X66" s="475"/>
      <c r="Y66" s="475"/>
      <c r="Z66" s="475"/>
      <c r="AA66" s="475"/>
      <c r="AB66" s="475"/>
      <c r="AC66" s="475"/>
      <c r="AD66" s="475"/>
      <c r="AE66" s="476"/>
      <c r="AF66" s="469"/>
    </row>
    <row r="67" spans="2:32" ht="15" thickBot="1">
      <c r="B67" s="468"/>
      <c r="C67" s="482"/>
      <c r="D67" s="483"/>
      <c r="E67" s="483"/>
      <c r="F67" s="483"/>
      <c r="G67" s="483"/>
      <c r="H67" s="483"/>
      <c r="I67" s="483"/>
      <c r="J67" s="483"/>
      <c r="K67" s="483"/>
      <c r="L67" s="483"/>
      <c r="M67" s="483"/>
      <c r="N67" s="483"/>
      <c r="O67" s="483"/>
      <c r="P67" s="483"/>
      <c r="Q67" s="483"/>
      <c r="R67" s="483"/>
      <c r="S67" s="483"/>
      <c r="T67" s="483"/>
      <c r="U67" s="483"/>
      <c r="V67" s="484"/>
      <c r="W67" s="485"/>
      <c r="X67" s="484"/>
      <c r="Y67" s="484"/>
      <c r="Z67" s="484"/>
      <c r="AA67" s="484"/>
      <c r="AB67" s="484"/>
      <c r="AC67" s="484"/>
      <c r="AD67" s="484"/>
      <c r="AE67" s="486"/>
      <c r="AF67" s="469"/>
    </row>
    <row r="68" spans="2:32" ht="6" customHeight="1" thickBot="1">
      <c r="B68" s="482"/>
      <c r="C68" s="483"/>
      <c r="D68" s="483"/>
      <c r="E68" s="483"/>
      <c r="F68" s="483"/>
      <c r="G68" s="483"/>
      <c r="H68" s="483"/>
      <c r="I68" s="483"/>
      <c r="J68" s="483"/>
      <c r="K68" s="483"/>
      <c r="L68" s="483"/>
      <c r="M68" s="483"/>
      <c r="N68" s="483"/>
      <c r="O68" s="483"/>
      <c r="P68" s="483"/>
      <c r="Q68" s="483"/>
      <c r="R68" s="483"/>
      <c r="S68" s="483"/>
      <c r="T68" s="483"/>
      <c r="U68" s="483"/>
      <c r="V68" s="483"/>
      <c r="W68" s="483"/>
      <c r="X68" s="483"/>
      <c r="Y68" s="483"/>
      <c r="Z68" s="483"/>
      <c r="AA68" s="483"/>
      <c r="AB68" s="483"/>
      <c r="AC68" s="483"/>
      <c r="AD68" s="483"/>
      <c r="AE68" s="483"/>
      <c r="AF68" s="487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  <col min="18" max="18" width="12.5" customWidth="1"/>
    <col min="20" max="20" width="12.5" customWidth="1"/>
    <col min="22" max="22" width="12.5" customWidth="1"/>
  </cols>
  <sheetData>
    <row r="1" spans="1:11" ht="48" customHeight="1">
      <c r="A1" s="367">
        <v>1</v>
      </c>
    </row>
    <row r="2" spans="1:11" ht="48" customHeight="1">
      <c r="A2" s="367">
        <v>3</v>
      </c>
    </row>
    <row r="4" spans="1:11" ht="48" customHeight="1">
      <c r="C4" s="367">
        <v>1</v>
      </c>
    </row>
    <row r="5" spans="1:11" ht="48" customHeight="1">
      <c r="C5" s="367">
        <v>3</v>
      </c>
    </row>
    <row r="7" spans="1:11" ht="48" customHeight="1">
      <c r="E7" s="367">
        <v>1</v>
      </c>
    </row>
    <row r="8" spans="1:11" ht="48" customHeight="1">
      <c r="E8" s="367">
        <v>3</v>
      </c>
    </row>
    <row r="10" spans="1:11" ht="48" customHeight="1">
      <c r="G10" s="367">
        <v>3</v>
      </c>
    </row>
    <row r="11" spans="1:11" ht="48" customHeight="1">
      <c r="G11" s="367">
        <v>1</v>
      </c>
    </row>
    <row r="13" spans="1:11" ht="48" customHeight="1">
      <c r="I13" s="367">
        <v>3</v>
      </c>
    </row>
    <row r="14" spans="1:11" ht="48" customHeight="1">
      <c r="I14" s="367">
        <v>1</v>
      </c>
    </row>
    <row r="16" spans="1:11" ht="48" customHeight="1">
      <c r="K16" s="367">
        <v>3</v>
      </c>
    </row>
    <row r="17" spans="11:21" ht="48" customHeight="1">
      <c r="K17" s="367">
        <v>1</v>
      </c>
    </row>
    <row r="19" spans="11:21" ht="48" customHeight="1">
      <c r="M19" s="367">
        <v>3</v>
      </c>
    </row>
    <row r="20" spans="11:21" ht="48" customHeight="1">
      <c r="M20" s="367">
        <v>1</v>
      </c>
    </row>
    <row r="22" spans="11:21" ht="48" customHeight="1">
      <c r="O22" s="367">
        <v>3</v>
      </c>
    </row>
    <row r="23" spans="11:21" ht="48" customHeight="1">
      <c r="O23" s="367">
        <v>1</v>
      </c>
    </row>
    <row r="25" spans="11:21" ht="57" customHeight="1">
      <c r="Q25" s="367">
        <v>3</v>
      </c>
    </row>
    <row r="26" spans="11:21" ht="57" customHeight="1">
      <c r="Q26" s="367">
        <v>1</v>
      </c>
    </row>
    <row r="28" spans="11:21" ht="57" customHeight="1">
      <c r="S28" s="367">
        <v>3</v>
      </c>
    </row>
    <row r="29" spans="11:21" ht="57" customHeight="1">
      <c r="S29" s="367">
        <v>1</v>
      </c>
    </row>
    <row r="31" spans="11:21" ht="57" customHeight="1">
      <c r="U31" s="367">
        <v>3</v>
      </c>
    </row>
    <row r="32" spans="11:21" ht="57" customHeight="1">
      <c r="U32" s="36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2023-09-15T07:55:00Z</dcterms:modified>
</cp:coreProperties>
</file>