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BA4315F1-A4F8-4B85-AED1-23333A4BC766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1" i="11" l="1"/>
  <c r="E51" i="11"/>
  <c r="D51" i="11"/>
  <c r="H51" i="11" s="1"/>
  <c r="I42" i="11"/>
  <c r="I41" i="11"/>
  <c r="D41" i="11"/>
  <c r="D42" i="11"/>
  <c r="H42" i="11" s="1"/>
  <c r="G19" i="11"/>
  <c r="E19" i="11"/>
  <c r="D19" i="11"/>
  <c r="I19" i="11" s="1"/>
  <c r="G18" i="11"/>
  <c r="E18" i="11"/>
  <c r="D18" i="11"/>
  <c r="I18" i="11" s="1"/>
  <c r="G15" i="11"/>
  <c r="G16" i="11"/>
  <c r="G17" i="11"/>
  <c r="G20" i="11"/>
  <c r="G21" i="11"/>
  <c r="E15" i="11"/>
  <c r="E16" i="11"/>
  <c r="E17" i="11"/>
  <c r="E20" i="11"/>
  <c r="D15" i="11"/>
  <c r="H15" i="11" s="1"/>
  <c r="D16" i="11"/>
  <c r="H16" i="11" s="1"/>
  <c r="D17" i="11"/>
  <c r="H17" i="11" s="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J51" i="11" l="1"/>
  <c r="I51" i="11"/>
  <c r="J42" i="11"/>
  <c r="K42" i="11" s="1"/>
  <c r="J18" i="11"/>
  <c r="J19" i="11"/>
  <c r="H18" i="11"/>
  <c r="H19" i="11"/>
  <c r="J17" i="11"/>
  <c r="J16" i="11"/>
  <c r="J15" i="11"/>
  <c r="I17" i="11"/>
  <c r="I16" i="11"/>
  <c r="I15" i="11"/>
  <c r="F60" i="11"/>
  <c r="F59" i="11"/>
  <c r="F58" i="11"/>
  <c r="F57" i="11"/>
  <c r="F56" i="11"/>
  <c r="F55" i="11"/>
  <c r="F54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3" i="11"/>
  <c r="F50" i="11"/>
  <c r="F48" i="11"/>
  <c r="F47" i="11"/>
  <c r="F46" i="11"/>
  <c r="G53" i="11"/>
  <c r="G54" i="11"/>
  <c r="G55" i="11"/>
  <c r="G56" i="11"/>
  <c r="D53" i="11"/>
  <c r="J53" i="11" s="1"/>
  <c r="E53" i="11"/>
  <c r="D54" i="11"/>
  <c r="H54" i="11" s="1"/>
  <c r="E54" i="11"/>
  <c r="D44" i="11"/>
  <c r="J44" i="11" s="1"/>
  <c r="E44" i="11"/>
  <c r="G44" i="11"/>
  <c r="K51" i="11" l="1"/>
  <c r="K19" i="11"/>
  <c r="K18" i="11"/>
  <c r="K15" i="11"/>
  <c r="K17" i="11"/>
  <c r="K16" i="11"/>
  <c r="I53" i="11"/>
  <c r="H53" i="11"/>
  <c r="J54" i="11"/>
  <c r="I44" i="11"/>
  <c r="H44" i="11"/>
  <c r="K44" i="11" l="1"/>
  <c r="K53" i="11"/>
  <c r="D21" i="11" l="1"/>
  <c r="E21" i="11"/>
  <c r="D22" i="11"/>
  <c r="J22" i="11" s="1"/>
  <c r="E22" i="11"/>
  <c r="G22" i="11"/>
  <c r="D23" i="11"/>
  <c r="J23" i="11" s="1"/>
  <c r="E23" i="11"/>
  <c r="G23" i="11"/>
  <c r="D24" i="11"/>
  <c r="E24" i="11"/>
  <c r="G24" i="11"/>
  <c r="D25" i="11"/>
  <c r="E25" i="11"/>
  <c r="G25" i="11"/>
  <c r="J26" i="11"/>
  <c r="E26" i="11"/>
  <c r="G26" i="11"/>
  <c r="J27" i="11"/>
  <c r="E27" i="11"/>
  <c r="G27" i="11"/>
  <c r="E28" i="11"/>
  <c r="G28" i="11"/>
  <c r="E29" i="11"/>
  <c r="G29" i="11"/>
  <c r="I29" i="11" s="1"/>
  <c r="J29" i="11"/>
  <c r="J30" i="11"/>
  <c r="E30" i="11"/>
  <c r="G30" i="11"/>
  <c r="J31" i="11"/>
  <c r="E31" i="11"/>
  <c r="G31" i="11"/>
  <c r="H32" i="11"/>
  <c r="E32" i="11"/>
  <c r="G32" i="11"/>
  <c r="H33" i="11"/>
  <c r="E33" i="11"/>
  <c r="G33" i="11"/>
  <c r="J34" i="11"/>
  <c r="E34" i="11"/>
  <c r="G34" i="11"/>
  <c r="J35" i="11"/>
  <c r="E35" i="11"/>
  <c r="G35" i="11"/>
  <c r="H36" i="11"/>
  <c r="E36" i="11"/>
  <c r="G36" i="11"/>
  <c r="H37" i="11"/>
  <c r="E37" i="11"/>
  <c r="G37" i="11"/>
  <c r="J38" i="11"/>
  <c r="E38" i="11"/>
  <c r="G38" i="11"/>
  <c r="J39" i="11"/>
  <c r="E39" i="11"/>
  <c r="G39" i="11"/>
  <c r="H40" i="11"/>
  <c r="E40" i="11"/>
  <c r="G40" i="11"/>
  <c r="H41" i="11"/>
  <c r="D43" i="11"/>
  <c r="J43" i="11" s="1"/>
  <c r="E43" i="11"/>
  <c r="G43" i="11"/>
  <c r="D55" i="11"/>
  <c r="E55" i="11"/>
  <c r="D56" i="11"/>
  <c r="E56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H21" i="11" l="1"/>
  <c r="I21" i="11"/>
  <c r="J21" i="11"/>
  <c r="H25" i="11"/>
  <c r="H55" i="11"/>
  <c r="J55" i="11"/>
  <c r="H56" i="11"/>
  <c r="J56" i="11"/>
  <c r="I37" i="11"/>
  <c r="I43" i="11"/>
  <c r="I31" i="11"/>
  <c r="J41" i="11"/>
  <c r="J25" i="11"/>
  <c r="H24" i="11"/>
  <c r="I27" i="11"/>
  <c r="I25" i="11"/>
  <c r="I35" i="11"/>
  <c r="H29" i="11"/>
  <c r="K29" i="11" s="1"/>
  <c r="H43" i="11"/>
  <c r="I39" i="11"/>
  <c r="I33" i="11"/>
  <c r="I23" i="11"/>
  <c r="H39" i="11"/>
  <c r="I38" i="11"/>
  <c r="J37" i="11"/>
  <c r="H35" i="11"/>
  <c r="I34" i="11"/>
  <c r="J33" i="11"/>
  <c r="H31" i="11"/>
  <c r="I30" i="11"/>
  <c r="H27" i="11"/>
  <c r="I26" i="11"/>
  <c r="H23" i="11"/>
  <c r="I22" i="11"/>
  <c r="H28" i="11"/>
  <c r="I40" i="11"/>
  <c r="I36" i="11"/>
  <c r="I32" i="11"/>
  <c r="I28" i="11"/>
  <c r="I24" i="11"/>
  <c r="J40" i="11"/>
  <c r="H38" i="11"/>
  <c r="J36" i="11"/>
  <c r="H34" i="11"/>
  <c r="J32" i="11"/>
  <c r="H30" i="11"/>
  <c r="J28" i="11"/>
  <c r="H26" i="11"/>
  <c r="J24" i="11"/>
  <c r="H22" i="11"/>
  <c r="I55" i="11"/>
  <c r="I57" i="11"/>
  <c r="J63" i="11"/>
  <c r="I54" i="11"/>
  <c r="K54" i="11" s="1"/>
  <c r="I58" i="11"/>
  <c r="H57" i="11"/>
  <c r="I56" i="11"/>
  <c r="H60" i="11"/>
  <c r="J59" i="11"/>
  <c r="I60" i="11"/>
  <c r="I61" i="11"/>
  <c r="I63" i="11"/>
  <c r="H61" i="11"/>
  <c r="I62" i="11"/>
  <c r="H62" i="11"/>
  <c r="I59" i="11"/>
  <c r="H58" i="11"/>
  <c r="K23" i="11" l="1"/>
  <c r="K21" i="11"/>
  <c r="K33" i="11"/>
  <c r="K31" i="11"/>
  <c r="K37" i="11"/>
  <c r="K32" i="11"/>
  <c r="K36" i="11"/>
  <c r="K38" i="11"/>
  <c r="K26" i="11"/>
  <c r="K35" i="11"/>
  <c r="K43" i="11"/>
  <c r="K56" i="11"/>
  <c r="K55" i="11"/>
  <c r="K30" i="11"/>
  <c r="K41" i="11"/>
  <c r="K22" i="11"/>
  <c r="K25" i="11"/>
  <c r="K34" i="11"/>
  <c r="K27" i="11"/>
  <c r="K39" i="11"/>
  <c r="K63" i="11"/>
  <c r="K28" i="11"/>
  <c r="K24" i="11"/>
  <c r="K40" i="11"/>
  <c r="K61" i="11"/>
  <c r="K57" i="11"/>
  <c r="K62" i="11"/>
  <c r="K58" i="11"/>
  <c r="K59" i="11"/>
  <c r="K60" i="11"/>
  <c r="G45" i="11"/>
  <c r="G46" i="11"/>
  <c r="G47" i="11"/>
  <c r="G48" i="11"/>
  <c r="G49" i="11"/>
  <c r="G50" i="11"/>
  <c r="D45" i="11"/>
  <c r="H45" i="11" s="1"/>
  <c r="E45" i="11"/>
  <c r="J46" i="11"/>
  <c r="E46" i="11"/>
  <c r="D47" i="11"/>
  <c r="I47" i="11" s="1"/>
  <c r="E47" i="11"/>
  <c r="E48" i="11"/>
  <c r="D49" i="11"/>
  <c r="E49" i="11"/>
  <c r="D50" i="11"/>
  <c r="E50" i="11"/>
  <c r="H49" i="11" l="1"/>
  <c r="J50" i="11"/>
  <c r="H48" i="11"/>
  <c r="I46" i="11"/>
  <c r="I50" i="11"/>
  <c r="H47" i="11"/>
  <c r="J45" i="11"/>
  <c r="J49" i="11"/>
  <c r="H50" i="11"/>
  <c r="I49" i="11"/>
  <c r="J48" i="11"/>
  <c r="H46" i="11"/>
  <c r="I45" i="11"/>
  <c r="I48" i="11"/>
  <c r="J47" i="11"/>
  <c r="K48" i="11" l="1"/>
  <c r="K47" i="11"/>
  <c r="K46" i="11"/>
  <c r="K45" i="11"/>
  <c r="K50" i="11"/>
  <c r="K49" i="11"/>
  <c r="D64" i="11" l="1"/>
  <c r="H64" i="11" s="1"/>
  <c r="E64" i="11"/>
  <c r="G64" i="11"/>
  <c r="I64" i="11" l="1"/>
  <c r="J64" i="11"/>
  <c r="D20" i="11"/>
  <c r="C6" i="62"/>
  <c r="H20" i="11" l="1"/>
  <c r="I20" i="11"/>
  <c r="J20" i="11"/>
  <c r="K64" i="11"/>
  <c r="D16" i="60"/>
  <c r="K20" i="11" l="1"/>
  <c r="D14" i="1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6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5" i="11"/>
  <c r="D66" i="11"/>
  <c r="H66" i="11" s="1"/>
  <c r="E6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6" i="11"/>
  <c r="I6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66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68" i="11"/>
  <c r="H69" i="11" s="1"/>
  <c r="I68" i="11"/>
  <c r="I69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20" i="29" l="1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0" i="11"/>
  <c r="I70" i="11"/>
  <c r="F364" i="29"/>
  <c r="F69" i="39"/>
  <c r="F72" i="39"/>
  <c r="F367" i="29"/>
  <c r="J65" i="11"/>
  <c r="K65" i="11" s="1"/>
  <c r="K68" i="11" s="1"/>
  <c r="K69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8" i="11"/>
  <c r="J69" i="11" s="1"/>
  <c r="K70" i="11"/>
  <c r="B7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10" i="41" l="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<sst xmlns="http://schemas.openxmlformats.org/spreadsheetml/2006/main" count="4734" uniqueCount="1631">
  <si>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</si>
  <si>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</si>
  <si>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</si>
  <si>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</si>
  <si>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</si>
  <si>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</si>
  <si>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</si>
  <si>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</si>
  <si>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</si>
  <si>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</si>
  <si>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</si>
  <si>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</si>
  <si>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</si>
  <si>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</si>
  <si>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</si>
  <si>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</si>
  <si>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</si>
  <si>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</si>
  <si>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</si>
  <si>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</si>
  <si>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</si>
  <si>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</si>
  <si>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</si>
  <si>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</si>
  <si>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</si>
  <si>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</si>
  <si>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</si>
  <si>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</si>
  <si>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</si>
  <si>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</si>
  <si>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</si>
  <si>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</si>
  <si>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</si>
  <si>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</si>
  <si>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</si>
  <si>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</si>
  <si>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</si>
  <si>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</si>
  <si>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</si>
  <si>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</si>
  <si>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</si>
  <si>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</si>
  <si>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</si>
  <si>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</si>
  <si>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</si>
  <si>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</si>
  <si>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</si>
  <si>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</si>
  <si>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</si>
  <si>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</si>
  <si>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</si>
  <si>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</si>
  <si>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</si>
  <si>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</si>
  <si>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</si>
  <si>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</si>
  <si>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</si>
  <si>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</si>
  <si>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</si>
  <si>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</si>
  <si>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</si>
  <si>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</si>
  <si>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</si>
  <si>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</si>
  <si>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</si>
  <si>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</si>
  <si>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</si>
  <si>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</si>
  <si>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</si>
  <si>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</si>
  <si>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</si>
  <si>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</si>
  <si>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</si>
  <si>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</si>
  <si>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</si>
  <si>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</si>
  <si>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</si>
  <si>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</si>
  <si>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</si>
  <si>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</si>
  <si>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</si>
  <si>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</si>
  <si>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</si>
  <si>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</si>
  <si>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</si>
  <si>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</si>
  <si>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</si>
  <si>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</si>
  <si>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</si>
  <si>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</si>
  <si>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</si>
  <si>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</si>
  <si>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</si>
  <si>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</si>
  <si>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</si>
  <si>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</si>
  <si>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</si>
  <si>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</si>
  <si>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</si>
  <si>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</si>
  <si>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</si>
  <si>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</si>
  <si>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</si>
  <si>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</si>
  <si>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</si>
  <si>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</si>
  <si>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</si>
  <si>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</si>
  <si>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</si>
  <si>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</si>
  <si>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</si>
  <si>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</si>
  <si>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</si>
  <si>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</si>
  <si>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</si>
  <si>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</si>
  <si>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</si>
  <si>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</si>
  <si>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</si>
  <si>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</si>
  <si>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</si>
  <si>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</si>
  <si>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</si>
  <si>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</si>
  <si>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</si>
  <si>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</si>
  <si>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</si>
  <si>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</si>
  <si>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</si>
  <si>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</si>
  <si>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</si>
  <si>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</si>
  <si>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</si>
  <si>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</si>
  <si>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</si>
  <si>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</si>
  <si>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</si>
  <si>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</si>
  <si>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</si>
  <si>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</si>
  <si>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</si>
  <si>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</si>
  <si>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</si>
  <si>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</si>
  <si>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</si>
  <si>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</si>
  <si>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</si>
  <si>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</si>
  <si>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</si>
  <si>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</si>
  <si>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</si>
  <si>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</si>
  <si>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</si>
  <si>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</si>
  <si>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</si>
  <si>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</si>
  <si>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</si>
  <si>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</si>
  <si>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</si>
  <si>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</si>
  <si>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</si>
  <si>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</si>
  <si>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</si>
  <si>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</si>
  <si>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</si>
  <si>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</si>
  <si>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</si>
  <si>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</si>
  <si>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</si>
  <si>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</si>
  <si>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</si>
  <si>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</si>
  <si>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</si>
  <si>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</si>
  <si>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</si>
  <si>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</si>
  <si>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</si>
  <si>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</si>
  <si>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</si>
  <si>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</si>
  <si>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</si>
  <si>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</si>
  <si>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</si>
  <si>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</si>
  <si>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</si>
  <si>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</si>
  <si>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</si>
  <si>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</si>
  <si>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</si>
  <si>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</si>
  <si>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</si>
  <si>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</si>
  <si>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</si>
  <si>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</si>
  <si>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</si>
  <si>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</si>
  <si>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</si>
  <si>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</si>
  <si>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</si>
  <si>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</si>
  <si>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</si>
  <si>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</si>
  <si>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</si>
  <si>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</si>
  <si>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</si>
  <si>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</si>
  <si>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</si>
  <si>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</si>
  <si>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</si>
  <si>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</si>
  <si>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</si>
  <si>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</si>
  <si>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</si>
  <si>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</si>
  <si>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</si>
  <si>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</si>
  <si>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</si>
  <si>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</si>
  <si>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</si>
  <si>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</si>
  <si>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</si>
  <si>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</si>
  <si>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</si>
  <si>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</si>
  <si>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</si>
  <si>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</si>
  <si>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</si>
  <si>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</si>
  <si>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</si>
  <si>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</si>
  <si>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</si>
  <si>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</si>
  <si>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</si>
  <si>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</si>
  <si>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</si>
  <si>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</si>
  <si>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</si>
  <si>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</si>
  <si>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</si>
  <si>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</si>
  <si>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</si>
  <si>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</si>
  <si>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</si>
  <si>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</si>
  <si>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</si>
  <si>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</si>
  <si>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</si>
  <si>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</si>
  <si>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</si>
  <si>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</si>
  <si>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</si>
  <si>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</si>
  <si>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</si>
  <si>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</si>
  <si>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</si>
  <si>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</si>
  <si>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</si>
  <si>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</si>
  <si>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</si>
  <si>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</si>
  <si>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</si>
  <si>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</si>
  <si>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</si>
  <si>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</si>
  <si>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</si>
  <si>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</si>
  <si>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</si>
  <si>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</si>
  <si>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</si>
  <si>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</si>
  <si>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</si>
  <si>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</si>
  <si>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</si>
  <si>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</si>
  <si>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</si>
  <si>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</si>
  <si>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</si>
  <si>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</si>
  <si>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</si>
  <si>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</si>
  <si>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</si>
  <si>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</si>
  <si>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</si>
  <si>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</si>
  <si>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</si>
  <si>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</si>
  <si>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</si>
  <si>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</si>
  <si>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</si>
  <si>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</si>
  <si>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</si>
  <si>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</si>
  <si>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</si>
  <si>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</si>
  <si>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</si>
  <si>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</si>
  <si>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</si>
  <si>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</si>
  <si>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</si>
  <si>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</si>
  <si>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</si>
  <si>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</si>
  <si>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</si>
  <si>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</si>
  <si>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</si>
  <si>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</si>
  <si>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</si>
  <si>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</si>
  <si>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</si>
  <si>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</si>
  <si>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</si>
  <si>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</si>
  <si>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</si>
  <si>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</si>
  <si>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</si>
  <si>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</si>
  <si>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</si>
  <si>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</si>
  <si>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</si>
  <si>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</si>
  <si>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</si>
  <si>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</si>
  <si>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</si>
  <si>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</si>
  <si>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</si>
  <si>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</si>
  <si>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</si>
  <si>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</si>
  <si>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</si>
  <si>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</si>
  <si>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</si>
  <si>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</si>
  <si>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</si>
  <si>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</si>
  <si>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</si>
  <si>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</si>
  <si>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</si>
  <si>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</si>
  <si>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</si>
  <si>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</si>
  <si>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</si>
  <si>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</si>
  <si>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</si>
  <si>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</si>
  <si>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</si>
  <si>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</si>
  <si>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</si>
  <si>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</si>
  <si>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</si>
  <si>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</si>
  <si>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</si>
  <si>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</si>
  <si>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</si>
  <si>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</si>
  <si>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</si>
  <si>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</si>
  <si>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</si>
  <si>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</si>
  <si>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</si>
  <si>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</si>
  <si>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</si>
  <si>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</si>
  <si>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</si>
  <si>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</si>
  <si>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</si>
  <si>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</si>
  <si>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</si>
  <si>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</si>
  <si>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</si>
  <si>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</si>
  <si>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</si>
  <si>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</si>
  <si>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</si>
  <si>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</si>
  <si>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</si>
  <si>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</si>
  <si>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</si>
  <si>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</si>
  <si>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</si>
  <si>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</si>
  <si>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</si>
  <si>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</si>
  <si>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</si>
  <si>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</si>
  <si>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</si>
  <si>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</si>
  <si>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</si>
  <si>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</si>
  <si>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</si>
  <si>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</si>
  <si>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</si>
  <si>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</si>
  <si>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</si>
  <si>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</si>
  <si>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</si>
  <si>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</si>
  <si>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</si>
  <si>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</si>
  <si>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</si>
  <si>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</si>
  <si>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</si>
  <si>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</si>
  <si>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</si>
  <si>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</si>
  <si>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</si>
  <si>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</si>
  <si>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</si>
  <si>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</si>
  <si>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</si>
  <si>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</si>
  <si>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</si>
  <si>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</si>
  <si>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</si>
  <si>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</si>
  <si>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</si>
  <si>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</si>
  <si>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</si>
  <si>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</si>
  <si>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</si>
  <si>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</si>
  <si>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</si>
  <si>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</si>
  <si>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</si>
  <si>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</si>
  <si>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</si>
  <si>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</si>
  <si>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</si>
  <si>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</si>
  <si>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</si>
  <si>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</si>
  <si>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</si>
  <si>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</si>
  <si>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</si>
  <si>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</si>
  <si>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</si>
  <si>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</si>
  <si>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</si>
  <si>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</si>
  <si>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</si>
  <si>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</si>
  <si>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</si>
  <si>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</si>
  <si>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</si>
  <si>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</si>
  <si>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</si>
  <si>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</si>
  <si>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</si>
  <si>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</si>
  <si>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</si>
  <si>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</si>
  <si>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</si>
  <si>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</si>
  <si>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</si>
  <si>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</si>
  <si>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</si>
  <si>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</si>
  <si>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</si>
  <si>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</si>
  <si>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</si>
  <si>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</si>
  <si>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</si>
  <si>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</si>
  <si>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</si>
  <si>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</si>
  <si>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</si>
  <si>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</si>
  <si>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</si>
  <si>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</si>
  <si>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</si>
  <si>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</si>
  <si>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</si>
  <si>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</si>
  <si>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</si>
  <si>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</si>
  <si>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</si>
  <si>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</si>
  <si>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</si>
  <si>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</si>
  <si>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</si>
  <si>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</si>
  <si>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</si>
  <si>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</si>
  <si>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</si>
  <si>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</si>
  <si>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</si>
  <si>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</si>
  <si>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</si>
  <si>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</si>
  <si>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</si>
  <si>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</si>
  <si>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</si>
  <si>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</si>
  <si>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</si>
  <si>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</si>
  <si>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</si>
  <si>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</si>
  <si>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</si>
  <si>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</si>
  <si>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</si>
  <si>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</si>
  <si>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</si>
  <si>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</si>
  <si>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</si>
  <si>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</si>
  <si>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</si>
  <si>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</si>
  <si>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</si>
  <si>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</si>
  <si>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</si>
  <si>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</si>
  <si>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</si>
  <si>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</si>
  <si>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</si>
  <si>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</si>
  <si>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</si>
  <si>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</si>
  <si>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</si>
  <si>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</si>
  <si>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</si>
  <si>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</si>
  <si>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</si>
  <si>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</si>
  <si>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</si>
  <si>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</si>
  <si>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</si>
  <si>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</si>
  <si>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</si>
  <si>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</si>
  <si>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</si>
  <si>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</si>
  <si>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</si>
  <si>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</si>
  <si>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</si>
  <si>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</si>
  <si>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</si>
  <si>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</si>
  <si>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</si>
  <si>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</si>
  <si>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</si>
  <si>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</si>
  <si>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</si>
  <si>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</si>
  <si>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</si>
  <si>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</si>
  <si>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</si>
  <si>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</si>
  <si>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</si>
  <si>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</si>
  <si>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</si>
  <si>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</si>
  <si>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</si>
  <si>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</si>
  <si>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</si>
  <si>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</si>
  <si>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</si>
  <si>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</si>
  <si>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</si>
  <si>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</si>
  <si>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</si>
  <si>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</si>
  <si>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</si>
  <si>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</si>
  <si>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</si>
  <si>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</si>
  <si>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</si>
  <si>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</si>
  <si>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</si>
  <si>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</si>
  <si>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</si>
  <si>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</si>
  <si>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</si>
  <si>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</si>
  <si>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</si>
  <si>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</si>
  <si>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</si>
  <si>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</si>
  <si>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</si>
  <si>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</si>
  <si>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</si>
  <si>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</si>
  <si>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</si>
  <si>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</si>
  <si>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</si>
  <si>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</si>
  <si>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</si>
  <si>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</si>
  <si>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</si>
  <si>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</si>
  <si>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</si>
  <si>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</si>
  <si>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</si>
  <si>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</si>
  <si>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</si>
  <si>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</si>
  <si>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</si>
  <si>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</si>
  <si>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</si>
  <si>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</si>
  <si>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</si>
  <si>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</si>
  <si>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</si>
  <si>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</si>
  <si>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</si>
  <si>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</si>
  <si>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</si>
  <si>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</si>
  <si>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</si>
  <si>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</si>
  <si>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</si>
  <si>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</si>
  <si>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</si>
  <si>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</si>
  <si>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</si>
  <si>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</si>
  <si>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</si>
  <si>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</si>
  <si>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</si>
  <si>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</si>
  <si>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</si>
  <si>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</si>
  <si>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</si>
  <si>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</si>
  <si>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</si>
  <si>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</si>
  <si>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</si>
  <si>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</si>
  <si>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</si>
  <si>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</si>
  <si>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</si>
  <si>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</si>
  <si>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</si>
  <si>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</si>
  <si>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</si>
  <si>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</si>
  <si>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</si>
  <si>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</si>
  <si>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</si>
  <si>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</si>
  <si>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</si>
  <si>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</si>
  <si>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</si>
  <si>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</si>
  <si>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</si>
  <si>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</si>
  <si>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</si>
  <si>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</si>
  <si>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</si>
  <si>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</si>
  <si>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</si>
  <si>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</si>
  <si>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</si>
  <si>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</si>
  <si>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</si>
  <si>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</si>
  <si>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</si>
  <si>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</si>
  <si>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</si>
  <si>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</si>
  <si>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</si>
  <si>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</si>
  <si>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</si>
  <si>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</si>
  <si>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</si>
  <si>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</si>
  <si>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</si>
  <si>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</si>
  <si>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</si>
  <si>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</si>
  <si>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</si>
  <si>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</si>
  <si>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</si>
  <si>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</si>
  <si>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</si>
  <si>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</si>
  <si>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</si>
  <si>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</si>
  <si>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</si>
  <si>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</si>
  <si>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</si>
  <si>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</si>
  <si>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</si>
  <si>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</si>
  <si>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</si>
  <si>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</si>
  <si>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</si>
  <si>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</si>
  <si>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</si>
  <si>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</si>
  <si>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</si>
  <si>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</si>
  <si>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</si>
  <si>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</si>
  <si>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</si>
  <si>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</si>
  <si>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</si>
  <si>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</si>
  <si>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</si>
  <si>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</si>
  <si>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</si>
  <si>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</si>
  <si>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</si>
  <si>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</si>
  <si>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</si>
  <si>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</si>
  <si>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</si>
  <si>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</si>
  <si>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</si>
  <si>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</si>
  <si>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</si>
  <si>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</si>
  <si>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</si>
  <si>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</si>
  <si>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</si>
  <si>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</si>
  <si>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</si>
  <si>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</si>
  <si>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</si>
  <si>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</si>
  <si>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</si>
  <si>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</si>
  <si>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</si>
  <si>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</si>
  <si>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</si>
  <si>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</si>
  <si>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</si>
  <si>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</si>
  <si>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</si>
  <si>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</si>
  <si>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</si>
  <si>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</si>
  <si>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</si>
  <si>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</si>
  <si>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</si>
  <si>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</si>
  <si>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</si>
  <si>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</si>
  <si>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</si>
  <si>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</si>
  <si>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</si>
  <si>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</si>
  <si>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</si>
  <si>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</si>
  <si>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</si>
  <si>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</si>
  <si>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</si>
  <si>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</si>
  <si>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</si>
  <si>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</si>
  <si>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</si>
  <si>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</si>
  <si>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</si>
  <si>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</si>
  <si>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</si>
  <si>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</si>
  <si>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</si>
  <si>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</si>
  <si>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</si>
  <si>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</si>
  <si>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</si>
  <si>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</si>
  <si>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</si>
  <si>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</si>
  <si>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</si>
  <si>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</si>
  <si>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</si>
  <si>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</si>
  <si>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</si>
  <si>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</si>
  <si>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</si>
  <si>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</si>
  <si>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</si>
  <si>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</si>
  <si>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</si>
  <si>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</si>
  <si>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</si>
  <si>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</si>
  <si>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</si>
  <si>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</si>
  <si>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</si>
  <si>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</si>
  <si>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</si>
  <si>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</si>
  <si>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</si>
  <si>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</si>
  <si>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</si>
  <si>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</si>
  <si>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</si>
  <si>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</si>
  <si>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</si>
  <si>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</si>
  <si>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</si>
  <si>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</si>
  <si>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</si>
  <si>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</si>
  <si>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</si>
  <si>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</si>
  <si>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</si>
  <si>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</si>
  <si>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</si>
  <si>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</si>
  <si>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</si>
  <si>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</si>
  <si>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</si>
  <si>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</si>
  <si>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</si>
  <si>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</si>
  <si>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</si>
  <si>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</si>
  <si>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</si>
  <si>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</si>
  <si>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</si>
  <si>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</si>
  <si>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</si>
  <si>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</si>
  <si>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</si>
  <si>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</si>
  <si>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</si>
  <si>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</si>
  <si>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</si>
  <si>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</si>
  <si>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</si>
  <si>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</si>
  <si>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</si>
  <si>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</si>
  <si>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</si>
  <si>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</si>
  <si>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</si>
  <si>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</si>
  <si>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</si>
  <si>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</si>
  <si>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</si>
  <si>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</si>
  <si>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</si>
  <si>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</si>
  <si>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</si>
  <si>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</si>
  <si>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</si>
  <si>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</si>
  <si>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</si>
  <si>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</si>
  <si>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</si>
  <si>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</si>
  <si>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</si>
  <si>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</si>
  <si>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</si>
  <si>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</si>
  <si>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</si>
  <si>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</si>
  <si>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</si>
  <si>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</si>
  <si>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</si>
  <si>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</si>
  <si>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</si>
  <si>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</si>
  <si>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</si>
  <si>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</si>
  <si>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</si>
  <si>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</si>
  <si>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</si>
  <si>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</si>
  <si>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</si>
  <si>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</si>
  <si>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</si>
  <si>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</si>
  <si>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</si>
  <si>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</si>
  <si>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</si>
  <si>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</si>
  <si>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</si>
  <si>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</si>
  <si>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</si>
  <si>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</si>
  <si>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</si>
  <si>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</si>
  <si>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</si>
  <si>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</si>
  <si>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</si>
  <si>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</si>
  <si>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</si>
  <si>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</si>
  <si>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</si>
  <si>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</si>
  <si>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</si>
  <si>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</si>
  <si>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</si>
  <si>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</si>
  <si>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</si>
  <si>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</si>
  <si>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</si>
  <si>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</si>
  <si>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</si>
  <si>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</si>
  <si>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</si>
  <si>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</si>
  <si>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</si>
  <si>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</si>
  <si>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</si>
  <si>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</si>
  <si>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</si>
  <si>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</si>
  <si>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</si>
  <si>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</si>
  <si>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</si>
  <si>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</si>
  <si>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</si>
  <si>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</si>
  <si>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</si>
  <si>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</si>
  <si>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</si>
  <si>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</si>
  <si>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</si>
  <si>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</si>
  <si>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</si>
  <si>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</si>
  <si>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</si>
  <si>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</si>
  <si>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</si>
  <si>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</si>
  <si>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</si>
  <si>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</si>
  <si>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</si>
  <si>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</si>
  <si>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</si>
  <si>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</si>
  <si>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</si>
  <si>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</si>
  <si>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</si>
  <si>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</si>
  <si>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</si>
  <si>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</si>
  <si>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</si>
  <si>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</si>
  <si>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</si>
  <si>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</si>
  <si>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</si>
  <si>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</si>
  <si>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</si>
  <si>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</si>
  <si>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</si>
  <si>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</si>
  <si>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</si>
  <si>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</si>
  <si>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</si>
  <si>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</si>
  <si>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</si>
  <si>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</si>
  <si>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</si>
  <si>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</si>
  <si>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</si>
  <si>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</si>
  <si>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</si>
  <si>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</si>
  <si>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</si>
  <si>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</si>
  <si>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</si>
  <si>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</si>
  <si>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</si>
  <si>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</si>
  <si>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</si>
  <si>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</si>
  <si>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</si>
  <si>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</si>
  <si>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</si>
  <si>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</si>
  <si>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</si>
  <si>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</si>
  <si>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</si>
  <si>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</si>
  <si>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</si>
  <si>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</si>
  <si>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</si>
  <si>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</si>
  <si>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</si>
  <si>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</si>
  <si>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</si>
  <si>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</si>
  <si>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</si>
  <si>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</si>
  <si>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</si>
  <si>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</si>
  <si>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</si>
  <si>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</si>
  <si>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</si>
  <si>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</si>
  <si>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</si>
  <si>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</si>
  <si>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</si>
  <si>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</si>
  <si>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</si>
  <si>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</si>
  <si>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</si>
  <si>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</si>
  <si>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</si>
  <si>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</si>
  <si>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</si>
  <si>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</si>
  <si>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</si>
  <si>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</si>
  <si>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</si>
  <si>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</si>
  <si>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</si>
  <si>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</si>
  <si>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</si>
  <si>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</si>
  <si>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</si>
  <si>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</si>
  <si>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</si>
  <si>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</si>
  <si>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</si>
  <si>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</si>
  <si>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</si>
  <si>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</si>
  <si>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</si>
  <si>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</si>
  <si>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</si>
  <si>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</si>
  <si>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</si>
  <si>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</si>
  <si>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</si>
  <si>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</si>
  <si>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</si>
  <si>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</si>
  <si>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</si>
  <si>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</si>
  <si>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</si>
  <si>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</si>
  <si>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</si>
  <si>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</si>
  <si>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</si>
  <si>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</si>
  <si>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</si>
  <si>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</si>
  <si>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</si>
  <si>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</si>
  <si>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</si>
  <si>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</si>
  <si>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</si>
  <si>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</si>
  <si>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</si>
  <si>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</si>
  <si>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</si>
  <si>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</si>
  <si>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</si>
  <si>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</si>
  <si>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</si>
  <si>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</si>
  <si>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</si>
  <si>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</si>
  <si>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</si>
  <si>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</si>
  <si>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</si>
  <si>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</si>
  <si>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</si>
  <si>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</si>
  <si>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</si>
  <si>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</si>
  <si>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</si>
  <si>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</si>
  <si>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</si>
  <si>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</si>
  <si>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</si>
  <si>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</si>
  <si>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</si>
  <si>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</si>
  <si>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</si>
  <si>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</si>
  <si>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</si>
  <si>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</si>
  <si>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</si>
  <si>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</si>
  <si>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</si>
  <si>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</si>
  <si>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</si>
  <si>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</si>
  <si>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</si>
  <si>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</si>
  <si>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</si>
  <si>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</si>
  <si>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</si>
  <si>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</si>
  <si>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</si>
  <si>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</si>
  <si>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</si>
  <si>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</si>
  <si>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</si>
  <si>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</si>
  <si>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</si>
  <si>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</si>
  <si>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</si>
  <si>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</si>
  <si>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</si>
  <si>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</si>
  <si>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</si>
  <si>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</si>
  <si>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</si>
  <si>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</si>
  <si>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</si>
  <si>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</si>
  <si>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</si>
  <si>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</si>
  <si>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</si>
  <si>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</si>
  <si>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</si>
  <si>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</si>
  <si>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</si>
  <si>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</si>
  <si>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</si>
  <si>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</si>
  <si>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</si>
  <si>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</si>
  <si>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</si>
  <si>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</si>
  <si>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</si>
  <si>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</si>
  <si>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</si>
  <si>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</si>
  <si>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</si>
  <si>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</si>
  <si>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</si>
  <si>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</si>
  <si>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</si>
  <si>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</si>
  <si>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</si>
  <si>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</si>
  <si>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</si>
  <si>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</si>
  <si>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</si>
  <si>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</si>
  <si>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</si>
  <si>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</si>
  <si>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</si>
  <si>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</si>
  <si>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</si>
  <si>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</si>
  <si>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</si>
  <si>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</si>
  <si>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</si>
  <si>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</si>
  <si>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</si>
  <si>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</si>
  <si>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</si>
  <si>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</si>
  <si>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</si>
  <si>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</si>
  <si>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</si>
  <si>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</si>
  <si>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</si>
  <si>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</si>
  <si>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</si>
  <si>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</si>
  <si>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</si>
  <si>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</si>
  <si>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</si>
  <si>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</si>
  <si>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</si>
  <si>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</si>
  <si>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</si>
  <si>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</si>
  <si>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</si>
  <si>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</si>
  <si>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</si>
  <si>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</si>
  <si>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</si>
  <si>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</si>
  <si>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</si>
  <si>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</si>
  <si>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</si>
  <si>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</si>
  <si>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</si>
  <si>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</si>
  <si>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</si>
  <si>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</si>
  <si>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</si>
  <si>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</si>
  <si>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</si>
  <si>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</si>
  <si>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</si>
  <si>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</si>
  <si>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</si>
  <si>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</si>
  <si>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</si>
  <si>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</si>
  <si>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</si>
  <si>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</si>
  <si>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</si>
  <si>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</si>
  <si>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</si>
  <si>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</si>
  <si>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</si>
  <si>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</si>
  <si>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</si>
  <si>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</si>
  <si>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</si>
  <si>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</si>
  <si>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</si>
  <si>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</si>
  <si>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</si>
  <si>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</si>
  <si>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</si>
  <si>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</si>
  <si>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</si>
  <si>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</si>
  <si>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</si>
  <si>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</si>
  <si>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</si>
  <si>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</si>
  <si>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</si>
  <si>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</si>
  <si>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</si>
  <si>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</si>
  <si>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</si>
  <si>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</si>
  <si>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</si>
  <si>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</si>
  <si>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</si>
  <si>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</si>
  <si>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</si>
  <si>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</si>
  <si>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</si>
  <si>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</si>
  <si>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</si>
  <si>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</si>
  <si>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</si>
  <si>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</si>
  <si>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</si>
  <si>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</si>
  <si>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</si>
  <si>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</si>
  <si>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</si>
  <si>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</si>
  <si>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</si>
  <si>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</si>
  <si>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</si>
  <si>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</si>
  <si>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</si>
  <si>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</si>
  <si>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</si>
  <si>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</si>
  <si>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</si>
  <si>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</si>
  <si>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</si>
  <si>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</si>
  <si>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</si>
  <si>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</si>
  <si>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</si>
  <si>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</si>
  <si>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</si>
  <si>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</si>
  <si>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</si>
  <si>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</si>
  <si>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</si>
  <si>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</si>
  <si>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</si>
  <si>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</si>
  <si>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</si>
  <si>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</si>
  <si>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</si>
  <si>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</si>
  <si>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</si>
  <si>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</si>
  <si>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</si>
  <si>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</si>
  <si>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</si>
  <si>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</si>
  <si>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</si>
  <si>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</si>
  <si>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</si>
  <si>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</si>
  <si>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</si>
  <si>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</si>
  <si>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</si>
  <si>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</si>
  <si>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</si>
  <si>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</si>
  <si>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</si>
  <si>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</si>
  <si>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</si>
  <si>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</si>
  <si>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</si>
  <si>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</si>
  <si>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</si>
  <si>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</si>
  <si>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</si>
  <si>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</si>
  <si>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</si>
  <si>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</si>
  <si>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</si>
  <si>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</si>
  <si>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</si>
  <si>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</si>
  <si>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</si>
  <si>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</si>
  <si>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</si>
  <si>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</si>
  <si>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</si>
  <si>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</si>
  <si>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</si>
  <si>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</si>
  <si>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</si>
  <si>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</si>
  <si>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</si>
  <si>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</si>
  <si>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</si>
  <si>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</si>
  <si>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</si>
  <si>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</si>
  <si>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</si>
  <si>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</si>
  <si>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</si>
  <si>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</si>
  <si>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</si>
  <si>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</si>
  <si>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</si>
  <si>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</si>
  <si>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</si>
  <si>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</si>
  <si>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</si>
  <si>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</si>
  <si>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</si>
  <si>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</si>
  <si>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</si>
  <si>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</si>
  <si>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</si>
  <si>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</si>
  <si>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</si>
  <si>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</si>
  <si>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</si>
  <si>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</si>
  <si>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</si>
  <si>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</si>
  <si>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</si>
  <si>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</si>
  <si>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</si>
  <si>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</si>
  <si>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</si>
  <si>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</si>
  <si>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</si>
  <si>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</si>
  <si>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</si>
  <si>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</si>
  <si>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</si>
  <si>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</si>
  <si>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</si>
  <si>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</si>
  <si>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</si>
  <si>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</si>
  <si>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</si>
  <si>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</si>
  <si>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</si>
  <si>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</si>
  <si>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</si>
  <si>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</si>
  <si>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</si>
  <si>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</si>
  <si>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</si>
  <si>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</si>
  <si>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</si>
  <si>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</si>
  <si>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</si>
  <si>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</si>
  <si>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</si>
  <si>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</si>
  <si>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</si>
  <si>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</si>
  <si>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</si>
  <si>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</si>
  <si>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</si>
  <si>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</si>
  <si>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</si>
  <si>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</si>
  <si>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</si>
  <si>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</si>
  <si>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</si>
  <si>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</si>
  <si>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</si>
  <si>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</si>
  <si>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</si>
  <si>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</si>
  <si>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</si>
  <si>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</si>
  <si>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</si>
  <si>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</si>
  <si>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</si>
  <si>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</si>
  <si>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</si>
  <si>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</si>
  <si>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</si>
  <si>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</si>
  <si>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</si>
  <si>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</si>
  <si>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</si>
  <si>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</si>
  <si>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</si>
  <si>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</si>
  <si>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</si>
  <si>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</si>
  <si>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</si>
  <si>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</si>
  <si>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</si>
  <si>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</si>
  <si>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</si>
  <si>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</si>
  <si>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</si>
  <si>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</si>
  <si>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</si>
  <si>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</si>
  <si>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</si>
  <si>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</si>
  <si>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</si>
  <si>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</si>
  <si>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</si>
  <si>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</si>
  <si>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</si>
  <si>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</si>
  <si>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</si>
  <si>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</si>
  <si>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</si>
  <si>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</si>
  <si>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</si>
  <si>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</si>
  <si>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</si>
  <si>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</si>
  <si>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</si>
  <si>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</si>
  <si>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</si>
  <si>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</si>
  <si>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</si>
  <si>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</si>
  <si>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</si>
  <si>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</si>
  <si>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</si>
  <si>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</si>
  <si>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</si>
  <si>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</si>
  <si>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</si>
  <si>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</si>
  <si>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</si>
  <si>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</si>
  <si>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</si>
  <si>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</si>
  <si>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</si>
  <si>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</si>
  <si>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</si>
  <si>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</si>
  <si>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</si>
  <si>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</si>
  <si>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</si>
  <si>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</si>
  <si>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</si>
  <si>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</si>
  <si>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</si>
  <si>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</si>
  <si>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</si>
  <si>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</si>
  <si>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</si>
  <si>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</si>
  <si>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</si>
  <si>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</si>
  <si>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</si>
  <si>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</si>
  <si>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</si>
  <si>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</si>
  <si>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</si>
  <si>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</si>
  <si>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</si>
  <si>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</si>
  <si>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</si>
  <si>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</si>
  <si>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</si>
  <si>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</si>
  <si>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</si>
  <si>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</si>
  <si>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</si>
  <si>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</si>
  <si>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</si>
  <si>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</si>
  <si>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</si>
  <si>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</si>
  <si>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</si>
  <si>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</si>
  <si>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</si>
  <si>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</si>
  <si>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</si>
  <si>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</si>
  <si>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</si>
  <si>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</si>
  <si>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</si>
  <si>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</si>
  <si>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</si>
  <si>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</si>
  <si>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</si>
  <si>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</si>
  <si>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</si>
  <si>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</si>
  <si>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</si>
  <si>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</si>
  <si>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</si>
  <si>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</si>
  <si>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</si>
  <si>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</si>
  <si>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</si>
  <si>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</si>
  <si>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</si>
  <si>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</si>
  <si>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</si>
  <si>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</si>
  <si>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</si>
  <si>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</si>
  <si>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</si>
  <si>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</si>
  <si>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</si>
  <si>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</si>
  <si>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</si>
  <si>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</si>
  <si>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</si>
  <si>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</si>
  <si>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</si>
  <si>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</si>
  <si>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</si>
  <si>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</si>
  <si>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</si>
  <si>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</si>
  <si>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</si>
  <si>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</si>
  <si>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</si>
  <si>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</si>
  <si>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</si>
  <si>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</si>
  <si>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</si>
  <si>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</si>
  <si>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</si>
  <si>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</si>
  <si>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</si>
  <si>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</si>
  <si>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</si>
  <si>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</si>
  <si>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</si>
  <si>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</si>
  <si>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</si>
  <si>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</si>
  <si>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</si>
  <si>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</si>
  <si>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</si>
  <si>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</si>
  <si>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</si>
  <si>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</si>
  <si>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</si>
  <si>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</si>
  <si>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</si>
  <si>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</si>
  <si>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</si>
  <si>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</si>
  <si>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</si>
  <si>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</si>
  <si>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</si>
  <si>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</si>
  <si>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</si>
  <si>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</si>
  <si>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</si>
  <si>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</si>
  <si>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</si>
  <si>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</si>
  <si>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</si>
  <si>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</si>
  <si>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</si>
  <si>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</si>
  <si>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</si>
  <si>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</si>
  <si>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</si>
  <si>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</si>
  <si>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</si>
  <si>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</si>
  <si>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</si>
  <si>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</si>
  <si>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</si>
  <si>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</si>
  <si>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</si>
  <si>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</si>
  <si>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</si>
  <si>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</si>
  <si>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</si>
  <si>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</si>
  <si>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</si>
  <si>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</si>
  <si>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</si>
  <si>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</si>
  <si>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</si>
  <si>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</si>
  <si>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</si>
  <si>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</si>
  <si>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</si>
  <si>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</si>
  <si>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</si>
  <si>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</si>
  <si>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</si>
  <si>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</si>
  <si>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</si>
  <si>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</si>
  <si>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</si>
  <si>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</si>
  <si>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</si>
  <si>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</si>
  <si>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</si>
  <si>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</si>
  <si>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</si>
  <si>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</si>
  <si>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</si>
  <si>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</si>
  <si>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</si>
  <si>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</si>
  <si>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</si>
  <si>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</si>
  <si>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</si>
  <si>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</si>
  <si>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</si>
  <si>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</si>
  <si>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</si>
  <si>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</si>
  <si>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PLN</t>
  </si>
  <si>
    <t>UPGRADING TRAFO</t>
  </si>
  <si>
    <t xml:space="preserve">Jumper Wire : </t>
  </si>
  <si>
    <t>Pemasangan APP 3 Fasa Di Bangunan</t>
  </si>
  <si>
    <t>KONSTRUKSI JTR 3 PH</t>
  </si>
  <si>
    <t>Trafo 3 Fasa 100 KVA 1 Tiang (G312-A)</t>
  </si>
  <si>
    <t>Upah Bongkar Trafo 3ph (50/100/160/200 kVA) - hanya pasang trafo tanpa set konstruksi</t>
  </si>
  <si>
    <t>Upah Pasang Trafo 3ph (50/100/160/200 kVA) - hanya pasang trafo tanpa set konstruksi</t>
  </si>
  <si>
    <t>B2</t>
  </si>
  <si>
    <t>KOORDINAT :-6.925704, 110.549220</t>
  </si>
  <si>
    <t>FT WISMA HALIM</t>
  </si>
  <si>
    <t>JL. SMG-DMK</t>
  </si>
  <si>
    <t>Daya 41.500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</si>
</sst>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6" fillId="0" borderId="0"/>
    <xf numFmtId="165" fontId="22" fillId="0" borderId="0" applyFont="0" applyFill="0" applyBorder="0" applyAlignment="0" applyProtection="0"/>
    <xf numFmtId="0" fontId="6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13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116" fillId="33" borderId="0" xfId="0" applyFont="1" applyFill="1" applyAlignment="1">
      <alignment horizontal="left"/>
    </xf>
    <xf numFmtId="0" fontId="4" fillId="0" borderId="20" xfId="1652" applyFont="1" applyBorder="1" applyAlignment="1">
      <alignment horizontal="center" vertical="center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21" fillId="0" borderId="69" xfId="1450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vertical="center" wrapText="1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3" Type="http://schemas.openxmlformats.org/officeDocument/2006/relationships/image" Target="../media/image15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0" Type="http://schemas.openxmlformats.org/officeDocument/2006/relationships/image" Target="../media/image22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3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80</xdr:row>
      <xdr:rowOff>81642</xdr:rowOff>
    </xdr:from>
    <xdr:to>
      <xdr:col>12</xdr:col>
      <xdr:colOff>41108</xdr:colOff>
      <xdr:row>83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5841" y="815378"/>
          <a:ext cx="1487508" cy="1812713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216504</xdr:colOff>
      <xdr:row>31</xdr:row>
      <xdr:rowOff>52339</xdr:rowOff>
    </xdr:from>
    <xdr:to>
      <xdr:col>11</xdr:col>
      <xdr:colOff>53891</xdr:colOff>
      <xdr:row>35</xdr:row>
      <xdr:rowOff>37527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3193747" y="4798510"/>
          <a:ext cx="599387" cy="59478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chemeClr val="tx1"/>
              </a:solidFill>
            </a:rPr>
            <a:t>K3-387A/1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C12-350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500" b="1" u="none" strike="sngStrike" baseline="0">
              <a:solidFill>
                <a:sysClr val="windowText" lastClr="000000"/>
              </a:solidFill>
            </a:rPr>
            <a:t>1 CG312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TRF 100 KVA </a:t>
          </a:r>
        </a:p>
      </xdr:txBody>
    </xdr:sp>
    <xdr:clientData/>
  </xdr:twoCellAnchor>
  <xdr:twoCellAnchor>
    <xdr:from>
      <xdr:col>5</xdr:col>
      <xdr:colOff>356152</xdr:colOff>
      <xdr:row>24</xdr:row>
      <xdr:rowOff>8282</xdr:rowOff>
    </xdr:from>
    <xdr:to>
      <xdr:col>16</xdr:col>
      <xdr:colOff>33131</xdr:colOff>
      <xdr:row>24</xdr:row>
      <xdr:rowOff>24847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969BCDA-6B04-4866-9E0B-6E81458AF886}"/>
            </a:ext>
          </a:extLst>
        </xdr:cNvPr>
        <xdr:cNvCxnSpPr/>
      </xdr:nvCxnSpPr>
      <xdr:spPr>
        <a:xfrm flipH="1" flipV="1">
          <a:off x="1813891" y="3636065"/>
          <a:ext cx="3867979" cy="165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271635</xdr:colOff>
      <xdr:row>41</xdr:row>
      <xdr:rowOff>66334</xdr:rowOff>
    </xdr:from>
    <xdr:to>
      <xdr:col>12</xdr:col>
      <xdr:colOff>43543</xdr:colOff>
      <xdr:row>43</xdr:row>
      <xdr:rowOff>5443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520A67AE-5A1B-46A5-881B-A922B3E009E8}"/>
            </a:ext>
          </a:extLst>
        </xdr:cNvPr>
        <xdr:cNvSpPr txBox="1"/>
      </xdr:nvSpPr>
      <xdr:spPr>
        <a:xfrm>
          <a:off x="3629878" y="6358277"/>
          <a:ext cx="533908" cy="243909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APP DAYA 41.5 KVA</a:t>
          </a:r>
          <a:endParaRPr lang="en-US" sz="500" b="1" u="none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247655</xdr:colOff>
      <xdr:row>32</xdr:row>
      <xdr:rowOff>38781</xdr:rowOff>
    </xdr:from>
    <xdr:to>
      <xdr:col>13</xdr:col>
      <xdr:colOff>159446</xdr:colOff>
      <xdr:row>33</xdr:row>
      <xdr:rowOff>29461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DBC4A2B4-B7C4-6C4A-F994-24F5291B8BF7}"/>
            </a:ext>
          </a:extLst>
        </xdr:cNvPr>
        <xdr:cNvGrpSpPr/>
      </xdr:nvGrpSpPr>
      <xdr:grpSpPr>
        <a:xfrm>
          <a:off x="4367898" y="4937352"/>
          <a:ext cx="292791" cy="143080"/>
          <a:chOff x="3940276" y="2979323"/>
          <a:chExt cx="292791" cy="181831"/>
        </a:xfrm>
      </xdr:grpSpPr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AF82ACD6-C946-4353-8C78-9C641407504A}"/>
              </a:ext>
            </a:extLst>
          </xdr:cNvPr>
          <xdr:cNvSpPr/>
        </xdr:nvSpPr>
        <xdr:spPr>
          <a:xfrm>
            <a:off x="3940276" y="2979323"/>
            <a:ext cx="146538" cy="16504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" name="Isosceles Triangle 12">
            <a:extLst>
              <a:ext uri="{FF2B5EF4-FFF2-40B4-BE49-F238E27FC236}">
                <a16:creationId xmlns:a16="http://schemas.microsoft.com/office/drawing/2014/main" id="{67255CCF-CF2A-2ED2-377B-FEA39C8AE77B}"/>
              </a:ext>
            </a:extLst>
          </xdr:cNvPr>
          <xdr:cNvSpPr/>
        </xdr:nvSpPr>
        <xdr:spPr>
          <a:xfrm>
            <a:off x="4086529" y="2986079"/>
            <a:ext cx="146538" cy="16504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" name="Isosceles Triangle 13">
            <a:extLst>
              <a:ext uri="{FF2B5EF4-FFF2-40B4-BE49-F238E27FC236}">
                <a16:creationId xmlns:a16="http://schemas.microsoft.com/office/drawing/2014/main" id="{A00481D8-0A88-9635-2974-9DCA865BE932}"/>
              </a:ext>
            </a:extLst>
          </xdr:cNvPr>
          <xdr:cNvSpPr/>
        </xdr:nvSpPr>
        <xdr:spPr>
          <a:xfrm>
            <a:off x="4021357" y="2996106"/>
            <a:ext cx="146538" cy="165048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155031</xdr:colOff>
      <xdr:row>32</xdr:row>
      <xdr:rowOff>141631</xdr:rowOff>
    </xdr:from>
    <xdr:to>
      <xdr:col>14</xdr:col>
      <xdr:colOff>215188</xdr:colOff>
      <xdr:row>34</xdr:row>
      <xdr:rowOff>71824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95943B2-297E-AD49-8818-F6172FA54973}"/>
            </a:ext>
          </a:extLst>
        </xdr:cNvPr>
        <xdr:cNvSpPr txBox="1"/>
      </xdr:nvSpPr>
      <xdr:spPr>
        <a:xfrm>
          <a:off x="4275274" y="5040202"/>
          <a:ext cx="822157" cy="2349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100 KVA</a:t>
          </a:r>
        </a:p>
      </xdr:txBody>
    </xdr:sp>
    <xdr:clientData/>
  </xdr:twoCellAnchor>
  <xdr:twoCellAnchor>
    <xdr:from>
      <xdr:col>11</xdr:col>
      <xdr:colOff>139724</xdr:colOff>
      <xdr:row>32</xdr:row>
      <xdr:rowOff>144010</xdr:rowOff>
    </xdr:from>
    <xdr:to>
      <xdr:col>13</xdr:col>
      <xdr:colOff>199881</xdr:colOff>
      <xdr:row>34</xdr:row>
      <xdr:rowOff>74203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BC0E552-79C1-3B10-0355-8AB0C20C7E6F}"/>
            </a:ext>
          </a:extLst>
        </xdr:cNvPr>
        <xdr:cNvSpPr txBox="1"/>
      </xdr:nvSpPr>
      <xdr:spPr>
        <a:xfrm>
          <a:off x="3878967" y="5042581"/>
          <a:ext cx="822157" cy="2349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ysClr val="windowText" lastClr="000000"/>
              </a:solidFill>
            </a:rPr>
            <a:t>50 KVA</a:t>
          </a:r>
        </a:p>
      </xdr:txBody>
    </xdr:sp>
    <xdr:clientData/>
  </xdr:twoCellAnchor>
  <xdr:twoCellAnchor>
    <xdr:from>
      <xdr:col>11</xdr:col>
      <xdr:colOff>244424</xdr:colOff>
      <xdr:row>32</xdr:row>
      <xdr:rowOff>55139</xdr:rowOff>
    </xdr:from>
    <xdr:to>
      <xdr:col>12</xdr:col>
      <xdr:colOff>156215</xdr:colOff>
      <xdr:row>33</xdr:row>
      <xdr:rowOff>56675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9FEB6F8A-2C3A-AC99-2497-8C7DE040BE5D}"/>
            </a:ext>
          </a:extLst>
        </xdr:cNvPr>
        <xdr:cNvGrpSpPr/>
      </xdr:nvGrpSpPr>
      <xdr:grpSpPr>
        <a:xfrm>
          <a:off x="3983667" y="4953710"/>
          <a:ext cx="292791" cy="153936"/>
          <a:chOff x="3940276" y="2979323"/>
          <a:chExt cx="292791" cy="181831"/>
        </a:xfrm>
        <a:solidFill>
          <a:schemeClr val="tx1"/>
        </a:solidFill>
      </xdr:grpSpPr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0BEBCB31-8EB5-3AC1-7407-83580F0ADCB8}"/>
              </a:ext>
            </a:extLst>
          </xdr:cNvPr>
          <xdr:cNvSpPr/>
        </xdr:nvSpPr>
        <xdr:spPr>
          <a:xfrm>
            <a:off x="3940276" y="2979323"/>
            <a:ext cx="146538" cy="16504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Isosceles Triangle 17">
            <a:extLst>
              <a:ext uri="{FF2B5EF4-FFF2-40B4-BE49-F238E27FC236}">
                <a16:creationId xmlns:a16="http://schemas.microsoft.com/office/drawing/2014/main" id="{CC2F7A8F-CEB1-6848-F99B-90D0998F625F}"/>
              </a:ext>
            </a:extLst>
          </xdr:cNvPr>
          <xdr:cNvSpPr/>
        </xdr:nvSpPr>
        <xdr:spPr>
          <a:xfrm>
            <a:off x="4086529" y="2986079"/>
            <a:ext cx="146538" cy="16504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Isosceles Triangle 18">
            <a:extLst>
              <a:ext uri="{FF2B5EF4-FFF2-40B4-BE49-F238E27FC236}">
                <a16:creationId xmlns:a16="http://schemas.microsoft.com/office/drawing/2014/main" id="{CC71F5C5-DACB-6B7A-2ECE-206F3D49D5D1}"/>
              </a:ext>
            </a:extLst>
          </xdr:cNvPr>
          <xdr:cNvSpPr/>
        </xdr:nvSpPr>
        <xdr:spPr>
          <a:xfrm>
            <a:off x="4021357" y="2996106"/>
            <a:ext cx="146538" cy="165048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11</xdr:col>
      <xdr:colOff>203154</xdr:colOff>
      <xdr:row>31</xdr:row>
      <xdr:rowOff>101284</xdr:rowOff>
    </xdr:from>
    <xdr:to>
      <xdr:col>12</xdr:col>
      <xdr:colOff>170496</xdr:colOff>
      <xdr:row>34</xdr:row>
      <xdr:rowOff>126370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F5517E9-F2C2-EE08-2321-72446D9EEBC7}"/>
            </a:ext>
          </a:extLst>
        </xdr:cNvPr>
        <xdr:cNvSpPr txBox="1"/>
      </xdr:nvSpPr>
      <xdr:spPr>
        <a:xfrm>
          <a:off x="3942397" y="4847455"/>
          <a:ext cx="348342" cy="482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11</xdr:col>
      <xdr:colOff>102672</xdr:colOff>
      <xdr:row>36</xdr:row>
      <xdr:rowOff>72211</xdr:rowOff>
    </xdr:from>
    <xdr:to>
      <xdr:col>11</xdr:col>
      <xdr:colOff>219777</xdr:colOff>
      <xdr:row>37</xdr:row>
      <xdr:rowOff>8868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10EDC2EC-4459-D5F1-B204-895E14B1653F}"/>
            </a:ext>
          </a:extLst>
        </xdr:cNvPr>
        <xdr:cNvGrpSpPr/>
      </xdr:nvGrpSpPr>
      <xdr:grpSpPr>
        <a:xfrm rot="6693708">
          <a:off x="3850496" y="5571801"/>
          <a:ext cx="99943" cy="117105"/>
          <a:chOff x="6166431" y="2688123"/>
          <a:chExt cx="100479" cy="117105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2A5C248-47D3-7049-402D-4B9CABC534B0}"/>
              </a:ext>
            </a:extLst>
          </xdr:cNvPr>
          <xdr:cNvCxnSpPr/>
        </xdr:nvCxnSpPr>
        <xdr:spPr>
          <a:xfrm flipV="1">
            <a:off x="6166431" y="2688123"/>
            <a:ext cx="46817" cy="82224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D024B7E-DEAC-03DB-5E47-E8E6A84267CA}"/>
              </a:ext>
            </a:extLst>
          </xdr:cNvPr>
          <xdr:cNvCxnSpPr/>
        </xdr:nvCxnSpPr>
        <xdr:spPr>
          <a:xfrm flipV="1">
            <a:off x="6182530" y="2701539"/>
            <a:ext cx="46817" cy="82224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6411F21C-1D8F-416E-8BA4-216AD19682D0}"/>
              </a:ext>
            </a:extLst>
          </xdr:cNvPr>
          <xdr:cNvCxnSpPr/>
        </xdr:nvCxnSpPr>
        <xdr:spPr>
          <a:xfrm flipV="1">
            <a:off x="6201312" y="2709589"/>
            <a:ext cx="46817" cy="82224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E9694AED-BBAB-129E-A889-10D95B18CADC}"/>
              </a:ext>
            </a:extLst>
          </xdr:cNvPr>
          <xdr:cNvCxnSpPr/>
        </xdr:nvCxnSpPr>
        <xdr:spPr>
          <a:xfrm flipV="1">
            <a:off x="6220093" y="2723004"/>
            <a:ext cx="46817" cy="82224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371165</xdr:colOff>
      <xdr:row>21</xdr:row>
      <xdr:rowOff>139004</xdr:rowOff>
    </xdr:from>
    <xdr:to>
      <xdr:col>18</xdr:col>
      <xdr:colOff>100523</xdr:colOff>
      <xdr:row>23</xdr:row>
      <xdr:rowOff>57441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E85CF6C-D9E1-3C3F-C538-EC1C7F87BA85}"/>
            </a:ext>
          </a:extLst>
        </xdr:cNvPr>
        <xdr:cNvSpPr/>
      </xdr:nvSpPr>
      <xdr:spPr>
        <a:xfrm>
          <a:off x="1447904" y="3319526"/>
          <a:ext cx="5063358" cy="216611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8</xdr:col>
      <xdr:colOff>57666</xdr:colOff>
      <xdr:row>23</xdr:row>
      <xdr:rowOff>104299</xdr:rowOff>
    </xdr:from>
    <xdr:to>
      <xdr:col>8</xdr:col>
      <xdr:colOff>173935</xdr:colOff>
      <xdr:row>24</xdr:row>
      <xdr:rowOff>66259</xdr:rowOff>
    </xdr:to>
    <xdr:grpSp>
      <xdr:nvGrpSpPr>
        <xdr:cNvPr id="78" name="Group 682">
          <a:extLst>
            <a:ext uri="{FF2B5EF4-FFF2-40B4-BE49-F238E27FC236}">
              <a16:creationId xmlns:a16="http://schemas.microsoft.com/office/drawing/2014/main" id="{D7989929-CF89-FA94-4E48-895E3FA09EC2}"/>
            </a:ext>
          </a:extLst>
        </xdr:cNvPr>
        <xdr:cNvGrpSpPr>
          <a:grpSpLocks/>
        </xdr:cNvGrpSpPr>
      </xdr:nvGrpSpPr>
      <xdr:grpSpPr bwMode="auto">
        <a:xfrm>
          <a:off x="2653909" y="3642156"/>
          <a:ext cx="116269" cy="11436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C9C1EFE4-B3C6-5DA5-2890-0FD03512B53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F4D0A250-2F85-B933-4454-DA89CC6B8E08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EABD5A0C-C669-8119-EF17-EB204B4F8C2C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134539</xdr:colOff>
      <xdr:row>23</xdr:row>
      <xdr:rowOff>108440</xdr:rowOff>
    </xdr:from>
    <xdr:to>
      <xdr:col>14</xdr:col>
      <xdr:colOff>250708</xdr:colOff>
      <xdr:row>24</xdr:row>
      <xdr:rowOff>65867</xdr:rowOff>
    </xdr:to>
    <xdr:grpSp>
      <xdr:nvGrpSpPr>
        <xdr:cNvPr id="82" name="Group 682">
          <a:extLst>
            <a:ext uri="{FF2B5EF4-FFF2-40B4-BE49-F238E27FC236}">
              <a16:creationId xmlns:a16="http://schemas.microsoft.com/office/drawing/2014/main" id="{70396FAF-E90A-311C-BFBD-3789662165EF}"/>
            </a:ext>
          </a:extLst>
        </xdr:cNvPr>
        <xdr:cNvGrpSpPr>
          <a:grpSpLocks/>
        </xdr:cNvGrpSpPr>
      </xdr:nvGrpSpPr>
      <xdr:grpSpPr bwMode="auto">
        <a:xfrm>
          <a:off x="5016782" y="3646297"/>
          <a:ext cx="116169" cy="10982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81D78995-56BF-0E53-F20F-D6DFE282CE2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26E5E06A-C3BA-E95A-213C-E6045938DDE3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C40FFD49-A158-EC59-BDAA-3D8D5C8B935C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102704</xdr:colOff>
      <xdr:row>23</xdr:row>
      <xdr:rowOff>116723</xdr:rowOff>
    </xdr:from>
    <xdr:to>
      <xdr:col>11</xdr:col>
      <xdr:colOff>218873</xdr:colOff>
      <xdr:row>24</xdr:row>
      <xdr:rowOff>76220</xdr:rowOff>
    </xdr:to>
    <xdr:grpSp>
      <xdr:nvGrpSpPr>
        <xdr:cNvPr id="86" name="Group 682">
          <a:extLst>
            <a:ext uri="{FF2B5EF4-FFF2-40B4-BE49-F238E27FC236}">
              <a16:creationId xmlns:a16="http://schemas.microsoft.com/office/drawing/2014/main" id="{E783FC46-36BF-8DAE-2C5E-A66334D8FA60}"/>
            </a:ext>
          </a:extLst>
        </xdr:cNvPr>
        <xdr:cNvGrpSpPr>
          <a:grpSpLocks/>
        </xdr:cNvGrpSpPr>
      </xdr:nvGrpSpPr>
      <xdr:grpSpPr bwMode="auto">
        <a:xfrm>
          <a:off x="3841947" y="3654580"/>
          <a:ext cx="116169" cy="11189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903C3FC8-C339-85DE-13A4-4492FB3FA53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333B5629-249D-2C1E-AE9B-BD21927574B1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B93DAB94-25DD-D982-4464-4B82B9F952B5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301486</xdr:colOff>
      <xdr:row>19</xdr:row>
      <xdr:rowOff>125525</xdr:rowOff>
    </xdr:from>
    <xdr:to>
      <xdr:col>17</xdr:col>
      <xdr:colOff>36655</xdr:colOff>
      <xdr:row>20</xdr:row>
      <xdr:rowOff>79328</xdr:rowOff>
    </xdr:to>
    <xdr:grpSp>
      <xdr:nvGrpSpPr>
        <xdr:cNvPr id="90" name="Group 682">
          <a:extLst>
            <a:ext uri="{FF2B5EF4-FFF2-40B4-BE49-F238E27FC236}">
              <a16:creationId xmlns:a16="http://schemas.microsoft.com/office/drawing/2014/main" id="{AB390704-75F6-8D74-735A-B5CD5F4B8DCC}"/>
            </a:ext>
          </a:extLst>
        </xdr:cNvPr>
        <xdr:cNvGrpSpPr>
          <a:grpSpLocks/>
        </xdr:cNvGrpSpPr>
      </xdr:nvGrpSpPr>
      <xdr:grpSpPr bwMode="auto">
        <a:xfrm>
          <a:off x="5945729" y="3053782"/>
          <a:ext cx="116169" cy="10620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ECE748ED-4775-BCE5-3B4E-F6B772909E3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221BB233-136C-49E9-E978-6AD71C659F95}"/>
              </a:ext>
            </a:extLst>
          </xdr:cNvPr>
          <xdr:cNvCxnSpPr>
            <a:stCxn id="91" idx="1"/>
            <a:endCxn id="9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1275F60-59D4-60AC-4F77-D46E283B7377}"/>
              </a:ext>
            </a:extLst>
          </xdr:cNvPr>
          <xdr:cNvCxnSpPr>
            <a:stCxn id="91" idx="3"/>
            <a:endCxn id="9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289580</xdr:colOff>
      <xdr:row>15</xdr:row>
      <xdr:rowOff>30275</xdr:rowOff>
    </xdr:from>
    <xdr:to>
      <xdr:col>17</xdr:col>
      <xdr:colOff>24749</xdr:colOff>
      <xdr:row>15</xdr:row>
      <xdr:rowOff>138859</xdr:rowOff>
    </xdr:to>
    <xdr:grpSp>
      <xdr:nvGrpSpPr>
        <xdr:cNvPr id="94" name="Group 682">
          <a:extLst>
            <a:ext uri="{FF2B5EF4-FFF2-40B4-BE49-F238E27FC236}">
              <a16:creationId xmlns:a16="http://schemas.microsoft.com/office/drawing/2014/main" id="{C01EDE0F-1A58-E789-F930-D516EA981C56}"/>
            </a:ext>
          </a:extLst>
        </xdr:cNvPr>
        <xdr:cNvGrpSpPr>
          <a:grpSpLocks/>
        </xdr:cNvGrpSpPr>
      </xdr:nvGrpSpPr>
      <xdr:grpSpPr bwMode="auto">
        <a:xfrm>
          <a:off x="5933823" y="2348932"/>
          <a:ext cx="116169" cy="108584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5" name="Oval 94">
            <a:extLst>
              <a:ext uri="{FF2B5EF4-FFF2-40B4-BE49-F238E27FC236}">
                <a16:creationId xmlns:a16="http://schemas.microsoft.com/office/drawing/2014/main" id="{8169DFB3-CC30-DC0C-B6F2-D2DCDFD8138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4D178F22-1C1C-C7A1-C1C7-8FF22AD3CA50}"/>
              </a:ext>
            </a:extLst>
          </xdr:cNvPr>
          <xdr:cNvCxnSpPr>
            <a:stCxn id="95" idx="1"/>
            <a:endCxn id="9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9432A382-ED53-65F2-8A02-EA0E82AA15EC}"/>
              </a:ext>
            </a:extLst>
          </xdr:cNvPr>
          <xdr:cNvCxnSpPr>
            <a:stCxn id="95" idx="3"/>
            <a:endCxn id="9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89092</xdr:colOff>
      <xdr:row>40</xdr:row>
      <xdr:rowOff>78663</xdr:rowOff>
    </xdr:from>
    <xdr:to>
      <xdr:col>11</xdr:col>
      <xdr:colOff>205261</xdr:colOff>
      <xdr:row>41</xdr:row>
      <xdr:rowOff>38160</xdr:rowOff>
    </xdr:to>
    <xdr:grpSp>
      <xdr:nvGrpSpPr>
        <xdr:cNvPr id="36" name="Group 682">
          <a:extLst>
            <a:ext uri="{FF2B5EF4-FFF2-40B4-BE49-F238E27FC236}">
              <a16:creationId xmlns:a16="http://schemas.microsoft.com/office/drawing/2014/main" id="{8FD23745-BDD3-76F1-41D8-ED39FA2CF3A8}"/>
            </a:ext>
          </a:extLst>
        </xdr:cNvPr>
        <xdr:cNvGrpSpPr>
          <a:grpSpLocks/>
        </xdr:cNvGrpSpPr>
      </xdr:nvGrpSpPr>
      <xdr:grpSpPr bwMode="auto">
        <a:xfrm>
          <a:off x="3828335" y="6218206"/>
          <a:ext cx="116169" cy="11189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99A2892A-01AB-78A2-4040-6984E9A716D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3B92B2CA-0A8D-1636-BA70-4B7B84C52443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CCC8772D-CD11-99EB-71F7-212DBC52C051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147177</xdr:colOff>
      <xdr:row>24</xdr:row>
      <xdr:rowOff>76220</xdr:rowOff>
    </xdr:from>
    <xdr:to>
      <xdr:col>11</xdr:col>
      <xdr:colOff>160789</xdr:colOff>
      <xdr:row>40</xdr:row>
      <xdr:rowOff>78663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F6037A7-979E-7BAF-6160-F2A1763F3E34}"/>
            </a:ext>
          </a:extLst>
        </xdr:cNvPr>
        <xdr:cNvCxnSpPr>
          <a:stCxn id="37" idx="0"/>
          <a:endCxn id="87" idx="4"/>
        </xdr:cNvCxnSpPr>
      </xdr:nvCxnSpPr>
      <xdr:spPr>
        <a:xfrm flipV="1">
          <a:off x="3887482" y="3784000"/>
          <a:ext cx="13612" cy="2465004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103702</xdr:colOff>
      <xdr:row>32</xdr:row>
      <xdr:rowOff>140266</xdr:rowOff>
    </xdr:from>
    <xdr:to>
      <xdr:col>11</xdr:col>
      <xdr:colOff>219871</xdr:colOff>
      <xdr:row>33</xdr:row>
      <xdr:rowOff>99763</xdr:rowOff>
    </xdr:to>
    <xdr:grpSp>
      <xdr:nvGrpSpPr>
        <xdr:cNvPr id="40" name="Group 682">
          <a:extLst>
            <a:ext uri="{FF2B5EF4-FFF2-40B4-BE49-F238E27FC236}">
              <a16:creationId xmlns:a16="http://schemas.microsoft.com/office/drawing/2014/main" id="{F257C5E2-F80A-44B4-C06E-6A39F683C303}"/>
            </a:ext>
          </a:extLst>
        </xdr:cNvPr>
        <xdr:cNvGrpSpPr>
          <a:grpSpLocks/>
        </xdr:cNvGrpSpPr>
      </xdr:nvGrpSpPr>
      <xdr:grpSpPr bwMode="auto">
        <a:xfrm>
          <a:off x="3842945" y="5038837"/>
          <a:ext cx="116169" cy="11189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1CD486FD-CCA3-E6E8-3151-DBA52441C6E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B45F92D8-588F-160E-CA59-829FF228F8C2}"/>
              </a:ext>
            </a:extLst>
          </xdr:cNvPr>
          <xdr:cNvCxnSpPr>
            <a:stCxn id="48" idx="1"/>
            <a:endCxn id="4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5CCCCAB9-9B33-7D4A-B459-C2E2EE6BC21C}"/>
              </a:ext>
            </a:extLst>
          </xdr:cNvPr>
          <xdr:cNvCxnSpPr>
            <a:stCxn id="48" idx="3"/>
            <a:endCxn id="4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  <sheetName val="Submission Form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  <sheetName val="HARGA SATUAN"/>
      <sheetName val="DETAIL 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  <sheetName val="HS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  <sheetName val="W-NA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  <sheetName val="prod03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  <sheetName val="Smg"/>
      <sheetName val="DeVIASI"/>
      <sheetName val="KoMposisi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  <sheetName val="JAN09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  <sheetName val="Sheet5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  <sheetName val="MENU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  <sheetName val="Usulan"/>
      <sheetName val="TDL 2022"/>
      <sheetName val="DATA PLG"/>
      <sheetName val="Asumsi &amp; Hasil"/>
      <sheetName val="KAJIAN FINANSIAL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  <sheetName val="01 A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  <sheetName val="Resume"/>
      <sheetName val="DATA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DATA"/>
      <sheetName val="10 INDIKATOR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  <sheetName val="Harga BBM Indonesia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  <sheetName val="Asum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>
        <row r="120">
          <cell r="H120">
            <v>9000</v>
          </cell>
        </row>
      </sheetData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>
        <row r="120">
          <cell r="H120">
            <v>9000</v>
          </cell>
        </row>
      </sheetData>
      <sheetData sheetId="247">
        <row r="120">
          <cell r="H120">
            <v>9000</v>
          </cell>
        </row>
      </sheetData>
      <sheetData sheetId="248">
        <row r="120">
          <cell r="H120">
            <v>9000</v>
          </cell>
        </row>
      </sheetData>
      <sheetData sheetId="249"/>
      <sheetData sheetId="250">
        <row r="120">
          <cell r="H120">
            <v>9000</v>
          </cell>
        </row>
      </sheetData>
      <sheetData sheetId="251">
        <row r="120">
          <cell r="H120">
            <v>9000</v>
          </cell>
        </row>
      </sheetData>
      <sheetData sheetId="252">
        <row r="120">
          <cell r="H120">
            <v>9000</v>
          </cell>
        </row>
      </sheetData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  <sheetName val="DENPASA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  <sheetName val="HARGA SATUAN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  <sheetName val="O &amp; M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  <sheetName val="D2. ANL WAKTU INSHAR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  <sheetName val="TDL 2019"/>
      <sheetName val="JAN07"/>
      <sheetName val="bantu"/>
      <sheetName val="Sheet2"/>
      <sheetName val="Bantu_PM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  <sheetName val="LR"/>
      <sheetName val="L_23"/>
      <sheetName val="Kontrol"/>
      <sheetName val="Harga BBM Indonesia"/>
      <sheetName val="Catalog"/>
      <sheetName val="Smg"/>
      <sheetName val="master rab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  <sheetName val="PkRp"/>
      <sheetName val="CiMaPlbStd"/>
      <sheetName val=" RAB Lt2"/>
      <sheetName val="RAB Lt3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  <sheetName val="Data Base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  <sheetName val="prod03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  <sheetName val="Valuatio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  <sheetName val="TABEL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  <sheetName val="ASUMSI"/>
      <sheetName val="TDL 2019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  <sheetName val="PK-ISIAN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Sudah Berjalan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1134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1135</v>
      </c>
      <c r="G7" s="526" t="s">
        <v>41</v>
      </c>
      <c r="H7" s="522" t="s">
        <v>1042</v>
      </c>
      <c r="I7" s="522" t="s">
        <v>1137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SUMIFS(RAB!$F$14:$F$64,RAB!$C$14:$C$64,C714)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SUMIFS(RAB!$F$14:$F$64,RAB!$C$14:$C$64,C715)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SUMIFS(RAB!$F$14:$F$64,RAB!$C$14:$C$64,C716)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SUMIFS(RAB!$F$14:$F$64,RAB!$C$14:$C$64,C717)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SUMIFS(RAB!$F$14:$F$64,RAB!$C$14:$C$64,C718)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SUMIFS(RAB!$F$14:$F$64,RAB!$C$14:$C$64,C719)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SUMIFS(RAB!$F$14:$F$64,RAB!$C$14:$C$64,C720)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SUMIFS(RAB!$F$14:$F$64,RAB!$C$14:$C$64,C721)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SUMIFS(RAB!$F$14:$F$64,RAB!$C$14:$C$64,C722)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SUMIFS(RAB!$F$14:$F$64,RAB!$C$14:$C$64,C723)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SUMIFS(RAB!$F$14:$F$64,RAB!$C$14:$C$64,C724)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SUMIFS(RAB!$F$14:$F$64,RAB!$C$14:$C$64,C725)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SUMIFS(RAB!$F$14:$F$64,RAB!$C$14:$C$64,C726)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SUMIFS(RAB!$F$14:$F$64,RAB!$C$14:$C$64,C727)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SUMIFS(RAB!$F$14:$F$64,RAB!$C$14:$C$64,C728)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SUMIFS(RAB!$F$14:$F$64,RAB!$C$14:$C$64,C729)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SUMIFS(RAB!$F$14:$F$64,RAB!$C$14:$C$64,C730)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SUMIFS(RAB!$F$14:$F$64,RAB!$C$14:$C$64,C731)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SUMIFS(RAB!$F$14:$F$64,RAB!$C$14:$C$64,C732)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SUMIFS(RAB!$F$14:$F$64,RAB!$C$14:$C$64,C733)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SUMIFS(RAB!$F$14:$F$64,RAB!$C$14:$C$64,C734)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SUMIFS(RAB!$F$14:$F$64,RAB!$C$14:$C$64,C735)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SUMIFS(RAB!$F$14:$F$64,RAB!$C$14:$C$64,C736)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SUMIFS(RAB!$F$14:$F$64,RAB!$C$14:$C$64,C737)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SUMIFS(RAB!$F$14:$F$64,RAB!$C$14:$C$64,C738)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SUMIFS(RAB!$F$14:$F$64,RAB!$C$14:$C$64,C739)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SUMIFS(RAB!$F$14:$F$64,RAB!$C$14:$C$64,C740)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SUMIFS(RAB!$F$14:$F$64,RAB!$C$14:$C$64,C741)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SUMIFS(RAB!$F$14:$F$64,RAB!$C$14:$C$64,C742)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SUMIFS(RAB!$F$14:$F$64,RAB!$C$14:$C$64,C743)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SUMIFS(RAB!$F$14:$F$64,RAB!$C$14:$C$64,C744)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SUMIFS(RAB!$F$14:$F$64,RAB!$C$14:$C$64,C745)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SUMIFS(RAB!$F$14:$F$64,RAB!$C$14:$C$64,C746)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SUMIFS(RAB!$F$14:$F$64,RAB!$C$14:$C$64,C747)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SUMIFS(RAB!$F$14:$F$64,RAB!$C$14:$C$64,C748)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SUMIFS(RAB!$F$14:$F$64,RAB!$C$14:$C$64,C749)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SUMIFS(RAB!$F$14:$F$64,RAB!$C$14:$C$64,C750)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SUMIFS(RAB!$F$14:$F$64,RAB!$C$14:$C$64,C751)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SUMIFS(RAB!$F$14:$F$64,RAB!$C$14:$C$64,C752)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SUMIFS(RAB!$F$14:$F$64,RAB!$C$14:$C$64,C753)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SUMIFS(RAB!$F$14:$F$64,RAB!$C$14:$C$64,C754)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SUMIFS(RAB!$F$14:$F$64,RAB!$C$14:$C$64,C755)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SUMIFS(RAB!$F$14:$F$64,RAB!$C$14:$C$64,C756)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SUMIFS(RAB!$F$14:$F$64,RAB!$C$14:$C$64,C757)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SUMIFS(RAB!$F$14:$F$64,RAB!$C$14:$C$64,C758)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SUMIFS(RAB!$F$14:$F$64,RAB!$C$14:$C$64,C759)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SUMIFS(RAB!$F$14:$F$64,RAB!$C$14:$C$64,C760)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SUMIFS(RAB!$F$14:$F$64,RAB!$C$14:$C$64,C761)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SUMIFS(RAB!$F$14:$F$64,RAB!$C$14:$C$64,C762)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SUMIFS(RAB!$F$14:$F$64,RAB!$C$14:$C$64,C763)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SUMIFS(RAB!$F$14:$F$64,RAB!$C$14:$C$64,C764)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SUMIFS(RAB!$F$14:$F$64,RAB!$C$14:$C$64,C765)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SUMIFS(RAB!$F$14:$F$64,RAB!$C$14:$C$64,C766)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SUMIFS(RAB!$F$14:$F$64,RAB!$C$14:$C$64,C767)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SUMIFS(RAB!$F$14:$F$64,RAB!$C$14:$C$64,C768)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SUMIFS(RAB!$F$14:$F$64,RAB!$C$14:$C$64,C769)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SUMIFS(RAB!$F$14:$F$64,RAB!$C$14:$C$64,C770)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SUMIFS(RAB!$F$14:$F$64,RAB!$C$14:$C$64,C771)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SUMIFS(RAB!$F$14:$F$64,RAB!$C$14:$C$64,C772)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SUMIFS(RAB!$F$14:$F$64,RAB!$C$14:$C$64,C773)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SUMIFS(RAB!$F$14:$F$64,RAB!$C$14:$C$64,C774)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SUMIFS(RAB!$F$14:$F$64,RAB!$C$14:$C$64,C775)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SUMIFS(RAB!$F$14:$F$64,RAB!$C$14:$C$64,C776)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SUMIFS(RAB!$F$14:$F$64,RAB!$C$14:$C$64,C777)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SUMIFS(RAB!$F$14:$F$64,RAB!$C$14:$C$64,C778)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SUMIFS(RAB!$F$14:$F$64,RAB!$C$14:$C$64,C779)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SUMIFS(RAB!$F$14:$F$64,RAB!$C$14:$C$64,C780)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SUMIFS(RAB!$F$14:$F$64,RAB!$C$14:$C$64,C781)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SUMIFS(RAB!$F$14:$F$64,RAB!$C$14:$C$64,C782)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SUMIFS(RAB!$F$14:$F$64,RAB!$C$14:$C$64,C783)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SUMIFS(RAB!$F$14:$F$64,RAB!$C$14:$C$64,C784)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SUMIFS(RAB!$F$14:$F$64,RAB!$C$14:$C$64,C785)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SUMIFS(RAB!$F$14:$F$64,RAB!$C$14:$C$64,C786)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SUMIFS(RAB!$F$14:$F$64,RAB!$C$14:$C$64,C787)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SUMIFS(RAB!$F$14:$F$64,RAB!$C$14:$C$64,C788)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SUMIFS(RAB!$F$14:$F$64,RAB!$C$14:$C$64,C789)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SUMIFS(RAB!$F$14:$F$64,RAB!$C$14:$C$64,C790)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SUMIFS(RAB!$F$14:$F$64,RAB!$C$14:$C$64,C791)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SUMIFS(RAB!$F$14:$F$64,RAB!$C$14:$C$64,C792)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SUMIFS(RAB!$F$14:$F$64,RAB!$C$14:$C$64,C793)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SUMIFS(RAB!$F$14:$F$64,RAB!$C$14:$C$64,C794)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SUMIFS(RAB!$F$14:$F$64,RAB!$C$14:$C$64,C795)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SUMIFS(RAB!$F$14:$F$64,RAB!$C$14:$C$64,C796)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SUMIFS(RAB!$F$14:$F$64,RAB!$C$14:$C$64,C797)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SUMIFS(RAB!$F$14:$F$64,RAB!$C$14:$C$64,C798)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SUMIFS(RAB!$F$14:$F$64,RAB!$C$14:$C$64,C799)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SUMIFS(RAB!$F$14:$F$64,RAB!$C$14:$C$64,C800)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SUMIFS(RAB!$F$14:$F$64,RAB!$C$14:$C$64,C801)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SUMIFS(RAB!$F$14:$F$64,RAB!$C$14:$C$64,C802)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SUMIFS(RAB!$F$14:$F$64,RAB!$C$14:$C$64,C803)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SUMIFS(RAB!$F$14:$F$64,RAB!$C$14:$C$64,C804)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SUMIFS(RAB!$F$14:$F$64,RAB!$C$14:$C$64,C805)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SUMIFS(RAB!$F$14:$F$64,RAB!$C$14:$C$64,C806)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SUMIFS(RAB!$F$14:$F$64,RAB!$C$14:$C$64,C807)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SUMIFS(RAB!$F$14:$F$64,RAB!$C$14:$C$64,C808)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SUMIFS(RAB!$F$14:$F$64,RAB!$C$14:$C$64,C809)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SUMIFS(RAB!$F$14:$F$64,RAB!$C$14:$C$64,C810)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SUMIFS(RAB!$F$14:$F$64,RAB!$C$14:$C$64,C811)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SUMIFS(RAB!$F$14:$F$64,RAB!$C$14:$C$64,C812)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SUMIFS(RAB!$F$14:$F$64,RAB!$C$14:$C$64,C813)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SUMIFS(RAB!$F$14:$F$64,RAB!$C$14:$C$64,C814)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SUMIFS(RAB!$F$14:$F$64,RAB!$C$14:$C$64,C815)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SUMIFS(RAB!$F$14:$F$64,RAB!$C$14:$C$64,C816)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SUMIFS(RAB!$F$14:$F$64,RAB!$C$14:$C$64,C817)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SUMIFS(RAB!$F$14:$F$64,RAB!$C$14:$C$64,C818)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SUMIFS(RAB!$F$14:$F$64,RAB!$C$14:$C$64,C819)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SUMIFS(RAB!$F$14:$F$64,RAB!$C$14:$C$64,C820)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SUMIFS(RAB!$F$14:$F$64,RAB!$C$14:$C$64,C821)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SUMIFS(RAB!$F$14:$F$64,RAB!$C$14:$C$64,C822)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SUMIFS(RAB!$F$14:$F$64,RAB!$C$14:$C$64,C823)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SUMIFS(RAB!$F$14:$F$64,RAB!$C$14:$C$64,C824)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SUMIFS(RAB!$F$14:$F$64,RAB!$C$14:$C$64,C825)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SUMIFS(RAB!$F$14:$F$64,RAB!$C$14:$C$64,C826)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SUMIFS(RAB!$F$14:$F$64,RAB!$C$14:$C$64,C827)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SUMIFS(RAB!$F$14:$F$64,RAB!$C$14:$C$64,C828)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SUMIFS(RAB!$F$14:$F$64,RAB!$C$14:$C$64,C829)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SUMIFS(RAB!$F$14:$F$64,RAB!$C$14:$C$64,C830)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SUMIFS(RAB!$F$14:$F$64,RAB!$C$14:$C$64,C831)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SUMIFS(RAB!$F$14:$F$64,RAB!$C$14:$C$64,C832)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SUMIFS(RAB!$F$14:$F$64,RAB!$C$14:$C$64,C833)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SUMIFS(RAB!$F$14:$F$64,RAB!$C$14:$C$64,C834)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SUMIFS(RAB!$F$14:$F$64,RAB!$C$14:$C$64,C835)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SUMIFS(RAB!$F$14:$F$64,RAB!$C$14:$C$64,C836)</f>
        <v>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SUMIFS(RAB!$F$14:$F$64,RAB!$C$14:$C$64,C837)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SUMIFS(RAB!$F$14:$F$64,RAB!$C$14:$C$64,C838)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SUMIFS(RAB!$F$14:$F$64,RAB!$C$14:$C$64,C839)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SUMIFS(RAB!$F$14:$F$64,RAB!$C$14:$C$64,C840)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SUMIFS(RAB!$F$14:$F$64,RAB!$C$14:$C$64,C841)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SUMIFS(RAB!$F$14:$F$64,RAB!$C$14:$C$64,C842)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SUMIFS(RAB!$F$14:$F$64,RAB!$C$14:$C$64,C843)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SUMIFS(RAB!$F$14:$F$64,RAB!$C$14:$C$64,C844)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SUMIFS(RAB!$F$14:$F$64,RAB!$C$14:$C$64,C845)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SUMIFS(RAB!$F$14:$F$64,RAB!$C$14:$C$64,C846)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SUMIFS(RAB!$F$14:$F$64,RAB!$C$14:$C$64,C847)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SUMIFS(RAB!$F$14:$F$64,RAB!$C$14:$C$64,C848)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SUMIFS(RAB!$F$14:$F$64,RAB!$C$14:$C$64,C849)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SUMIFS(RAB!$F$14:$F$64,RAB!$C$14:$C$64,C850)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SUMIFS(RAB!$F$14:$F$64,RAB!$C$14:$C$64,C851)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SUMIFS(RAB!$F$14:$F$64,RAB!$C$14:$C$64,C852)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SUMIFS(RAB!$F$14:$F$64,RAB!$C$14:$C$64,C853)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SUMIFS(RAB!$F$14:$F$64,RAB!$C$14:$C$64,C854)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SUMIFS(RAB!$F$14:$F$64,RAB!$C$14:$C$64,C855)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SUMIFS(RAB!$F$14:$F$64,RAB!$C$14:$C$64,C856)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SUMIFS(RAB!$F$14:$F$64,RAB!$C$14:$C$64,C857)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SUMIFS(RAB!$F$14:$F$64,RAB!$C$14:$C$64,C858)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SUMIFS(RAB!$F$14:$F$64,RAB!$C$14:$C$64,C859)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SUMIFS(RAB!$F$14:$F$64,RAB!$C$14:$C$64,C860)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SUMIFS(RAB!$F$14:$F$64,RAB!$C$14:$C$64,C861)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SUMIFS(RAB!$F$14:$F$64,RAB!$C$14:$C$64,C862)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SUMIFS(RAB!$F$14:$F$64,RAB!$C$14:$C$64,C863)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SUMIFS(RAB!$F$14:$F$64,RAB!$C$14:$C$64,C864)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SUMIFS(RAB!$F$14:$F$64,RAB!$C$14:$C$64,C865)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SUMIFS(RAB!$F$14:$F$64,RAB!$C$14:$C$64,C866)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SUMIFS(RAB!$F$14:$F$64,RAB!$C$14:$C$64,C867)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SUMIFS(RAB!$F$14:$F$64,RAB!$C$14:$C$64,C868)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SUMIFS(RAB!$F$14:$F$64,RAB!$C$14:$C$64,C869)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SUMIFS(RAB!$F$14:$F$64,RAB!$C$14:$C$64,C870)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SUMIFS(RAB!$F$14:$F$64,RAB!$C$14:$C$64,C871)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SUMIFS(RAB!$F$14:$F$64,RAB!$C$14:$C$64,C872)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SUMIFS(RAB!$F$14:$F$64,RAB!$C$14:$C$64,C873)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SUMIFS(RAB!$F$14:$F$64,RAB!$C$14:$C$64,C874)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SUMIFS(RAB!$F$14:$F$64,RAB!$C$14:$C$64,C875)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SUMIFS(RAB!$F$14:$F$64,RAB!$C$14:$C$64,C876)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SUMIFS(RAB!$F$14:$F$64,RAB!$C$14:$C$64,C877)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SUMIFS(RAB!$F$14:$F$64,RAB!$C$14:$C$64,C878)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SUMIFS(RAB!$F$14:$F$64,RAB!$C$14:$C$64,C879)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SUMIFS(RAB!$F$14:$F$64,RAB!$C$14:$C$64,C880)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SUMIFS(RAB!$F$14:$F$64,RAB!$C$14:$C$64,C881)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SUMIFS(RAB!$F$14:$F$64,RAB!$C$14:$C$64,C882)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SUMIFS(RAB!$F$14:$F$64,RAB!$C$14:$C$64,C883)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SUMIFS(RAB!$F$14:$F$64,RAB!$C$14:$C$64,C884)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SUMIFS(RAB!$F$14:$F$64,RAB!$C$14:$C$64,C885)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SUMIFS(RAB!$F$14:$F$64,RAB!$C$14:$C$64,C886)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SUMIFS(RAB!$F$14:$F$64,RAB!$C$14:$C$64,C887)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SUMIFS(RAB!$F$14:$F$64,RAB!$C$14:$C$64,C888)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SUMIFS(RAB!$F$14:$F$64,RAB!$C$14:$C$64,C889)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SUMIFS(RAB!$F$14:$F$64,RAB!$C$14:$C$64,C890)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SUMIFS(RAB!$F$14:$F$64,RAB!$C$14:$C$64,C891)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SUMIFS(RAB!$F$14:$F$64,RAB!$C$14:$C$64,C892)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SUMIFS(RAB!$F$14:$F$64,RAB!$C$14:$C$64,C893)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SUMIFS(RAB!$F$14:$F$64,RAB!$C$14:$C$64,C894)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SUMIFS(RAB!$F$14:$F$64,RAB!$C$14:$C$64,C895)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SUMIFS(RAB!$F$14:$F$64,RAB!$C$14:$C$64,C896)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SUMIFS(RAB!$F$14:$F$64,RAB!$C$14:$C$64,C897)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SUMIFS(RAB!$F$14:$F$64,RAB!$C$14:$C$64,C898)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SUMIFS(RAB!$F$14:$F$64,RAB!$C$14:$C$64,C899)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SUMIFS(RAB!$F$14:$F$64,RAB!$C$14:$C$64,C900)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SUMIFS(RAB!$F$14:$F$64,RAB!$C$14:$C$64,C901)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SUMIFS(RAB!$F$14:$F$64,RAB!$C$14:$C$64,C902)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SUMIFS(RAB!$F$14:$F$64,RAB!$C$14:$C$64,C903)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SUMIFS(RAB!$F$14:$F$64,RAB!$C$14:$C$64,C904)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SUMIFS(RAB!$F$14:$F$64,RAB!$C$14:$C$64,C905)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SUMIFS(RAB!$F$14:$F$64,RAB!$C$14:$C$64,C906)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SUMIFS(RAB!$F$14:$F$64,RAB!$C$14:$C$64,C907)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SUMIFS(RAB!$F$14:$F$64,RAB!$C$14:$C$64,C908)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SUMIFS(RAB!$F$14:$F$64,RAB!$C$14:$C$64,C909)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SUMIFS(RAB!$F$14:$F$64,RAB!$C$14:$C$64,C910)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SUMIFS(RAB!$F$14:$F$64,RAB!$C$14:$C$64,C911)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SUMIFS(RAB!$F$14:$F$64,RAB!$C$14:$C$64,C912)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SUMIFS(RAB!$F$14:$F$64,RAB!$C$14:$C$64,C913)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SUMIFS(RAB!$F$14:$F$64,RAB!$C$14:$C$64,C914)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SUMIFS(RAB!$F$14:$F$64,RAB!$C$14:$C$64,C915)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SUMIFS(RAB!$F$14:$F$64,RAB!$C$14:$C$64,C916)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SUMIFS(RAB!$F$14:$F$64,RAB!$C$14:$C$64,C917)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SUMIFS(RAB!$F$14:$F$64,RAB!$C$14:$C$64,C918)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SUMIFS(RAB!$F$14:$F$64,RAB!$C$14:$C$64,C919)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SUMIFS(RAB!$F$14:$F$64,RAB!$C$14:$C$64,C920)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SUMIFS(RAB!$F$14:$F$64,RAB!$C$14:$C$64,C921)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SUMIFS(RAB!$F$14:$F$64,RAB!$C$14:$C$64,C922)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SUMIFS(RAB!$F$14:$F$64,RAB!$C$14:$C$64,C923)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SUMIFS(RAB!$F$14:$F$64,RAB!$C$14:$C$64,C924)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SUMIFS(RAB!$F$14:$F$64,RAB!$C$14:$C$64,C925)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SUMIFS(RAB!$F$14:$F$64,RAB!$C$14:$C$64,C926)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SUMIFS(RAB!$F$14:$F$64,RAB!$C$14:$C$64,C927)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SUMIFS(RAB!$F$14:$F$64,RAB!$C$14:$C$64,C928)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SUMIFS(RAB!$F$14:$F$64,RAB!$C$14:$C$64,C929)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SUMIFS(RAB!$F$14:$F$64,RAB!$C$14:$C$64,C930)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SUMIFS(RAB!$F$14:$F$64,RAB!$C$14:$C$64,C931)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SUMIFS(RAB!$F$14:$F$64,RAB!$C$14:$C$64,C932)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SUMIFS(RAB!$F$14:$F$64,RAB!$C$14:$C$64,C933)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SUMIFS(RAB!$F$14:$F$64,RAB!$C$14:$C$64,C934)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SUMIFS(RAB!$F$14:$F$64,RAB!$C$14:$C$64,C935)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SUMIFS(RAB!$F$14:$F$64,RAB!$C$14:$C$64,C936)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SUMIFS(RAB!$F$14:$F$64,RAB!$C$14:$C$64,C937)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SUMIFS(RAB!$F$14:$F$64,RAB!$C$14:$C$64,C938)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SUMIFS(RAB!$F$14:$F$64,RAB!$C$14:$C$64,C939)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SUMIFS(RAB!$F$14:$F$64,RAB!$C$14:$C$64,C940)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SUMIFS(RAB!$F$14:$F$64,RAB!$C$14:$C$64,C941)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SUMIFS(RAB!$F$14:$F$64,RAB!$C$14:$C$64,C942)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SUMIFS(RAB!$F$14:$F$64,RAB!$C$14:$C$64,C943)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SUMIFS(RAB!$F$14:$F$64,RAB!$C$14:$C$64,C944)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SUMIFS(RAB!$F$14:$F$64,RAB!$C$14:$C$64,C945)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SUMIFS(RAB!$F$14:$F$64,RAB!$C$14:$C$64,C946)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SUMIFS(RAB!$F$14:$F$64,RAB!$C$14:$C$64,C947)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SUMIFS(RAB!$F$14:$F$64,RAB!$C$14:$C$64,C948)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SUMIFS(RAB!$F$14:$F$64,RAB!$C$14:$C$64,C949)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SUMIFS(RAB!$F$14:$F$64,RAB!$C$14:$C$64,C950)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SUMIFS(RAB!$F$14:$F$64,RAB!$C$14:$C$64,C951)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SUMIFS(RAB!$F$14:$F$64,RAB!$C$14:$C$64,C952)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SUMIFS(RAB!$F$14:$F$64,RAB!$C$14:$C$64,C953)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SUMIFS(RAB!$F$14:$F$64,RAB!$C$14:$C$64,C954)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SUMIFS(RAB!$F$14:$F$64,RAB!$C$14:$C$64,C955)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SUMIFS(RAB!$F$14:$F$64,RAB!$C$14:$C$64,C956)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SUMIFS(RAB!$F$14:$F$64,RAB!$C$14:$C$64,C957)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SUMIFS(RAB!$F$14:$F$64,RAB!$C$14:$C$64,C958)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SUMIFS(RAB!$F$14:$F$64,RAB!$C$14:$C$64,C959)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SUMIFS(RAB!$F$14:$F$64,RAB!$C$14:$C$64,C960)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SUMIFS(RAB!$F$14:$F$64,RAB!$C$14:$C$64,C961)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SUMIFS(RAB!$F$14:$F$64,RAB!$C$14:$C$64,C962)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SUMIFS(RAB!$F$14:$F$64,RAB!$C$14:$C$64,C963)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SUMIFS(RAB!$F$14:$F$64,RAB!$C$14:$C$64,C964)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SUMIFS(RAB!$F$14:$F$64,RAB!$C$14:$C$64,C965)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SUMIFS(RAB!$F$14:$F$64,RAB!$C$14:$C$64,C966)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SUMIFS(RAB!$F$14:$F$64,RAB!$C$14:$C$64,C967)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SUMIFS(RAB!$F$14:$F$64,RAB!$C$14:$C$64,C968)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SUMIFS(RAB!$F$14:$F$64,RAB!$C$14:$C$64,C969)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SUMIFS(RAB!$F$14:$F$64,RAB!$C$14:$C$64,C970)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SUMIFS(RAB!$F$14:$F$64,RAB!$C$14:$C$64,C971)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SUMIFS(RAB!$F$14:$F$64,RAB!$C$14:$C$64,C972)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SUMIFS(RAB!$F$14:$F$64,RAB!$C$14:$C$64,C973)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SUMIFS(RAB!$F$14:$F$64,RAB!$C$14:$C$64,C974)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SUMIFS(RAB!$F$14:$F$64,RAB!$C$14:$C$64,C975)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SUMIFS(RAB!$F$14:$F$64,RAB!$C$14:$C$64,C976)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SUMIFS(RAB!$F$14:$F$64,RAB!$C$14:$C$64,C977)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SUMIFS(RAB!$F$14:$F$64,RAB!$C$14:$C$64,C978)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SUMIFS(RAB!$F$14:$F$64,RAB!$C$14:$C$64,C979)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SUMIFS(RAB!$F$14:$F$64,RAB!$C$14:$C$64,C980)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SUMIFS(RAB!$F$14:$F$64,RAB!$C$14:$C$64,C981)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SUMIFS(RAB!$F$14:$F$64,RAB!$C$14:$C$64,C982)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SUMIFS(RAB!$F$14:$F$64,RAB!$C$14:$C$64,C983)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SUMIFS(RAB!$F$14:$F$64,RAB!$C$14:$C$64,C984)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SUMIFS(RAB!$F$14:$F$64,RAB!$C$14:$C$64,C985)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SUMIFS(RAB!$F$14:$F$64,RAB!$C$14:$C$64,C986)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SUMIFS(RAB!$F$14:$F$64,RAB!$C$14:$C$64,C987)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SUMIFS(RAB!$F$14:$F$64,RAB!$C$14:$C$64,C988)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SUMIFS(RAB!$F$14:$F$64,RAB!$C$14:$C$64,C989)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SUMIFS(RAB!$F$14:$F$64,RAB!$C$14:$C$64,C990)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SUMIFS(RAB!$F$14:$F$64,RAB!$C$14:$C$64,C991)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SUMIFS(RAB!$F$14:$F$64,RAB!$C$14:$C$64,C992)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SUMIFS(RAB!$F$14:$F$64,RAB!$C$14:$C$64,C993)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SUMIFS(RAB!$F$14:$F$64,RAB!$C$14:$C$64,C994)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SUMIFS(RAB!$F$14:$F$64,RAB!$C$14:$C$64,C995)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SUMIFS(RAB!$F$14:$F$64,RAB!$C$14:$C$64,C996)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SUMIFS(RAB!$F$14:$F$64,RAB!$C$14:$C$64,C997)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SUMIFS(RAB!$F$14:$F$64,RAB!$C$14:$C$64,C998)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SUMIFS(RAB!$F$14:$F$64,RAB!$C$14:$C$64,C999)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SUMIFS(RAB!$F$14:$F$64,RAB!$C$14:$C$64,C1000)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SUMIFS(RAB!$F$14:$F$64,RAB!$C$14:$C$64,C1001)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SUMIFS(RAB!$F$14:$F$64,RAB!$C$14:$C$64,C1002)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SUMIFS(RAB!$F$14:$F$64,RAB!$C$14:$C$64,C1003)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SUMIFS(RAB!$F$14:$F$64,RAB!$C$14:$C$64,C1004)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SUMIFS(RAB!$F$14:$F$64,RAB!$C$14:$C$64,C1005)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SUMIFS(RAB!$F$14:$F$64,RAB!$C$14:$C$64,C1006)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SUMIFS(RAB!$F$14:$F$64,RAB!$C$14:$C$64,C1007)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SUMIFS(RAB!$F$14:$F$64,RAB!$C$14:$C$64,C1008)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SUMIFS(RAB!$F$14:$F$64,RAB!$C$14:$C$64,C1009)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SUMIFS(RAB!$F$14:$F$64,RAB!$C$14:$C$64,C1010)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SUMIFS(RAB!$F$14:$F$64,RAB!$C$14:$C$64,C1011)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SUMIFS(RAB!$F$14:$F$64,RAB!$C$14:$C$64,C1012)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SUMIFS(RAB!$F$14:$F$64,RAB!$C$14:$C$64,C1013)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SUMIFS(RAB!$F$14:$F$64,RAB!$C$14:$C$64,C1014)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SUMIFS(RAB!$F$14:$F$64,RAB!$C$14:$C$64,C1015)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SUMIFS(RAB!$F$14:$F$64,RAB!$C$14:$C$64,C1016)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SUMIFS(RAB!$F$14:$F$64,RAB!$C$14:$C$64,C1017)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SUMIFS(RAB!$F$14:$F$64,RAB!$C$14:$C$64,C1018)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SUMIFS(RAB!$F$14:$F$64,RAB!$C$14:$C$64,C1019)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SUMIFS(RAB!$F$14:$F$64,RAB!$C$14:$C$64,C1020)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SUMIFS(RAB!$F$14:$F$64,RAB!$C$14:$C$64,C1021)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SUMIFS(RAB!$F$14:$F$64,RAB!$C$14:$C$64,C1022)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SUMIFS(RAB!$F$14:$F$64,RAB!$C$14:$C$64,C1023)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SUMIFS(RAB!$F$14:$F$64,RAB!$C$14:$C$64,C1024)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SUMIFS(RAB!$F$14:$F$64,RAB!$C$14:$C$64,C1025)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SUMIFS(RAB!$F$14:$F$64,RAB!$C$14:$C$64,C1026)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SUMIFS(RAB!$F$14:$F$64,RAB!$C$14:$C$64,C1027)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SUMIFS(RAB!$F$14:$F$64,RAB!$C$14:$C$64,C1028)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SUMIFS(RAB!$F$14:$F$64,RAB!$C$14:$C$64,C1029)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SUMIFS(RAB!$F$14:$F$64,RAB!$C$14:$C$64,C1030)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SUMIFS(RAB!$F$14:$F$64,RAB!$C$14:$C$64,C1031)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SUMIFS(RAB!$F$14:$F$64,RAB!$C$14:$C$64,C1032)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SUMIFS(RAB!$F$14:$F$64,RAB!$C$14:$C$64,C1033)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SUMIFS(RAB!$F$14:$F$64,RAB!$C$14:$C$64,C1034)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SUMIFS(RAB!$F$14:$F$64,RAB!$C$14:$C$64,C1035)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SUMIFS(RAB!$F$14:$F$64,RAB!$C$14:$C$64,C1036)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SUMIFS(RAB!$F$14:$F$64,RAB!$C$14:$C$64,C1037)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SUMIFS(RAB!$F$14:$F$64,RAB!$C$14:$C$64,C1038)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SUMIFS(RAB!$F$14:$F$64,RAB!$C$14:$C$64,C1039)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SUMIFS(RAB!$F$14:$F$64,RAB!$C$14:$C$64,C1040)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SUMIFS(RAB!$F$14:$F$64,RAB!$C$14:$C$64,C1041)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SUMIFS(RAB!$F$14:$F$64,RAB!$C$14:$C$64,C1042)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SUMIFS(RAB!$F$14:$F$64,RAB!$C$14:$C$64,C1043)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SUMIFS(RAB!$F$14:$F$64,RAB!$C$14:$C$64,C1044)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SUMIFS(RAB!$F$14:$F$64,RAB!$C$14:$C$64,C1045)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SUMIFS(RAB!$F$14:$F$64,RAB!$C$14:$C$64,C1046)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SUMIFS(RAB!$F$14:$F$64,RAB!$C$14:$C$64,C1047)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SUMIFS(RAB!$F$14:$F$64,RAB!$C$14:$C$64,C1048)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SUMIFS(RAB!$F$14:$F$64,RAB!$C$14:$C$64,C1049)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SUMIFS(RAB!$F$14:$F$64,RAB!$C$14:$C$64,C1050)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SUMIFS(RAB!$F$14:$F$64,RAB!$C$14:$C$64,C1051)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SUMIFS(RAB!$F$14:$F$64,RAB!$C$14:$C$64,C1052)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SUMIFS(RAB!$F$14:$F$64,RAB!$C$14:$C$64,C1053)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SUMIFS(RAB!$F$14:$F$64,RAB!$C$14:$C$64,C1054)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SUMIFS(RAB!$F$14:$F$64,RAB!$C$14:$C$64,C1055)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SUMIFS(RAB!$F$14:$F$64,RAB!$C$14:$C$64,C1056)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SUMIFS(RAB!$F$14:$F$64,RAB!$C$14:$C$64,C1057)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SUMIFS(RAB!$F$14:$F$64,RAB!$C$14:$C$64,C1058)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SUMIFS(RAB!$F$14:$F$64,RAB!$C$14:$C$64,C1059)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SUMIFS(RAB!$F$14:$F$64,RAB!$C$14:$C$64,C1060)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SUMIFS(RAB!$F$14:$F$64,RAB!$C$14:$C$64,C1061)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SUMIFS(RAB!$F$14:$F$64,RAB!$C$14:$C$64,C1062)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SUMIFS(RAB!$F$14:$F$64,RAB!$C$14:$C$64,C1063)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SUMIFS(RAB!$F$14:$F$64,RAB!$C$14:$C$64,C1064)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SUMIFS(RAB!$F$14:$F$64,RAB!$C$14:$C$64,C1065)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SUMIFS(RAB!$F$14:$F$64,RAB!$C$14:$C$64,C1066)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SUMIFS(RAB!$F$14:$F$64,RAB!$C$14:$C$64,C1067)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SUMIFS(RAB!$F$14:$F$64,RAB!$C$14:$C$64,C1068)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SUMIFS(RAB!$F$14:$F$64,RAB!$C$14:$C$64,C1069)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SUMIFS(RAB!$F$14:$F$64,RAB!$C$14:$C$64,C1070)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SUMIFS(RAB!$F$14:$F$64,RAB!$C$14:$C$64,C1071)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SUMIFS(RAB!$F$14:$F$64,RAB!$C$14:$C$64,C1072)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SUMIFS(RAB!$F$14:$F$64,RAB!$C$14:$C$64,C1073)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SUMIFS(RAB!$F$14:$F$64,RAB!$C$14:$C$64,C1074)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SUMIFS(RAB!$F$14:$F$64,RAB!$C$14:$C$64,C1075)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SUMIFS(RAB!$F$14:$F$64,RAB!$C$14:$C$64,C1076)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SUMIFS(RAB!$F$14:$F$64,RAB!$C$14:$C$64,C1077)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SUMIFS(RAB!$F$14:$F$64,RAB!$C$14:$C$64,C1078)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SUMIFS(RAB!$F$14:$F$64,RAB!$C$14:$C$64,C1079)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SUMIFS(RAB!$F$14:$F$64,RAB!$C$14:$C$64,C1080)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SUMIFS(RAB!$F$14:$F$64,RAB!$C$14:$C$64,C1081)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SUMIFS(RAB!$F$14:$F$64,RAB!$C$14:$C$64,C1082)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SUMIFS(RAB!$F$14:$F$64,RAB!$C$14:$C$64,C1083)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SUMIFS(RAB!$F$14:$F$64,RAB!$C$14:$C$64,C1084)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SUMIFS(RAB!$F$14:$F$64,RAB!$C$14:$C$64,C1085)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SUMIFS(RAB!$F$14:$F$64,RAB!$C$14:$C$64,C1086)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SUMIFS(RAB!$F$14:$F$64,RAB!$C$14:$C$64,C1087)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SUMIFS(RAB!$F$14:$F$64,RAB!$C$14:$C$64,C1088)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SUMIFS(RAB!$F$14:$F$64,RAB!$C$14:$C$64,C1089)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SUMIFS(RAB!$F$14:$F$64,RAB!$C$14:$C$64,C1090)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SUMIFS(RAB!$F$14:$F$64,RAB!$C$14:$C$64,C1091)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SUMIFS(RAB!$F$14:$F$64,RAB!$C$14:$C$64,C1092)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SUMIFS(RAB!$F$14:$F$64,RAB!$C$14:$C$64,C1093)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SUMIFS(RAB!$F$14:$F$64,RAB!$C$14:$C$64,C1094)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SUMIFS(RAB!$F$14:$F$64,RAB!$C$14:$C$64,C1095)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SUMIFS(RAB!$F$14:$F$64,RAB!$C$14:$C$64,C1096)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SUMIFS(RAB!$F$14:$F$64,RAB!$C$14:$C$64,C1097)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SUMIFS(RAB!$F$14:$F$64,RAB!$C$14:$C$64,C1098)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SUMIFS(RAB!$F$14:$F$64,RAB!$C$14:$C$64,C1099)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SUMIFS(RAB!$F$14:$F$64,RAB!$C$14:$C$64,C1100)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SUMIFS(RAB!$F$14:$F$64,RAB!$C$14:$C$64,C1101)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SUMIFS(RAB!$F$14:$F$64,RAB!$C$14:$C$64,C1102)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SUMIFS(RAB!$F$14:$F$64,RAB!$C$14:$C$64,C1103)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SUMIFS(RAB!$F$14:$F$64,RAB!$C$14:$C$64,C1104)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SUMIFS(RAB!$F$14:$F$64,RAB!$C$14:$C$64,C1105)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SUMIFS(RAB!$F$14:$F$64,RAB!$C$14:$C$64,C1106)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SUMIFS(RAB!$F$14:$F$64,RAB!$C$14:$C$64,C1107)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SUMIFS(RAB!$F$14:$F$64,RAB!$C$14:$C$64,C1108)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SUMIFS(RAB!$F$14:$F$64,RAB!$C$14:$C$64,C1109)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SUMIFS(RAB!$F$14:$F$64,RAB!$C$14:$C$64,C1110)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SUMIFS(RAB!$F$14:$F$64,RAB!$C$14:$C$64,C1111)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SUMIFS(RAB!$F$14:$F$64,RAB!$C$14:$C$64,C1112)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SUMIFS(RAB!$F$14:$F$64,RAB!$C$14:$C$64,C1113)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SUMIFS(RAB!$F$14:$F$64,RAB!$C$14:$C$64,C1114)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SUMIFS(RAB!$F$14:$F$64,RAB!$C$14:$C$64,C1115)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SUMIFS(RAB!$F$14:$F$64,RAB!$C$14:$C$64,C1116)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SUMIFS(RAB!$F$14:$F$64,RAB!$C$14:$C$64,C1117)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SUMIFS(RAB!$F$14:$F$64,RAB!$C$14:$C$64,C1118)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SUMIFS(RAB!$F$14:$F$64,RAB!$C$14:$C$64,C1119)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SUMIFS(RAB!$F$14:$F$64,RAB!$C$14:$C$64,C1120)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SUMIFS(RAB!$F$14:$F$64,RAB!$C$14:$C$64,C1121)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SUMIFS(RAB!$F$14:$F$64,RAB!$C$14:$C$64,C1122)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SUMIFS(RAB!$F$14:$F$64,RAB!$C$14:$C$64,C1123)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SUMIFS(RAB!$F$14:$F$64,RAB!$C$14:$C$64,C1124)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SUMIFS(RAB!$F$14:$F$64,RAB!$C$14:$C$64,C1125)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SUMIFS(RAB!$F$14:$F$64,RAB!$C$14:$C$64,C1126)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SUMIFS(RAB!$F$14:$F$64,RAB!$C$14:$C$64,C1127)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SUMIFS(RAB!$F$14:$F$64,RAB!$C$14:$C$64,C1128)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SUMIFS(RAB!$F$14:$F$64,RAB!$C$14:$C$64,C1129)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SUMIFS(RAB!$F$14:$F$64,RAB!$C$14:$C$64,C1130)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SUMIFS(RAB!$F$14:$F$64,RAB!$C$14:$C$64,C1131)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SUMIFS(RAB!$F$14:$F$64,RAB!$C$14:$C$64,C1132)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SUMIFS(RAB!$F$14:$F$64,RAB!$C$14:$C$64,C1133)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SUMIFS(RAB!$F$14:$F$64,RAB!$C$14:$C$64,C1134)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SUMIFS(RAB!$F$14:$F$64,RAB!$C$14:$C$64,C1135)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SUMIFS(RAB!$F$14:$F$64,RAB!$C$14:$C$64,C1136)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SUMIFS(RAB!$F$14:$F$64,RAB!$C$14:$C$64,C1137)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SUMIFS(RAB!$F$14:$F$64,RAB!$C$14:$C$64,C1138)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SUMIFS(RAB!$F$14:$F$64,RAB!$C$14:$C$64,C1139)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SUMIFS(RAB!$F$14:$F$64,RAB!$C$14:$C$64,C1140)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SUMIFS(RAB!$F$14:$F$64,RAB!$C$14:$C$64,C1141)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SUMIFS(RAB!$F$14:$F$64,RAB!$C$14:$C$64,C1142)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SUMIFS(RAB!$F$14:$F$64,RAB!$C$14:$C$64,C1143)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SUMIFS(RAB!$F$14:$F$64,RAB!$C$14:$C$64,C1144)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SUMIFS(RAB!$F$14:$F$64,RAB!$C$14:$C$64,C1145)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SUMIFS(RAB!$F$14:$F$64,RAB!$C$14:$C$64,C1146)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SUMIFS(RAB!$F$14:$F$64,RAB!$C$14:$C$64,C1147)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SUMIFS(RAB!$F$14:$F$64,RAB!$C$14:$C$64,C1148)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SUMIFS(RAB!$F$14:$F$64,RAB!$C$14:$C$64,C1149)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SUMIFS(RAB!$F$14:$F$64,RAB!$C$14:$C$64,C1150)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SUMIFS(RAB!$F$14:$F$64,RAB!$C$14:$C$64,C1151)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SUMIFS(RAB!$F$14:$F$64,RAB!$C$14:$C$64,C1152)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SUMIFS(RAB!$F$14:$F$64,RAB!$C$14:$C$64,C1153)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SUMIFS(RAB!$F$14:$F$64,RAB!$C$14:$C$64,C1154)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SUMIFS(RAB!$F$14:$F$64,RAB!$C$14:$C$64,C1155)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SUMIFS(RAB!$F$14:$F$64,RAB!$C$14:$C$64,C1156)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SUMIFS(RAB!$F$14:$F$64,RAB!$C$14:$C$64,C1157)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SUMIFS(RAB!$F$14:$F$64,RAB!$C$14:$C$64,C1158)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SUMIFS(RAB!$F$14:$F$64,RAB!$C$14:$C$64,C1159)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SUMIFS(RAB!$F$14:$F$64,RAB!$C$14:$C$64,C1160)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SUMIFS(RAB!$F$14:$F$64,RAB!$C$14:$C$64,C1161)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SUMIFS(RAB!$F$14:$F$64,RAB!$C$14:$C$64,C1162)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SUMIFS(RAB!$F$14:$F$64,RAB!$C$14:$C$64,C1163)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SUMIFS(RAB!$F$14:$F$64,RAB!$C$14:$C$64,C1164)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SUMIFS(RAB!$F$14:$F$64,RAB!$C$14:$C$64,C1165)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SUMIFS(RAB!$F$14:$F$64,RAB!$C$14:$C$64,C1166)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SUMIFS(RAB!$F$14:$F$64,RAB!$C$14:$C$64,C1167)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SUMIFS(RAB!$F$14:$F$64,RAB!$C$14:$C$64,C1168)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SUMIFS(RAB!$F$14:$F$64,RAB!$C$14:$C$64,C1169)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SUMIFS(RAB!$F$14:$F$64,RAB!$C$14:$C$64,C1170)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SUMIFS(RAB!$F$14:$F$64,RAB!$C$14:$C$64,C1171)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SUMIFS(RAB!$F$14:$F$64,RAB!$C$14:$C$64,C1172)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SUMIFS(RAB!$F$14:$F$64,RAB!$C$14:$C$64,C1173)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SUMIFS(RAB!$F$14:$F$64,RAB!$C$14:$C$64,C1174)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SUMIFS(RAB!$F$14:$F$64,RAB!$C$14:$C$64,C1175)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SUMIFS(RAB!$F$14:$F$64,RAB!$C$14:$C$64,C1176)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SUMIFS(RAB!$F$14:$F$64,RAB!$C$14:$C$64,C1177)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SUMIFS(RAB!$F$14:$F$64,RAB!$C$14:$C$64,C1178)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SUMIFS(RAB!$F$14:$F$64,RAB!$C$14:$C$64,C1179)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SUMIFS(RAB!$F$14:$F$64,RAB!$C$14:$C$64,C1180)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SUMIFS(RAB!$F$14:$F$64,RAB!$C$14:$C$64,C1181)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SUMIFS(RAB!$F$14:$F$64,RAB!$C$14:$C$64,C1182)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SUMIFS(RAB!$F$14:$F$64,RAB!$C$14:$C$64,C1183)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SUMIFS(RAB!$F$14:$F$64,RAB!$C$14:$C$64,C1184)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SUMIFS(RAB!$F$14:$F$64,RAB!$C$14:$C$64,C1185)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SUMIFS(RAB!$F$14:$F$64,RAB!$C$14:$C$64,C1186)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SUMIFS(RAB!$F$14:$F$64,RAB!$C$14:$C$64,C1187)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SUMIFS(RAB!$F$14:$F$64,RAB!$C$14:$C$64,C1188)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SUMIFS(RAB!$F$14:$F$64,RAB!$C$14:$C$64,C1189)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SUMIFS(RAB!$F$14:$F$64,RAB!$C$14:$C$64,C1190)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SUMIFS(RAB!$F$14:$F$64,RAB!$C$14:$C$64,C1191)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SUMIFS(RAB!$F$14:$F$64,RAB!$C$14:$C$64,C1192)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SUMIFS(RAB!$F$14:$F$64,RAB!$C$14:$C$64,C1193)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SUMIFS(RAB!$F$14:$F$64,RAB!$C$14:$C$64,C1194)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SUMIFS(RAB!$F$14:$F$64,RAB!$C$14:$C$64,C1195)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SUMIFS(RAB!$F$14:$F$64,RAB!$C$14:$C$64,C1196)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SUMIFS(RAB!$F$14:$F$64,RAB!$C$14:$C$64,C1197)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SUMIFS(RAB!$F$14:$F$64,RAB!$C$14:$C$64,C1198)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SUMIFS(RAB!$F$14:$F$64,RAB!$C$14:$C$64,C1199)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SUMIFS(RAB!$F$14:$F$64,RAB!$C$14:$C$64,C1200)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SUMIFS(RAB!$F$14:$F$64,RAB!$C$14:$C$64,C1201)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SUMIFS(RAB!$F$14:$F$64,RAB!$C$14:$C$64,C1202)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SUMIFS(RAB!$F$14:$F$64,RAB!$C$14:$C$64,C1203)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SUMIFS(RAB!$F$14:$F$64,RAB!$C$14:$C$64,C1204)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SUMIFS(RAB!$F$14:$F$64,RAB!$C$14:$C$64,C1205)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SUMIFS(RAB!$F$14:$F$64,RAB!$C$14:$C$64,C1206)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SUMIFS(RAB!$F$14:$F$64,RAB!$C$14:$C$64,C1207)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SUMIFS(RAB!$F$14:$F$64,RAB!$C$14:$C$64,C1208)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SUMIFS(RAB!$F$14:$F$64,RAB!$C$14:$C$64,C1209)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SUMIFS(RAB!$F$14:$F$64,RAB!$C$14:$C$64,C1210)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SUMIFS(RAB!$F$14:$F$64,RAB!$C$14:$C$64,C1211)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SUMIFS(RAB!$F$14:$F$64,RAB!$C$14:$C$64,C1212)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SUMIFS(RAB!$F$14:$F$64,RAB!$C$14:$C$64,C1213)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SUMIFS(RAB!$F$14:$F$64,RAB!$C$14:$C$64,C1214)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SUMIFS(RAB!$F$14:$F$64,RAB!$C$14:$C$64,C1215)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SUMIFS(RAB!$F$14:$F$64,RAB!$C$14:$C$64,C1216)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SUMIFS(RAB!$F$14:$F$64,RAB!$C$14:$C$64,C1217)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SUMIFS(RAB!$F$14:$F$64,RAB!$C$14:$C$64,C1218)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SUMIFS(RAB!$F$14:$F$64,RAB!$C$14:$C$64,C1219)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SUMIFS(RAB!$F$14:$F$64,RAB!$C$14:$C$64,C1220)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SUMIFS(RAB!$F$14:$F$64,RAB!$C$14:$C$64,C1221)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SUMIFS(RAB!$F$14:$F$64,RAB!$C$14:$C$64,C1222)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SUMIFS(RAB!$F$14:$F$64,RAB!$C$14:$C$64,C1223)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SUMIFS(RAB!$F$14:$F$64,RAB!$C$14:$C$64,C1224)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SUMIFS(RAB!$F$14:$F$64,RAB!$C$14:$C$64,C1225)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SUMIFS(RAB!$F$14:$F$64,RAB!$C$14:$C$64,C1226)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SUMIFS(RAB!$F$14:$F$64,RAB!$C$14:$C$64,C1227)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SUMIFS(RAB!$F$14:$F$64,RAB!$C$14:$C$64,C1228)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SUMIFS(RAB!$F$14:$F$64,RAB!$C$14:$C$64,C1229)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SUMIFS(RAB!$F$14:$F$64,RAB!$C$14:$C$64,C1230)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SUMIFS(RAB!$F$14:$F$64,RAB!$C$14:$C$64,C1231)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SUMIFS(RAB!$F$14:$F$64,RAB!$C$14:$C$64,C1232)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SUMIFS(RAB!$F$14:$F$64,RAB!$C$14:$C$64,C1233)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SUMIFS(RAB!$F$14:$F$64,RAB!$C$14:$C$64,C1234)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SUMIFS(RAB!$F$14:$F$64,RAB!$C$14:$C$64,C1235)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SUMIFS(RAB!$F$14:$F$64,RAB!$C$14:$C$64,C1236)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SUMIFS(RAB!$F$14:$F$64,RAB!$C$14:$C$64,C1237)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SUMIFS(RAB!$F$14:$F$64,RAB!$C$14:$C$64,C1238)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SUMIFS(RAB!$F$14:$F$64,RAB!$C$14:$C$64,C1239)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SUMIFS(RAB!$F$14:$F$64,RAB!$C$14:$C$64,C1240)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SUMIFS(RAB!$F$14:$F$64,RAB!$C$14:$C$64,C1241)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SUMIFS(RAB!$F$14:$F$64,RAB!$C$14:$C$64,C1242)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SUMIFS(RAB!$F$14:$F$64,RAB!$C$14:$C$64,C1243)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SUMIFS(RAB!$F$14:$F$64,RAB!$C$14:$C$64,C1244)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SUMIFS(RAB!$F$14:$F$64,RAB!$C$14:$C$64,C1245)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SUMIFS(RAB!$F$14:$F$64,RAB!$C$14:$C$64,C1246)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SUMIFS(RAB!$F$14:$F$64,RAB!$C$14:$C$64,C1247)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SUMIFS(RAB!$F$14:$F$64,RAB!$C$14:$C$64,C1248)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SUMIFS(RAB!$F$14:$F$64,RAB!$C$14:$C$64,C1249)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SUMIFS(RAB!$F$14:$F$64,RAB!$C$14:$C$64,C1250)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SUMIFS(RAB!$F$14:$F$64,RAB!$C$14:$C$64,C1251)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SUMIFS(RAB!$F$14:$F$64,RAB!$C$14:$C$64,C1252)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SUMIFS(RAB!$F$14:$F$64,RAB!$C$14:$C$64,C1253)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SUMIFS(RAB!$F$14:$F$64,RAB!$C$14:$C$64,C1254)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SUMIFS(RAB!$F$14:$F$64,RAB!$C$14:$C$64,C1255)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SUMIFS(RAB!$F$14:$F$64,RAB!$C$14:$C$64,C1256)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SUMIFS(RAB!$F$14:$F$64,RAB!$C$14:$C$64,C1257)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SUMIFS(RAB!$F$14:$F$64,RAB!$C$14:$C$64,C1258)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SUMIFS(RAB!$F$14:$F$64,RAB!$C$14:$C$64,C1259)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SUMIFS(RAB!$F$14:$F$64,RAB!$C$14:$C$64,C1260)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SUMIFS(RAB!$F$14:$F$64,RAB!$C$14:$C$64,C1261)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SUMIFS(RAB!$F$14:$F$64,RAB!$C$14:$C$64,C1262)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SUMIFS(RAB!$F$14:$F$64,RAB!$C$14:$C$64,C1263)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SUMIFS(RAB!$F$14:$F$64,RAB!$C$14:$C$64,C1264)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SUMIFS(RAB!$F$14:$F$64,RAB!$C$14:$C$64,C1265)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SUMIFS(RAB!$F$14:$F$64,RAB!$C$14:$C$64,C1266)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SUMIFS(RAB!$F$14:$F$64,RAB!$C$14:$C$64,C1267)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SUMIFS(RAB!$F$14:$F$64,RAB!$C$14:$C$64,C1268)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SUMIFS(RAB!$F$14:$F$64,RAB!$C$14:$C$64,C1269)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SUMIFS(RAB!$F$14:$F$64,RAB!$C$14:$C$64,C1270)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SUMIFS(RAB!$F$14:$F$64,RAB!$C$14:$C$64,C1271)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SUMIFS(RAB!$F$14:$F$64,RAB!$C$14:$C$64,C1272)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SUMIFS(RAB!$F$14:$F$64,RAB!$C$14:$C$64,C1273)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SUMIFS(RAB!$F$14:$F$64,RAB!$C$14:$C$64,C1274)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SUMIFS(RAB!$F$14:$F$64,RAB!$C$14:$C$64,C1275)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SUMIFS(RAB!$F$14:$F$64,RAB!$C$14:$C$64,C1276)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SUMIFS(RAB!$F$14:$F$64,RAB!$C$14:$C$64,C1277)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SUMIFS(RAB!$F$14:$F$64,RAB!$C$14:$C$64,C1278)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SUMIFS(RAB!$F$14:$F$64,RAB!$C$14:$C$64,C1279)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SUMIFS(RAB!$F$14:$F$64,RAB!$C$14:$C$64,C1280)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SUMIFS(RAB!$F$14:$F$64,RAB!$C$14:$C$64,C1281)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SUMIFS(RAB!$F$14:$F$64,RAB!$C$14:$C$64,C1282)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SUMIFS(RAB!$F$14:$F$64,RAB!$C$14:$C$64,C1283)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SUMIFS(RAB!$F$14:$F$64,RAB!$C$14:$C$64,C1284)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SUMIFS(RAB!$F$14:$F$64,RAB!$C$14:$C$64,C1285)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SUMIFS(RAB!$F$14:$F$64,RAB!$C$14:$C$64,C1286)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SUMIFS(RAB!$F$14:$F$64,RAB!$C$14:$C$64,C1287)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SUMIFS(RAB!$F$14:$F$64,RAB!$C$14:$C$64,C1288)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SUMIFS(RAB!$F$14:$F$64,RAB!$C$14:$C$64,C1289)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SUMIFS(RAB!$F$14:$F$64,RAB!$C$14:$C$64,C1290)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SUMIFS(RAB!$F$14:$F$64,RAB!$C$14:$C$64,C1291)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SUMIFS(RAB!$F$14:$F$64,RAB!$C$14:$C$64,C1292)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SUMIFS(RAB!$F$14:$F$64,RAB!$C$14:$C$64,C1293)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SUMIFS(RAB!$F$14:$F$64,RAB!$C$14:$C$64,C1294)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SUMIFS(RAB!$F$14:$F$64,RAB!$C$14:$C$64,C1295)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SUMIFS(RAB!$F$14:$F$64,RAB!$C$14:$C$64,C1296)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SUMIFS(RAB!$F$14:$F$64,RAB!$C$14:$C$64,C1297)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SUMIFS(RAB!$F$14:$F$64,RAB!$C$14:$C$64,C1298)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SUMIFS(RAB!$F$14:$F$64,RAB!$C$14:$C$64,C1299)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SUMIFS(RAB!$F$14:$F$64,RAB!$C$14:$C$64,C1300)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SUMIFS(RAB!$F$14:$F$64,RAB!$C$14:$C$64,C1301)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SUMIFS(RAB!$F$14:$F$64,RAB!$C$14:$C$64,C1302)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SUMIFS(RAB!$F$14:$F$64,RAB!$C$14:$C$64,C1303)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SUMIFS(RAB!$F$14:$F$64,RAB!$C$14:$C$64,C1304)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SUMIFS(RAB!$F$14:$F$64,RAB!$C$14:$C$64,C1305)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SUMIFS(RAB!$F$14:$F$64,RAB!$C$14:$C$64,C1306)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SUMIFS(RAB!$F$14:$F$64,RAB!$C$14:$C$64,C1307)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SUMIFS(RAB!$F$14:$F$64,RAB!$C$14:$C$64,C1308)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SUMIFS(RAB!$F$14:$F$64,RAB!$C$14:$C$64,C1309)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SUMIFS(RAB!$F$14:$F$64,RAB!$C$14:$C$64,C1310)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SUMIFS(RAB!$F$14:$F$64,RAB!$C$14:$C$64,C1311)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SUMIFS(RAB!$F$14:$F$64,RAB!$C$14:$C$64,C1312)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SUMIFS(RAB!$F$14:$F$64,RAB!$C$14:$C$64,C1313)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SUMIFS(RAB!$F$14:$F$64,RAB!$C$14:$C$64,C1314)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SUMIFS(RAB!$F$14:$F$64,RAB!$C$14:$C$64,C1315)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SUMIFS(RAB!$F$14:$F$64,RAB!$C$14:$C$64,C1316)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SUMIFS(RAB!$F$14:$F$64,RAB!$C$14:$C$64,C1317)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SUMIFS(RAB!$F$14:$F$64,RAB!$C$14:$C$64,C1318)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SUMIFS(RAB!$F$14:$F$64,RAB!$C$14:$C$64,C1319)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SUMIFS(RAB!$F$14:$F$64,RAB!$C$14:$C$64,C1320)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1127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1" t="str">
        <f>RAB!G6</f>
        <v>FT WISMA HALIM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SMG-DMK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42</v>
      </c>
      <c r="E11" s="533" t="s">
        <v>43</v>
      </c>
      <c r="F11" s="533" t="s">
        <v>2</v>
      </c>
      <c r="G11" s="535" t="s">
        <v>41</v>
      </c>
      <c r="H11" s="533" t="s">
        <v>3</v>
      </c>
      <c r="I11" s="533"/>
      <c r="J11" s="533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34"/>
      <c r="E12" s="534"/>
      <c r="F12" s="534"/>
      <c r="G12" s="536"/>
      <c r="H12" s="542" t="s">
        <v>46</v>
      </c>
      <c r="I12" s="542" t="s">
        <v>5</v>
      </c>
      <c r="J12" s="534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34"/>
      <c r="E13" s="534"/>
      <c r="F13" s="534"/>
      <c r="G13" s="537"/>
      <c r="H13" s="543"/>
      <c r="I13" s="543"/>
      <c r="J13" s="534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2" t="s">
        <v>1008</v>
      </c>
      <c r="D38" s="552"/>
      <c r="E38" s="552"/>
      <c r="F38" s="55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3" t="s">
        <v>462</v>
      </c>
      <c r="D39" s="553"/>
      <c r="E39" s="553"/>
      <c r="F39" s="55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4" t="s">
        <v>463</v>
      </c>
      <c r="D40" s="544"/>
      <c r="E40" s="544"/>
      <c r="F40" s="54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5" t="e">
        <f ca="1">"Terbilang : ( "&amp;L42&amp;" Rupiah )"</f>
        <v>#NAME?</v>
      </c>
      <c r="C41" s="546"/>
      <c r="D41" s="546"/>
      <c r="E41" s="546"/>
      <c r="F41" s="546"/>
      <c r="G41" s="546"/>
      <c r="H41" s="546"/>
      <c r="I41" s="546"/>
      <c r="J41" s="546"/>
      <c r="K41" s="547"/>
      <c r="L41" s="44"/>
      <c r="R41" s="58"/>
      <c r="S41" s="58"/>
      <c r="T41" s="58"/>
    </row>
    <row r="42" spans="1:20" s="36" customFormat="1">
      <c r="A42" s="30"/>
      <c r="B42" s="548"/>
      <c r="C42" s="549"/>
      <c r="D42" s="549"/>
      <c r="E42" s="549"/>
      <c r="F42" s="549"/>
      <c r="G42" s="549"/>
      <c r="H42" s="549"/>
      <c r="I42" s="549"/>
      <c r="J42" s="549"/>
      <c r="K42" s="55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9"/>
      <c r="I45" s="539"/>
      <c r="J45" s="540"/>
      <c r="K45" s="54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9"/>
      <c r="I46" s="539"/>
      <c r="J46" s="540"/>
      <c r="K46" s="54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9"/>
      <c r="I47" s="539"/>
      <c r="J47" s="540"/>
      <c r="K47" s="54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9"/>
      <c r="I52" s="539"/>
      <c r="J52" s="540"/>
      <c r="K52" s="54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SUMIFS(RAB!$F$14:$F$64,RAB!$C$14:$C$64,'REKAP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SUMIFS(RAB!$F$14:$F$64,RAB!$C$14:$C$64,'REKAP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SUMIFS(RAB!$F$14:$F$64,RAB!$C$14:$C$64,'REKAP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SUMIFS(RAB!$F$14:$F$64,RAB!$C$14:$C$64,'REKAP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SUMIFS(RAB!$F$14:$F$64,RAB!$C$14:$C$64,'REKAP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SUMIFS(RAB!$F$14:$F$64,RAB!$C$14:$C$64,'REKAP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SUMIFS(RAB!$F$14:$F$64,RAB!$C$14:$C$64,'REKAP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SUMIFS(RAB!$F$14:$F$64,RAB!$C$14:$C$64,'REKAP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SUMIFS(RAB!$F$14:$F$64,RAB!$C$14:$C$64,'REKAP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SUMIFS(RAB!$F$14:$F$64,RAB!$C$14:$C$64,'REKAP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SUMIFS(RAB!$F$14:$F$64,RAB!$C$14:$C$64,'REKAP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SUMIFS(RAB!$F$14:$F$64,RAB!$C$14:$C$64,'REKAP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SUMIFS(RAB!$F$14:$F$64,RAB!$C$14:$C$64,'REKAP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SUMIFS(RAB!$F$14:$F$64,RAB!$C$14:$C$64,'REKAP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SUMIFS(RAB!$F$14:$F$64,RAB!$C$14:$C$64,'REKAP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SUMIFS(RAB!$F$14:$F$64,RAB!$C$14:$C$64,'REKAP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SUMIFS(RAB!$F$14:$F$64,RAB!$C$14:$C$64,'REKAP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SUMIFS(RAB!$F$14:$F$64,RAB!$C$14:$C$64,'REKAP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SUMIFS(RAB!$F$14:$F$64,RAB!$C$14:$C$64,'REKAP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SUMIFS(RAB!$F$14:$F$64,RAB!$C$14:$C$64,'REKAP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1034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1" t="str">
        <f>RAB!G6</f>
        <v>FT WISMA HALIM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SMG-DMK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42</v>
      </c>
      <c r="E11" s="533" t="s">
        <v>43</v>
      </c>
      <c r="F11" s="533" t="s">
        <v>2</v>
      </c>
      <c r="G11" s="535" t="s">
        <v>41</v>
      </c>
      <c r="H11" s="533" t="s">
        <v>3</v>
      </c>
      <c r="I11" s="533"/>
      <c r="J11" s="533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34"/>
      <c r="E12" s="534"/>
      <c r="F12" s="534"/>
      <c r="G12" s="536"/>
      <c r="H12" s="542" t="s">
        <v>46</v>
      </c>
      <c r="I12" s="542" t="s">
        <v>5</v>
      </c>
      <c r="J12" s="534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34"/>
      <c r="E13" s="534"/>
      <c r="F13" s="534"/>
      <c r="G13" s="537"/>
      <c r="H13" s="543"/>
      <c r="I13" s="543"/>
      <c r="J13" s="534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2" t="s">
        <v>1008</v>
      </c>
      <c r="D168" s="552"/>
      <c r="E168" s="552"/>
      <c r="F168" s="552"/>
      <c r="G168" s="77" t="s">
        <v>9</v>
      </c>
      <c r="H168" s="55">
        <f ca="1">SUM(H14:H167)</f>
        <v>66844650</v>
      </c>
      <c r="I168" s="55">
        <f ca="1">SUM(I14:I167)</f>
        <v>0</v>
      </c>
      <c r="J168" s="55">
        <f ca="1">SUM(J14:J167)</f>
        <v>0</v>
      </c>
      <c r="K168" s="55">
        <f ca="1">SUM(K14:K167)</f>
        <v>66844650</v>
      </c>
      <c r="L168" s="44"/>
      <c r="R168" s="99"/>
      <c r="S168" s="99"/>
      <c r="T168" s="99"/>
    </row>
    <row r="169" spans="1:20" s="36" customFormat="1">
      <c r="A169" s="30"/>
      <c r="B169" s="56"/>
      <c r="C169" s="553" t="s">
        <v>462</v>
      </c>
      <c r="D169" s="553"/>
      <c r="E169" s="553"/>
      <c r="F169" s="553"/>
      <c r="G169" s="59" t="s">
        <v>9</v>
      </c>
      <c r="H169" s="60">
        <f ca="1">H168*0.1</f>
        <v>6684465</v>
      </c>
      <c r="I169" s="60">
        <f ca="1">I168*0.1</f>
        <v>0</v>
      </c>
      <c r="J169" s="60">
        <f ca="1">J168*0.1</f>
        <v>0</v>
      </c>
      <c r="K169" s="60">
        <f ca="1">K168*0.1</f>
        <v>6684465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4" t="s">
        <v>463</v>
      </c>
      <c r="D170" s="544"/>
      <c r="E170" s="544"/>
      <c r="F170" s="544"/>
      <c r="G170" s="61" t="s">
        <v>9</v>
      </c>
      <c r="H170" s="78">
        <f ca="1">SUM(H168:H169)</f>
        <v>73529115</v>
      </c>
      <c r="I170" s="78">
        <f ca="1">SUM(I168:I169)</f>
        <v>0</v>
      </c>
      <c r="J170" s="61">
        <f ca="1">SUM(J168:J169)</f>
        <v>0</v>
      </c>
      <c r="K170" s="61">
        <f ca="1">SUM(K168:K169)</f>
        <v>73529115</v>
      </c>
      <c r="L170" s="44"/>
      <c r="R170" s="99"/>
      <c r="S170" s="99"/>
      <c r="T170" s="99"/>
    </row>
    <row r="171" spans="1:20" s="36" customFormat="1">
      <c r="A171" s="30"/>
      <c r="B171" s="545" t="e">
        <f ca="1">"Terbilang : ( "&amp;L172&amp;" Rupiah )"</f>
        <v>#NAME?</v>
      </c>
      <c r="C171" s="546"/>
      <c r="D171" s="546"/>
      <c r="E171" s="546"/>
      <c r="F171" s="546"/>
      <c r="G171" s="546"/>
      <c r="H171" s="546"/>
      <c r="I171" s="546"/>
      <c r="J171" s="546"/>
      <c r="K171" s="547"/>
      <c r="L171" s="44"/>
      <c r="R171" s="58"/>
      <c r="S171" s="58"/>
      <c r="T171" s="58"/>
    </row>
    <row r="172" spans="1:20" s="36" customFormat="1">
      <c r="A172" s="30"/>
      <c r="B172" s="548"/>
      <c r="C172" s="549"/>
      <c r="D172" s="549"/>
      <c r="E172" s="549"/>
      <c r="F172" s="549"/>
      <c r="G172" s="549"/>
      <c r="H172" s="549"/>
      <c r="I172" s="549"/>
      <c r="J172" s="549"/>
      <c r="K172" s="55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9"/>
      <c r="I175" s="539"/>
      <c r="J175" s="540"/>
      <c r="K175" s="54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9"/>
      <c r="I176" s="539"/>
      <c r="J176" s="540"/>
      <c r="K176" s="54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9"/>
      <c r="I177" s="539"/>
      <c r="J177" s="540"/>
      <c r="K177" s="54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9"/>
      <c r="I182" s="539"/>
      <c r="J182" s="540"/>
      <c r="K182" s="54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SUMIFS(RAB!$F$14:$F$64,RAB!$C$14:$C$64,C224)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SUMIFS(RAB!$F$14:$F$64,RAB!$C$14:$C$64,C225)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SUMIFS(RAB!$F$14:$F$64,RAB!$C$14:$C$64,C226)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SUMIFS(RAB!$F$14:$F$64,RAB!$C$14:$C$64,C227)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SUMIFS(RAB!$F$14:$F$64,RAB!$C$14:$C$64,C228)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SUMIFS(RAB!$F$14:$F$64,RAB!$C$14:$C$64,C229)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SUMIFS(RAB!$F$14:$F$64,RAB!$C$14:$C$64,C230)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SUMIFS(RAB!$F$14:$F$64,RAB!$C$14:$C$64,C231)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SUMIFS(RAB!$F$14:$F$64,RAB!$C$14:$C$64,C232)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SUMIFS(RAB!$F$14:$F$64,RAB!$C$14:$C$64,C233)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SUMIFS(RAB!$F$14:$F$64,RAB!$C$14:$C$64,C234)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SUMIFS(RAB!$F$14:$F$64,RAB!$C$14:$C$64,C235)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SUMIFS(RAB!$F$14:$F$64,RAB!$C$14:$C$64,C236)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SUMIFS(RAB!$F$14:$F$64,RAB!$C$14:$C$64,C237)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SUMIFS(RAB!$F$14:$F$64,RAB!$C$14:$C$64,C238)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SUMIFS(RAB!$F$14:$F$64,RAB!$C$14:$C$64,C239)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SUMIFS(RAB!$F$14:$F$64,RAB!$C$14:$C$64,C240)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SUMIFS(RAB!$F$14:$F$64,RAB!$C$14:$C$64,C241)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SUMIFS(RAB!$F$14:$F$64,RAB!$C$14:$C$64,C242)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SUMIFS(RAB!$F$14:$F$64,RAB!$C$14:$C$64,C243)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SUMIFS(RAB!$F$14:$F$64,RAB!$C$14:$C$64,C244)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SUMIFS(RAB!$F$14:$F$64,RAB!$C$14:$C$64,C245)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SUMIFS(RAB!$F$14:$F$64,RAB!$C$14:$C$64,C246)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SUMIFS(RAB!$F$14:$F$64,RAB!$C$14:$C$64,C247)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SUMIFS(RAB!$F$14:$F$64,RAB!$C$14:$C$64,C248)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SUMIFS(RAB!$F$14:$F$64,RAB!$C$14:$C$64,C249)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SUMIFS(RAB!$F$14:$F$64,RAB!$C$14:$C$64,C250)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SUMIFS(RAB!$F$14:$F$64,RAB!$C$14:$C$64,C251)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SUMIFS(RAB!$F$14:$F$64,RAB!$C$14:$C$64,C252)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SUMIFS(RAB!$F$14:$F$64,RAB!$C$14:$C$64,C253)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SUMIFS(RAB!$F$14:$F$64,RAB!$C$14:$C$64,C254)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SUMIFS(RAB!$F$14:$F$64,RAB!$C$14:$C$64,C255)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SUMIFS(RAB!$F$14:$F$64,RAB!$C$14:$C$64,C256)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SUMIFS(RAB!$F$14:$F$64,RAB!$C$14:$C$64,C257)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SUMIFS(RAB!$F$14:$F$64,RAB!$C$14:$C$64,C258)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SUMIFS(RAB!$F$14:$F$64,RAB!$C$14:$C$64,C259)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SUMIFS(RAB!$F$14:$F$64,RAB!$C$14:$C$64,C260)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SUMIFS(RAB!$F$14:$F$64,RAB!$C$14:$C$64,C261)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SUMIFS(RAB!$F$14:$F$64,RAB!$C$14:$C$64,C262)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SUMIFS(RAB!$F$14:$F$64,RAB!$C$14:$C$64,C263)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SUMIFS(RAB!$F$14:$F$64,RAB!$C$14:$C$64,C264)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SUMIFS(RAB!$F$14:$F$64,RAB!$C$14:$C$64,C265)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SUMIFS(RAB!$F$14:$F$64,RAB!$C$14:$C$64,C266)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SUMIFS(RAB!$F$14:$F$64,RAB!$C$14:$C$64,C267)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SUMIFS(RAB!$F$14:$F$64,RAB!$C$14:$C$64,C268)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SUMIFS(RAB!$F$14:$F$64,RAB!$C$14:$C$64,C269)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SUMIFS(RAB!$F$14:$F$64,RAB!$C$14:$C$64,C270)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SUMIFS(RAB!$F$14:$F$64,RAB!$C$14:$C$64,C271)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SUMIFS(RAB!$F$14:$F$64,RAB!$C$14:$C$64,C272)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SUMIFS(RAB!$F$14:$F$64,RAB!$C$14:$C$64,C273)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SUMIFS(RAB!$F$14:$F$64,RAB!$C$14:$C$64,C274)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SUMIFS(RAB!$F$14:$F$64,RAB!$C$14:$C$64,C275)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SUMIFS(RAB!$F$14:$F$64,RAB!$C$14:$C$64,C276)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SUMIFS(RAB!$F$14:$F$64,RAB!$C$14:$C$64,C277)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SUMIFS(RAB!$F$14:$F$64,RAB!$C$14:$C$64,C278)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SUMIFS(RAB!$F$14:$F$64,RAB!$C$14:$C$64,C279)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SUMIFS(RAB!$F$14:$F$64,RAB!$C$14:$C$64,C280)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SUMIFS(RAB!$F$14:$F$64,RAB!$C$14:$C$64,C281)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SUMIFS(RAB!$F$14:$F$64,RAB!$C$14:$C$64,C282)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SUMIFS(RAB!$F$14:$F$64,RAB!$C$14:$C$64,C283)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SUMIFS(RAB!$F$14:$F$64,RAB!$C$14:$C$64,C284)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SUMIFS(RAB!$F$14:$F$64,RAB!$C$14:$C$64,C285)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SUMIFS(RAB!$F$14:$F$64,RAB!$C$14:$C$64,C286)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SUMIFS(RAB!$F$14:$F$64,RAB!$C$14:$C$64,C287)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SUMIFS(RAB!$F$14:$F$64,RAB!$C$14:$C$64,C288)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SUMIFS(RAB!$F$14:$F$64,RAB!$C$14:$C$64,C289)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SUMIFS(RAB!$F$14:$F$64,RAB!$C$14:$C$64,C290)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SUMIFS(RAB!$F$14:$F$64,RAB!$C$14:$C$64,C291)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SUMIFS(RAB!$F$14:$F$64,RAB!$C$14:$C$64,C292)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SUMIFS(RAB!$F$14:$F$64,RAB!$C$14:$C$64,C293)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SUMIFS(RAB!$F$14:$F$64,RAB!$C$14:$C$64,C294)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SUMIFS(RAB!$F$14:$F$64,RAB!$C$14:$C$64,C295)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SUMIFS(RAB!$F$14:$F$64,RAB!$C$14:$C$64,C296)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SUMIFS(RAB!$F$14:$F$64,RAB!$C$14:$C$64,C297)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SUMIFS(RAB!$F$14:$F$64,RAB!$C$14:$C$64,C298)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SUMIFS(RAB!$F$14:$F$64,RAB!$C$14:$C$64,C299)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SUMIFS(RAB!$F$14:$F$64,RAB!$C$14:$C$64,C300)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SUMIFS(RAB!$F$14:$F$64,RAB!$C$14:$C$64,C301)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SUMIFS(RAB!$F$14:$F$64,RAB!$C$14:$C$64,C302)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SUMIFS(RAB!$F$14:$F$64,RAB!$C$14:$C$64,C303)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SUMIFS(RAB!$F$14:$F$64,RAB!$C$14:$C$64,C304)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SUMIFS(RAB!$F$14:$F$64,RAB!$C$14:$C$64,C305)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SUMIFS(RAB!$F$14:$F$64,RAB!$C$14:$C$64,C306)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SUMIFS(RAB!$F$14:$F$64,RAB!$C$14:$C$64,C307)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SUMIFS(RAB!$F$14:$F$64,RAB!$C$14:$C$64,C308)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SUMIFS(RAB!$F$14:$F$64,RAB!$C$14:$C$64,C309)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SUMIFS(RAB!$F$14:$F$64,RAB!$C$14:$C$64,C310)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SUMIFS(RAB!$F$14:$F$64,RAB!$C$14:$C$64,C311)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SUMIFS(RAB!$F$14:$F$64,RAB!$C$14:$C$64,C312)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SUMIFS(RAB!$F$14:$F$64,RAB!$C$14:$C$64,C313)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SUMIFS(RAB!$F$14:$F$64,RAB!$C$14:$C$64,C314)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SUMIFS(RAB!$F$14:$F$64,RAB!$C$14:$C$64,C315)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SUMIFS(RAB!$F$14:$F$64,RAB!$C$14:$C$64,C316)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SUMIFS(RAB!$F$14:$F$64,RAB!$C$14:$C$64,C317)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SUMIFS(RAB!$F$14:$F$64,RAB!$C$14:$C$64,C318)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SUMIFS(RAB!$F$14:$F$64,RAB!$C$14:$C$64,C319)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SUMIFS(RAB!$F$14:$F$64,RAB!$C$14:$C$64,C320)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SUMIFS(RAB!$F$14:$F$64,RAB!$C$14:$C$64,C321)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SUMIFS(RAB!$F$14:$F$64,RAB!$C$14:$C$64,C322)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SUMIFS(RAB!$F$14:$F$64,RAB!$C$14:$C$64,C323)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SUMIFS(RAB!$F$14:$F$64,RAB!$C$14:$C$64,C324)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SUMIFS(RAB!$F$14:$F$64,RAB!$C$14:$C$64,C325)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SUMIFS(RAB!$F$14:$F$64,RAB!$C$14:$C$64,C326)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SUMIFS(RAB!$F$14:$F$64,RAB!$C$14:$C$64,C327)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SUMIFS(RAB!$F$14:$F$64,RAB!$C$14:$C$64,C328)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SUMIFS(RAB!$F$14:$F$64,RAB!$C$14:$C$64,C329)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SUMIFS(RAB!$F$14:$F$64,RAB!$C$14:$C$64,C330)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SUMIFS(RAB!$F$14:$F$64,RAB!$C$14:$C$64,C331)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SUMIFS(RAB!$F$14:$F$64,RAB!$C$14:$C$64,C332)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SUMIFS(RAB!$F$14:$F$64,RAB!$C$14:$C$64,C333)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SUMIFS(RAB!$F$14:$F$64,RAB!$C$14:$C$64,C334)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SUMIFS(RAB!$F$14:$F$64,RAB!$C$14:$C$64,C335)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SUMIFS(RAB!$F$14:$F$64,RAB!$C$14:$C$64,C336)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SUMIFS(RAB!$F$14:$F$64,RAB!$C$14:$C$64,C337)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SUMIFS(RAB!$F$14:$F$64,RAB!$C$14:$C$64,C338)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SUMIFS(RAB!$F$14:$F$64,RAB!$C$14:$C$64,C339)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SUMIFS(RAB!$F$14:$F$64,RAB!$C$14:$C$64,C340)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SUMIFS(RAB!$F$14:$F$64,RAB!$C$14:$C$64,C341)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SUMIFS(RAB!$F$14:$F$64,RAB!$C$14:$C$64,C342)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SUMIFS(RAB!$F$14:$F$64,RAB!$C$14:$C$64,C343)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SUMIFS(RAB!$F$14:$F$64,RAB!$C$14:$C$64,C344)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SUMIFS(RAB!$F$14:$F$64,RAB!$C$14:$C$64,C345)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SUMIFS(RAB!$F$14:$F$64,RAB!$C$14:$C$64,C346)</f>
        <v>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SUMIFS(RAB!$F$14:$F$64,RAB!$C$14:$C$64,C347)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SUMIFS(RAB!$F$14:$F$64,RAB!$C$14:$C$64,C348)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SUMIFS(RAB!$F$14:$F$64,RAB!$C$14:$C$64,C349)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SUMIFS(RAB!$F$14:$F$64,RAB!$C$14:$C$64,C350)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SUMIFS(RAB!$F$14:$F$64,RAB!$C$14:$C$64,C351)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SUMIFS(RAB!$F$14:$F$64,RAB!$C$14:$C$64,C352)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SUMIFS(RAB!$F$14:$F$64,RAB!$C$14:$C$64,C353)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SUMIFS(RAB!$F$14:$F$64,RAB!$C$14:$C$64,C354)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SUMIFS(RAB!$F$14:$F$64,RAB!$C$14:$C$64,C355)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SUMIFS(RAB!$F$14:$F$64,RAB!$C$14:$C$64,C356)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SUMIFS(RAB!$F$14:$F$64,RAB!$C$14:$C$64,C357)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SUMIFS(RAB!$F$14:$F$64,RAB!$C$14:$C$64,C358)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SUMIFS(RAB!$F$14:$F$64,RAB!$C$14:$C$64,C359)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SUMIFS(RAB!$F$14:$F$64,RAB!$C$14:$C$64,C360)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SUMIFS(RAB!$F$14:$F$64,RAB!$C$14:$C$64,C361)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SUMIFS(RAB!$F$14:$F$64,RAB!$C$14:$C$64,C362)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SUMIFS(RAB!$F$14:$F$64,RAB!$C$14:$C$64,C363)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SUMIFS(RAB!$F$14:$F$64,RAB!$C$14:$C$64,C364)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SUMIFS(RAB!$F$14:$F$64,RAB!$C$14:$C$64,C365)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SUMIFS(RAB!$F$14:$F$64,RAB!$C$14:$C$64,C366)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SUMIFS(RAB!$F$14:$F$64,RAB!$C$14:$C$64,C367)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SUMIFS(RAB!$F$14:$F$64,RAB!$C$14:$C$64,C368)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SUMIFS(RAB!$F$14:$F$64,RAB!$C$14:$C$64,C369)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SUMIFS(RAB!$F$14:$F$64,RAB!$C$14:$C$64,C370)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SUMIFS(RAB!$F$14:$F$64,RAB!$C$14:$C$64,C371)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SUMIFS(RAB!$F$14:$F$64,RAB!$C$14:$C$64,C372)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SUMIFS(RAB!$F$14:$F$64,RAB!$C$14:$C$64,C373)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2" activePane="bottomRight" state="frozen"/>
      <selection activeCell="D209" sqref="D209"/>
      <selection pane="topRight" activeCell="D209" sqref="D209"/>
      <selection pane="bottomLeft" activeCell="D209" sqref="D209"/>
      <selection pane="bottomRight" activeCell="C95" sqref="C9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1609</v>
      </c>
      <c r="G4" s="108" t="s">
        <v>1608</v>
      </c>
      <c r="H4" s="55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9" t="s">
        <v>1454</v>
      </c>
      <c r="C2" s="589"/>
      <c r="D2" s="589"/>
      <c r="E2" s="58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4" t="s">
        <v>1532</v>
      </c>
      <c r="C4" s="595"/>
      <c r="D4" s="595"/>
      <c r="E4" s="596"/>
      <c r="F4" s="440"/>
      <c r="G4" s="440"/>
      <c r="H4" s="441"/>
      <c r="I4" s="558" t="s">
        <v>1533</v>
      </c>
      <c r="J4" s="559"/>
      <c r="K4" s="559"/>
      <c r="L4" s="560"/>
    </row>
    <row r="5" spans="1:12" ht="34.5" customHeight="1">
      <c r="A5" s="204"/>
      <c r="B5" s="443" t="s">
        <v>1379</v>
      </c>
      <c r="C5" s="277" t="s">
        <v>9</v>
      </c>
      <c r="D5" s="590" t="str">
        <f>DATA!D14</f>
        <v>FT WISMA HALIM</v>
      </c>
      <c r="E5" s="591"/>
      <c r="F5" s="208"/>
      <c r="G5" s="208"/>
      <c r="I5" s="444" t="s">
        <v>1379</v>
      </c>
      <c r="J5" s="277" t="s">
        <v>9</v>
      </c>
      <c r="K5" s="561" t="str">
        <f>D5</f>
        <v>FT WISMA HALIM</v>
      </c>
      <c r="L5" s="562"/>
    </row>
    <row r="6" spans="1:12" ht="31.5" customHeight="1">
      <c r="A6" s="204"/>
      <c r="B6" s="443" t="s">
        <v>1529</v>
      </c>
      <c r="C6" s="277" t="s">
        <v>9</v>
      </c>
      <c r="D6" s="599">
        <f>DATA!D17*1000</f>
        <v>0</v>
      </c>
      <c r="E6" s="600"/>
      <c r="F6" s="208"/>
      <c r="G6" s="208"/>
      <c r="I6" s="444" t="s">
        <v>1530</v>
      </c>
      <c r="J6" s="277" t="s">
        <v>9</v>
      </c>
      <c r="K6" s="563">
        <f>DATA!D20*1000</f>
        <v>41500</v>
      </c>
      <c r="L6" s="564"/>
    </row>
    <row r="7" spans="1:12" ht="30.75" customHeight="1">
      <c r="A7" s="204"/>
      <c r="B7" s="443" t="s">
        <v>1441</v>
      </c>
      <c r="C7" s="277" t="s">
        <v>9</v>
      </c>
      <c r="D7" s="597">
        <f>DATA!D18</f>
        <v>1</v>
      </c>
      <c r="E7" s="598"/>
      <c r="F7" s="442" t="s">
        <v>1453</v>
      </c>
      <c r="I7" s="444" t="s">
        <v>1441</v>
      </c>
      <c r="J7" s="277" t="s">
        <v>9</v>
      </c>
      <c r="K7" s="565">
        <f>DATA!D21</f>
        <v>3</v>
      </c>
      <c r="L7" s="566"/>
    </row>
    <row r="8" spans="1:12" ht="51" customHeight="1">
      <c r="A8" s="204"/>
      <c r="B8" s="443" t="s">
        <v>1442</v>
      </c>
      <c r="C8" s="277" t="s">
        <v>9</v>
      </c>
      <c r="D8" s="597">
        <f>DATA!D19</f>
        <v>220</v>
      </c>
      <c r="E8" s="598"/>
      <c r="F8" s="442" t="s">
        <v>1453</v>
      </c>
      <c r="G8" s="437">
        <v>220</v>
      </c>
      <c r="I8" s="444" t="s">
        <v>1442</v>
      </c>
      <c r="J8" s="277" t="s">
        <v>9</v>
      </c>
      <c r="K8" s="565">
        <f>DATA!D22</f>
        <v>380</v>
      </c>
      <c r="L8" s="566"/>
    </row>
    <row r="9" spans="1:12" ht="30" customHeight="1" thickBot="1">
      <c r="A9" s="204"/>
      <c r="B9" s="449" t="s">
        <v>1541</v>
      </c>
      <c r="C9" s="439" t="s">
        <v>9</v>
      </c>
      <c r="D9" s="592">
        <f>IF(D7=1,D6/(380/3^0.5),(D6/(380*3^0.5)))</f>
        <v>0</v>
      </c>
      <c r="E9" s="593"/>
      <c r="F9" s="207"/>
      <c r="G9" s="438">
        <v>380</v>
      </c>
      <c r="I9" s="450" t="s">
        <v>1541</v>
      </c>
      <c r="J9" s="439" t="s">
        <v>9</v>
      </c>
      <c r="K9" s="569">
        <f>IF(K7=1,K6/(380/3^0.5),(K6/(380*3^0.5)))</f>
        <v>63.052726766761765</v>
      </c>
      <c r="L9" s="570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601"/>
      <c r="E12" s="602"/>
      <c r="F12" s="208"/>
      <c r="G12" s="208"/>
      <c r="I12" s="466" t="s">
        <v>1534</v>
      </c>
      <c r="J12" s="467" t="s">
        <v>9</v>
      </c>
      <c r="K12" s="601"/>
      <c r="L12" s="602"/>
    </row>
    <row r="13" spans="1:12" ht="31.5" customHeight="1">
      <c r="A13" s="204"/>
      <c r="B13" s="474" t="s">
        <v>1380</v>
      </c>
      <c r="C13" s="454" t="s">
        <v>9</v>
      </c>
      <c r="D13" s="567"/>
      <c r="E13" s="568"/>
      <c r="F13" s="208"/>
      <c r="G13" s="208"/>
      <c r="I13" s="468" t="s">
        <v>1380</v>
      </c>
      <c r="J13" s="454" t="s">
        <v>9</v>
      </c>
      <c r="K13" s="567"/>
      <c r="L13" s="568"/>
    </row>
    <row r="14" spans="1:12" ht="30.75" customHeight="1">
      <c r="A14" s="204"/>
      <c r="B14" s="474" t="s">
        <v>1535</v>
      </c>
      <c r="C14" s="454" t="s">
        <v>9</v>
      </c>
      <c r="D14" s="571">
        <v>50</v>
      </c>
      <c r="E14" s="572"/>
      <c r="F14" s="442" t="s">
        <v>1453</v>
      </c>
      <c r="G14" s="446">
        <v>50</v>
      </c>
      <c r="I14" s="468" t="s">
        <v>1535</v>
      </c>
      <c r="J14" s="454" t="s">
        <v>9</v>
      </c>
      <c r="K14" s="573">
        <v>50</v>
      </c>
      <c r="L14" s="574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75">
        <f>63+10</f>
        <v>73</v>
      </c>
      <c r="E16" s="576"/>
      <c r="F16" s="442"/>
      <c r="G16" s="446">
        <v>160</v>
      </c>
      <c r="I16" s="468" t="s">
        <v>1537</v>
      </c>
      <c r="J16" s="454" t="s">
        <v>9</v>
      </c>
      <c r="K16" s="579">
        <f>K9</f>
        <v>63.052726766761765</v>
      </c>
      <c r="L16" s="580"/>
    </row>
    <row r="17" spans="1:12" ht="34.5" customHeight="1">
      <c r="A17" s="204"/>
      <c r="B17" s="474" t="s">
        <v>1538</v>
      </c>
      <c r="C17" s="454" t="s">
        <v>9</v>
      </c>
      <c r="D17" s="577">
        <f>IF(D15=1,D14/(20/3^0.5),(D14/(20*3^0.5)))</f>
        <v>1.4433756729740645</v>
      </c>
      <c r="E17" s="578"/>
      <c r="F17" s="442" t="s">
        <v>1453</v>
      </c>
      <c r="G17" s="447">
        <v>200</v>
      </c>
      <c r="I17" s="468" t="s">
        <v>1538</v>
      </c>
      <c r="J17" s="454" t="s">
        <v>9</v>
      </c>
      <c r="K17" s="583">
        <f>IF(K15=1,K14/(20/3^0.5),(K14/(20*3^0.5)))</f>
        <v>1.4433756729740645</v>
      </c>
      <c r="L17" s="584"/>
    </row>
    <row r="18" spans="1:12" ht="34.5" customHeight="1">
      <c r="A18" s="204"/>
      <c r="B18" s="474" t="s">
        <v>1539</v>
      </c>
      <c r="C18" s="454" t="s">
        <v>9</v>
      </c>
      <c r="D18" s="577">
        <f>IF(D15=1,D14/(380/3^0.5),(D14/(380*3^0.5)))*1000</f>
        <v>75.96714068284551</v>
      </c>
      <c r="E18" s="578"/>
      <c r="F18" s="442" t="s">
        <v>1453</v>
      </c>
      <c r="G18" s="447">
        <v>250</v>
      </c>
      <c r="I18" s="468" t="s">
        <v>1539</v>
      </c>
      <c r="J18" s="454" t="s">
        <v>9</v>
      </c>
      <c r="K18" s="583">
        <f>IF(K15=1,K14/(380/3^0.5),(K14/(380*3^0.5)))*1000</f>
        <v>75.96714068284551</v>
      </c>
      <c r="L18" s="584"/>
    </row>
    <row r="19" spans="1:12" ht="30" customHeight="1">
      <c r="A19" s="204"/>
      <c r="B19" s="475" t="s">
        <v>1531</v>
      </c>
      <c r="C19" s="453" t="s">
        <v>9</v>
      </c>
      <c r="D19" s="577">
        <f>IF(D15=1,D14/(380/3^0.5),(D14/(380*3^0.5)))</f>
        <v>7.5967140682845505E-2</v>
      </c>
      <c r="E19" s="578"/>
      <c r="F19" s="207"/>
      <c r="G19" s="438"/>
      <c r="I19" s="470" t="s">
        <v>1531</v>
      </c>
      <c r="J19" s="453" t="s">
        <v>9</v>
      </c>
      <c r="K19" s="583">
        <f>IF(K15=1,K14/(380/3^0.5),(K14/(380*3^0.5)))</f>
        <v>7.5967140682845505E-2</v>
      </c>
      <c r="L19" s="584"/>
    </row>
    <row r="20" spans="1:12" ht="30" customHeight="1" thickBot="1">
      <c r="A20" s="204"/>
      <c r="B20" s="476" t="s">
        <v>1540</v>
      </c>
      <c r="C20" s="472" t="s">
        <v>9</v>
      </c>
      <c r="D20" s="603">
        <f>D16/D18</f>
        <v>0.96094178803921293</v>
      </c>
      <c r="E20" s="604"/>
      <c r="F20" s="207"/>
      <c r="G20" s="438"/>
      <c r="I20" s="471" t="s">
        <v>1531</v>
      </c>
      <c r="J20" s="472" t="s">
        <v>9</v>
      </c>
      <c r="K20" s="581">
        <f>K16/K18</f>
        <v>0.82999999999999985</v>
      </c>
      <c r="L20" s="582"/>
    </row>
    <row r="21" spans="1:12" ht="9.75" customHeight="1">
      <c r="A21" s="204"/>
      <c r="B21" s="461" t="s">
        <v>1540</v>
      </c>
      <c r="C21" s="462" t="s">
        <v>9</v>
      </c>
      <c r="D21" s="588">
        <v>1</v>
      </c>
      <c r="E21" s="588"/>
      <c r="F21" s="463"/>
      <c r="G21" s="464"/>
      <c r="H21" s="465"/>
      <c r="I21" s="461" t="s">
        <v>1531</v>
      </c>
      <c r="J21" s="462" t="s">
        <v>9</v>
      </c>
      <c r="K21" s="588">
        <v>1</v>
      </c>
      <c r="L21" s="588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85"/>
      <c r="C24" s="586"/>
      <c r="D24" s="586"/>
      <c r="E24" s="587"/>
      <c r="I24" s="585"/>
      <c r="J24" s="586"/>
      <c r="K24" s="586"/>
      <c r="L24" s="587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41.5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40213500</v>
      </c>
    </row>
    <row r="10" spans="2:11" ht="20.100000000000001" customHeight="1">
      <c r="B10" s="291" t="s">
        <v>1446</v>
      </c>
      <c r="C10" s="292" t="s">
        <v>9</v>
      </c>
      <c r="D10" s="298">
        <f ca="1">RAB!K70</f>
        <v>84922361.519999996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1698447.2304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1628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1626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/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41.5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26" sqref="K2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3" t="s">
        <v>1357</v>
      </c>
      <c r="C3" s="613"/>
      <c r="D3" s="613"/>
      <c r="E3" s="613"/>
      <c r="F3" s="305" t="str">
        <f>DATA!D14</f>
        <v>FT WISMA HALIM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7" t="s">
        <v>1349</v>
      </c>
      <c r="C5" s="607" t="s">
        <v>1358</v>
      </c>
      <c r="D5" s="612" t="s">
        <v>1359</v>
      </c>
      <c r="E5" s="612" t="s">
        <v>1360</v>
      </c>
      <c r="F5" s="607" t="s">
        <v>1361</v>
      </c>
      <c r="G5" s="607"/>
      <c r="H5" s="607"/>
      <c r="I5" s="607"/>
      <c r="J5" s="607"/>
      <c r="K5" s="607" t="s">
        <v>1362</v>
      </c>
      <c r="L5" s="607"/>
      <c r="M5" s="307"/>
      <c r="N5" s="610" t="s">
        <v>1363</v>
      </c>
      <c r="O5" s="612" t="s">
        <v>1364</v>
      </c>
      <c r="P5" s="612" t="s">
        <v>1365</v>
      </c>
      <c r="Q5" s="612" t="s">
        <v>1366</v>
      </c>
      <c r="R5" s="308"/>
      <c r="S5" s="309"/>
      <c r="T5" s="608" t="s">
        <v>1367</v>
      </c>
      <c r="U5" s="310"/>
    </row>
    <row r="6" spans="1:21" ht="20.100000000000001" customHeight="1">
      <c r="B6" s="607"/>
      <c r="C6" s="607"/>
      <c r="D6" s="607"/>
      <c r="E6" s="60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1"/>
      <c r="O6" s="607"/>
      <c r="P6" s="607"/>
      <c r="Q6" s="607"/>
      <c r="R6" s="308"/>
      <c r="S6" s="309"/>
      <c r="T6" s="607"/>
      <c r="U6" s="312"/>
    </row>
    <row r="7" spans="1:21" ht="20.100000000000001" customHeight="1">
      <c r="A7" s="313">
        <v>0</v>
      </c>
      <c r="B7" s="314">
        <v>2023</v>
      </c>
      <c r="C7" s="477">
        <f>DATA!D8*DATA!D26*8</f>
        <v>13280</v>
      </c>
      <c r="D7" s="316">
        <f>C7*4/24</f>
        <v>2213.3333333333335</v>
      </c>
      <c r="E7" s="316">
        <f>C7-D7</f>
        <v>11066.666666666666</v>
      </c>
      <c r="F7" s="317">
        <f ca="1">DATA!D10/1000000</f>
        <v>84.922361519999995</v>
      </c>
      <c r="G7" s="318">
        <f ca="1">DATA!$D$11/1000000</f>
        <v>1.6984472304</v>
      </c>
      <c r="H7" s="318">
        <f>C7*DATA!$D$5/1000000</f>
        <v>14.397180609373835</v>
      </c>
      <c r="I7" s="318">
        <f>(C7*DATA!$D$5*DATA!$D$7)/1000000</f>
        <v>0.32393656371091134</v>
      </c>
      <c r="J7" s="316">
        <f ca="1">SUM(F7:I7)</f>
        <v>101.34192592348475</v>
      </c>
      <c r="K7" s="319">
        <f>DATA!D9/1000000</f>
        <v>40.213500000000003</v>
      </c>
      <c r="L7" s="316">
        <f>((D7*DATA!$D$23)/1000000)+((E7*DATA!$D$24)/1000000)</f>
        <v>19.185616</v>
      </c>
      <c r="M7" s="316">
        <f>K7+L7</f>
        <v>59.399116000000006</v>
      </c>
      <c r="N7" s="316">
        <f ca="1">M7-J7</f>
        <v>-41.942809923484745</v>
      </c>
      <c r="O7" s="314">
        <v>1</v>
      </c>
      <c r="P7" s="316">
        <f ca="1">O7*N7</f>
        <v>-41.942809923484745</v>
      </c>
      <c r="Q7" s="316">
        <f ca="1">P7</f>
        <v>-41.942809923484745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19920</v>
      </c>
      <c r="D8" s="316">
        <f>C8*4/24</f>
        <v>3320</v>
      </c>
      <c r="E8" s="316">
        <f t="shared" ref="E8:E32" si="0">C8-D8</f>
        <v>16600</v>
      </c>
      <c r="F8" s="314"/>
      <c r="G8" s="318">
        <f ca="1">DATA!$D$11/1000000</f>
        <v>1.6984472304</v>
      </c>
      <c r="H8" s="318">
        <f>C8*DATA!$D$5/1000000</f>
        <v>21.595770914060758</v>
      </c>
      <c r="I8" s="318">
        <f>(C8*DATA!$D$5*DATA!$D$7)/1000000</f>
        <v>0.48590484556636704</v>
      </c>
      <c r="J8" s="316">
        <f t="shared" ref="J8:J32" ca="1" si="1">SUM(F8:I8)</f>
        <v>23.780122990027124</v>
      </c>
      <c r="K8" s="321"/>
      <c r="L8" s="316">
        <f>((D8*DATA!$D$23)/1000000)+((E8*DATA!$D$24)/1000000)</f>
        <v>28.778423999999998</v>
      </c>
      <c r="M8" s="316">
        <f t="shared" ref="M8:M32" si="2">K8+L8</f>
        <v>28.778423999999998</v>
      </c>
      <c r="N8" s="316">
        <f ca="1">M8-J8</f>
        <v>4.9983010099728737</v>
      </c>
      <c r="O8" s="315">
        <f>1/(1+'[93]Asumsi I'!$C$3)^(KKF!A8)</f>
        <v>0.89285714285714279</v>
      </c>
      <c r="P8" s="316">
        <f ca="1">O8*N8</f>
        <v>4.4627687589043514</v>
      </c>
      <c r="Q8" s="316">
        <f ca="1">Q7+P8</f>
        <v>-37.480041164580392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19920</v>
      </c>
      <c r="D9" s="316">
        <f t="shared" ref="D9:D32" si="5">C9*4/24</f>
        <v>3320</v>
      </c>
      <c r="E9" s="316">
        <f t="shared" si="0"/>
        <v>16600</v>
      </c>
      <c r="F9" s="314"/>
      <c r="G9" s="318">
        <f ca="1">DATA!$D$11/1000000</f>
        <v>1.6984472304</v>
      </c>
      <c r="H9" s="318">
        <f>C9*DATA!$D$5/1000000</f>
        <v>21.595770914060758</v>
      </c>
      <c r="I9" s="318">
        <f>(C9*DATA!$D$5*DATA!$D$7)/1000000</f>
        <v>0.48590484556636704</v>
      </c>
      <c r="J9" s="316">
        <f t="shared" ca="1" si="1"/>
        <v>23.780122990027124</v>
      </c>
      <c r="K9" s="316"/>
      <c r="L9" s="316">
        <f>((D9*DATA!$D$23)/1000000)+((E9*DATA!$D$24)/1000000)</f>
        <v>28.778423999999998</v>
      </c>
      <c r="M9" s="316">
        <f t="shared" si="2"/>
        <v>28.778423999999998</v>
      </c>
      <c r="N9" s="316">
        <f t="shared" ref="N9:N32" ca="1" si="6">M9-J9</f>
        <v>4.9983010099728737</v>
      </c>
      <c r="O9" s="322">
        <f>1/(1+'[93]Asumsi I'!$C$3)^(KKF!A9)</f>
        <v>0.79719387755102034</v>
      </c>
      <c r="P9" s="316">
        <f t="shared" ref="P9:P32" ca="1" si="7">O9*N9</f>
        <v>3.9846149633074566</v>
      </c>
      <c r="Q9" s="316">
        <f ca="1">Q8+P9</f>
        <v>-33.495426201272934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19920</v>
      </c>
      <c r="D10" s="316">
        <f t="shared" si="5"/>
        <v>3320</v>
      </c>
      <c r="E10" s="316">
        <f t="shared" si="0"/>
        <v>16600</v>
      </c>
      <c r="F10" s="314"/>
      <c r="G10" s="318">
        <f ca="1">DATA!$D$11/1000000</f>
        <v>1.6984472304</v>
      </c>
      <c r="H10" s="318">
        <f>C10*DATA!$D$5/1000000</f>
        <v>21.595770914060758</v>
      </c>
      <c r="I10" s="318">
        <f>(C10*DATA!$D$5*DATA!$D$7)/1000000</f>
        <v>0.48590484556636704</v>
      </c>
      <c r="J10" s="316">
        <f t="shared" ca="1" si="1"/>
        <v>23.780122990027124</v>
      </c>
      <c r="K10" s="314"/>
      <c r="L10" s="316">
        <f>((D10*DATA!$D$23)/1000000)+((E10*DATA!$D$24)/1000000)</f>
        <v>28.778423999999998</v>
      </c>
      <c r="M10" s="316">
        <f t="shared" si="2"/>
        <v>28.778423999999998</v>
      </c>
      <c r="N10" s="316">
        <f t="shared" ca="1" si="6"/>
        <v>4.9983010099728737</v>
      </c>
      <c r="O10" s="315">
        <f>1/(1+'[93]Asumsi I'!$C$3)^(KKF!A10)</f>
        <v>0.71178024781341087</v>
      </c>
      <c r="P10" s="316">
        <f t="shared" ca="1" si="7"/>
        <v>3.5576919315245141</v>
      </c>
      <c r="Q10" s="316">
        <f t="shared" ref="Q10:Q30" ca="1" si="9">Q9+P10</f>
        <v>-29.937734269748422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19920</v>
      </c>
      <c r="D11" s="316">
        <f t="shared" si="5"/>
        <v>3320</v>
      </c>
      <c r="E11" s="316">
        <f t="shared" si="0"/>
        <v>16600</v>
      </c>
      <c r="F11" s="314"/>
      <c r="G11" s="318">
        <f ca="1">DATA!$D$11/1000000</f>
        <v>1.6984472304</v>
      </c>
      <c r="H11" s="318">
        <f>C11*DATA!$D$5/1000000</f>
        <v>21.595770914060758</v>
      </c>
      <c r="I11" s="318">
        <f>(C11*DATA!$D$5*DATA!$D$7)/1000000</f>
        <v>0.48590484556636704</v>
      </c>
      <c r="J11" s="316">
        <f t="shared" ca="1" si="1"/>
        <v>23.780122990027124</v>
      </c>
      <c r="K11" s="314"/>
      <c r="L11" s="316">
        <f>((D11*DATA!$D$23)/1000000)+((E11*DATA!$D$24)/1000000)</f>
        <v>28.778423999999998</v>
      </c>
      <c r="M11" s="316">
        <f t="shared" si="2"/>
        <v>28.778423999999998</v>
      </c>
      <c r="N11" s="316">
        <f t="shared" ca="1" si="6"/>
        <v>4.9983010099728737</v>
      </c>
      <c r="O11" s="315">
        <f>1/(1+'[93]Asumsi I'!$C$3)^(KKF!A11)</f>
        <v>0.63551807840483121</v>
      </c>
      <c r="P11" s="316">
        <f t="shared" ca="1" si="7"/>
        <v>3.1765106531468876</v>
      </c>
      <c r="Q11" s="316">
        <f t="shared" ca="1" si="9"/>
        <v>-26.761223616601534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19920</v>
      </c>
      <c r="D12" s="316">
        <f t="shared" si="5"/>
        <v>3320</v>
      </c>
      <c r="E12" s="316">
        <f t="shared" si="0"/>
        <v>16600</v>
      </c>
      <c r="F12" s="314"/>
      <c r="G12" s="318">
        <f ca="1">DATA!$D$11/1000000</f>
        <v>1.6984472304</v>
      </c>
      <c r="H12" s="318">
        <f>C12*DATA!$D$5/1000000</f>
        <v>21.595770914060758</v>
      </c>
      <c r="I12" s="318">
        <f>(C12*DATA!$D$5*DATA!$D$7)/1000000</f>
        <v>0.48590484556636704</v>
      </c>
      <c r="J12" s="316">
        <f t="shared" ca="1" si="1"/>
        <v>23.780122990027124</v>
      </c>
      <c r="K12" s="314"/>
      <c r="L12" s="316">
        <f>((D12*DATA!$D$23)/1000000)+((E12*DATA!$D$24)/1000000)</f>
        <v>28.778423999999998</v>
      </c>
      <c r="M12" s="316">
        <f t="shared" si="2"/>
        <v>28.778423999999998</v>
      </c>
      <c r="N12" s="316">
        <f t="shared" ca="1" si="6"/>
        <v>4.9983010099728737</v>
      </c>
      <c r="O12" s="315">
        <f>1/(1+'[93]Asumsi I'!$C$3)^(KKF!A12)</f>
        <v>0.56742685571859919</v>
      </c>
      <c r="P12" s="316">
        <f t="shared" ca="1" si="7"/>
        <v>2.8361702260240063</v>
      </c>
      <c r="Q12" s="316">
        <f t="shared" ca="1" si="9"/>
        <v>-23.925053390577528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19920</v>
      </c>
      <c r="D13" s="316">
        <f t="shared" si="5"/>
        <v>3320</v>
      </c>
      <c r="E13" s="316">
        <f t="shared" si="0"/>
        <v>16600</v>
      </c>
      <c r="F13" s="314"/>
      <c r="G13" s="318">
        <f ca="1">DATA!$D$11/1000000</f>
        <v>1.6984472304</v>
      </c>
      <c r="H13" s="318">
        <f>C13*DATA!$D$5/1000000</f>
        <v>21.595770914060758</v>
      </c>
      <c r="I13" s="318">
        <f>(C13*DATA!$D$5*DATA!$D$7)/1000000</f>
        <v>0.48590484556636704</v>
      </c>
      <c r="J13" s="316">
        <f t="shared" ca="1" si="1"/>
        <v>23.780122990027124</v>
      </c>
      <c r="K13" s="314"/>
      <c r="L13" s="316">
        <f>((D13*DATA!$D$23)/1000000)+((E13*DATA!$D$24)/1000000)</f>
        <v>28.778423999999998</v>
      </c>
      <c r="M13" s="316">
        <f t="shared" si="2"/>
        <v>28.778423999999998</v>
      </c>
      <c r="N13" s="316">
        <f t="shared" ca="1" si="6"/>
        <v>4.9983010099728737</v>
      </c>
      <c r="O13" s="315">
        <f>1/(1+'[93]Asumsi I'!$C$3)^(KKF!A13)</f>
        <v>0.50663112117732068</v>
      </c>
      <c r="P13" s="316">
        <f t="shared" ca="1" si="7"/>
        <v>2.5322948446642912</v>
      </c>
      <c r="Q13" s="316">
        <f t="shared" ca="1" si="9"/>
        <v>-21.392758545913235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19920</v>
      </c>
      <c r="D14" s="316">
        <f t="shared" si="5"/>
        <v>3320</v>
      </c>
      <c r="E14" s="316">
        <f t="shared" si="0"/>
        <v>16600</v>
      </c>
      <c r="F14" s="314"/>
      <c r="G14" s="318">
        <f ca="1">DATA!$D$11/1000000</f>
        <v>1.6984472304</v>
      </c>
      <c r="H14" s="318">
        <f>C14*DATA!$D$5/1000000</f>
        <v>21.595770914060758</v>
      </c>
      <c r="I14" s="318">
        <f>(C14*DATA!$D$5*DATA!$D$7)/1000000</f>
        <v>0.48590484556636704</v>
      </c>
      <c r="J14" s="316">
        <f t="shared" ca="1" si="1"/>
        <v>23.780122990027124</v>
      </c>
      <c r="K14" s="314"/>
      <c r="L14" s="316">
        <f>((D14*DATA!$D$23)/1000000)+((E14*DATA!$D$24)/1000000)</f>
        <v>28.778423999999998</v>
      </c>
      <c r="M14" s="316">
        <f t="shared" si="2"/>
        <v>28.778423999999998</v>
      </c>
      <c r="N14" s="316">
        <f t="shared" ca="1" si="6"/>
        <v>4.9983010099728737</v>
      </c>
      <c r="O14" s="315">
        <f>1/(1+'[93]Asumsi I'!$C$3)^(KKF!A14)</f>
        <v>0.45234921533689343</v>
      </c>
      <c r="P14" s="316">
        <f t="shared" ca="1" si="7"/>
        <v>2.2609775398788314</v>
      </c>
      <c r="Q14" s="316">
        <f t="shared" ca="1" si="9"/>
        <v>-19.131781006034405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19920</v>
      </c>
      <c r="D15" s="316">
        <f t="shared" si="5"/>
        <v>3320</v>
      </c>
      <c r="E15" s="316">
        <f t="shared" si="0"/>
        <v>16600</v>
      </c>
      <c r="F15" s="314"/>
      <c r="G15" s="318">
        <f ca="1">DATA!$D$11/1000000</f>
        <v>1.6984472304</v>
      </c>
      <c r="H15" s="318">
        <f>C15*DATA!$D$5/1000000</f>
        <v>21.595770914060758</v>
      </c>
      <c r="I15" s="318">
        <f>(C15*DATA!$D$5*DATA!$D$7)/1000000</f>
        <v>0.48590484556636704</v>
      </c>
      <c r="J15" s="316">
        <f t="shared" ca="1" si="1"/>
        <v>23.780122990027124</v>
      </c>
      <c r="K15" s="314"/>
      <c r="L15" s="316">
        <f>((D15*DATA!$D$23)/1000000)+((E15*DATA!$D$24)/1000000)</f>
        <v>28.778423999999998</v>
      </c>
      <c r="M15" s="316">
        <f t="shared" si="2"/>
        <v>28.778423999999998</v>
      </c>
      <c r="N15" s="316">
        <f t="shared" ca="1" si="6"/>
        <v>4.9983010099728737</v>
      </c>
      <c r="O15" s="315">
        <f>1/(1+'[93]Asumsi I'!$C$3)^(KKF!A15)</f>
        <v>0.4038832279793691</v>
      </c>
      <c r="P15" s="316">
        <f t="shared" ca="1" si="7"/>
        <v>2.0187299463203852</v>
      </c>
      <c r="Q15" s="316">
        <f t="shared" ca="1" si="9"/>
        <v>-17.113051059714021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19920</v>
      </c>
      <c r="D16" s="316">
        <f t="shared" si="5"/>
        <v>3320</v>
      </c>
      <c r="E16" s="316">
        <f t="shared" si="0"/>
        <v>16600</v>
      </c>
      <c r="F16" s="314"/>
      <c r="G16" s="318">
        <f ca="1">DATA!$D$11/1000000</f>
        <v>1.6984472304</v>
      </c>
      <c r="H16" s="318">
        <f>C16*DATA!$D$5/1000000</f>
        <v>21.595770914060758</v>
      </c>
      <c r="I16" s="318">
        <f>(C16*DATA!$D$5*DATA!$D$7)/1000000</f>
        <v>0.48590484556636704</v>
      </c>
      <c r="J16" s="316">
        <f t="shared" ca="1" si="1"/>
        <v>23.780122990027124</v>
      </c>
      <c r="K16" s="314"/>
      <c r="L16" s="316">
        <f>((D16*DATA!$D$23)/1000000)+((E16*DATA!$D$24)/1000000)</f>
        <v>28.778423999999998</v>
      </c>
      <c r="M16" s="316">
        <f t="shared" si="2"/>
        <v>28.778423999999998</v>
      </c>
      <c r="N16" s="316">
        <f t="shared" ca="1" si="6"/>
        <v>4.9983010099728737</v>
      </c>
      <c r="O16" s="315">
        <f>1/(1+'[93]Asumsi I'!$C$3)^(KKF!A16)</f>
        <v>0.36061002498157957</v>
      </c>
      <c r="P16" s="316">
        <f t="shared" ca="1" si="7"/>
        <v>1.8024374520717723</v>
      </c>
      <c r="Q16" s="316">
        <f t="shared" ca="1" si="9"/>
        <v>-15.310613607642249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19920</v>
      </c>
      <c r="D17" s="316">
        <f t="shared" si="5"/>
        <v>3320</v>
      </c>
      <c r="E17" s="316">
        <f t="shared" si="0"/>
        <v>16600</v>
      </c>
      <c r="F17" s="314"/>
      <c r="G17" s="318">
        <f ca="1">DATA!$D$11/1000000</f>
        <v>1.6984472304</v>
      </c>
      <c r="H17" s="318">
        <f>C17*DATA!$D$5/1000000</f>
        <v>21.595770914060758</v>
      </c>
      <c r="I17" s="318">
        <f>(C17*DATA!$D$5*DATA!$D$7)/1000000</f>
        <v>0.48590484556636704</v>
      </c>
      <c r="J17" s="316">
        <f t="shared" ca="1" si="1"/>
        <v>23.780122990027124</v>
      </c>
      <c r="K17" s="314"/>
      <c r="L17" s="316">
        <f>((D17*DATA!$D$23)/1000000)+((E17*DATA!$D$24)/1000000)</f>
        <v>28.778423999999998</v>
      </c>
      <c r="M17" s="316">
        <f t="shared" si="2"/>
        <v>28.778423999999998</v>
      </c>
      <c r="N17" s="316">
        <f t="shared" ca="1" si="6"/>
        <v>4.9983010099728737</v>
      </c>
      <c r="O17" s="315">
        <f>1/(1+'[93]Asumsi I'!$C$3)^(KKF!A17)</f>
        <v>0.32197323659069599</v>
      </c>
      <c r="P17" s="316">
        <f t="shared" ca="1" si="7"/>
        <v>1.6093191536355107</v>
      </c>
      <c r="Q17" s="316">
        <f t="shared" ca="1" si="9"/>
        <v>-13.701294454006739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19920</v>
      </c>
      <c r="D18" s="316">
        <f t="shared" si="5"/>
        <v>3320</v>
      </c>
      <c r="E18" s="316">
        <f t="shared" si="0"/>
        <v>16600</v>
      </c>
      <c r="F18" s="314"/>
      <c r="G18" s="318">
        <f ca="1">DATA!$D$11/1000000</f>
        <v>1.6984472304</v>
      </c>
      <c r="H18" s="318">
        <f>C18*DATA!$D$5/1000000</f>
        <v>21.595770914060758</v>
      </c>
      <c r="I18" s="318">
        <f>(C18*DATA!$D$5*DATA!$D$7)/1000000</f>
        <v>0.48590484556636704</v>
      </c>
      <c r="J18" s="316">
        <f t="shared" ca="1" si="1"/>
        <v>23.780122990027124</v>
      </c>
      <c r="K18" s="314"/>
      <c r="L18" s="316">
        <f>((D18*DATA!$D$23)/1000000)+((E18*DATA!$D$24)/1000000)</f>
        <v>28.778423999999998</v>
      </c>
      <c r="M18" s="316">
        <f t="shared" si="2"/>
        <v>28.778423999999998</v>
      </c>
      <c r="N18" s="316">
        <f t="shared" ca="1" si="6"/>
        <v>4.9983010099728737</v>
      </c>
      <c r="O18" s="315">
        <f>1/(1+'[93]Asumsi I'!$C$3)^(KKF!A18)</f>
        <v>0.28747610409883567</v>
      </c>
      <c r="P18" s="316">
        <f t="shared" ca="1" si="7"/>
        <v>1.4368921014602773</v>
      </c>
      <c r="Q18" s="316">
        <f t="shared" ca="1" si="9"/>
        <v>-12.264402352546462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19920</v>
      </c>
      <c r="D19" s="316">
        <f t="shared" si="5"/>
        <v>3320</v>
      </c>
      <c r="E19" s="316">
        <f t="shared" si="0"/>
        <v>16600</v>
      </c>
      <c r="F19" s="314"/>
      <c r="G19" s="318">
        <f ca="1">DATA!$D$11/1000000</f>
        <v>1.6984472304</v>
      </c>
      <c r="H19" s="318">
        <f>C19*DATA!$D$5/1000000</f>
        <v>21.595770914060758</v>
      </c>
      <c r="I19" s="318">
        <f>(C19*DATA!$D$5*DATA!$D$7)/1000000</f>
        <v>0.48590484556636704</v>
      </c>
      <c r="J19" s="316">
        <f t="shared" ca="1" si="1"/>
        <v>23.780122990027124</v>
      </c>
      <c r="K19" s="314"/>
      <c r="L19" s="316">
        <f>((D19*DATA!$D$23)/1000000)+((E19*DATA!$D$24)/1000000)</f>
        <v>28.778423999999998</v>
      </c>
      <c r="M19" s="316">
        <f t="shared" si="2"/>
        <v>28.778423999999998</v>
      </c>
      <c r="N19" s="316">
        <f t="shared" ca="1" si="6"/>
        <v>4.9983010099728737</v>
      </c>
      <c r="O19" s="315">
        <f>1/(1+'[93]Asumsi I'!$C$3)^(KKF!A19)</f>
        <v>0.25667509294538904</v>
      </c>
      <c r="P19" s="316">
        <f t="shared" ca="1" si="7"/>
        <v>1.2829393763038193</v>
      </c>
      <c r="Q19" s="316">
        <f t="shared" ca="1" si="9"/>
        <v>-10.981462976242643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19920</v>
      </c>
      <c r="D20" s="316">
        <f t="shared" si="5"/>
        <v>3320</v>
      </c>
      <c r="E20" s="316">
        <f t="shared" si="0"/>
        <v>16600</v>
      </c>
      <c r="F20" s="314"/>
      <c r="G20" s="318">
        <f ca="1">DATA!$D$11/1000000</f>
        <v>1.6984472304</v>
      </c>
      <c r="H20" s="318">
        <f>C20*DATA!$D$5/1000000</f>
        <v>21.595770914060758</v>
      </c>
      <c r="I20" s="318">
        <f>(C20*DATA!$D$5*DATA!$D$7)/1000000</f>
        <v>0.48590484556636704</v>
      </c>
      <c r="J20" s="316">
        <f t="shared" ca="1" si="1"/>
        <v>23.780122990027124</v>
      </c>
      <c r="K20" s="314"/>
      <c r="L20" s="316">
        <f>((D20*DATA!$D$23)/1000000)+((E20*DATA!$D$24)/1000000)</f>
        <v>28.778423999999998</v>
      </c>
      <c r="M20" s="316">
        <f t="shared" si="2"/>
        <v>28.778423999999998</v>
      </c>
      <c r="N20" s="316">
        <f t="shared" ca="1" si="6"/>
        <v>4.9983010099728737</v>
      </c>
      <c r="O20" s="315">
        <f>1/(1+'[93]Asumsi I'!$C$3)^(KKF!A20)</f>
        <v>0.22917419012981158</v>
      </c>
      <c r="P20" s="316">
        <f t="shared" ca="1" si="7"/>
        <v>1.1454815859855525</v>
      </c>
      <c r="Q20" s="316">
        <f t="shared" ca="1" si="9"/>
        <v>-9.835981390257091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19920</v>
      </c>
      <c r="D21" s="316">
        <f t="shared" si="5"/>
        <v>3320</v>
      </c>
      <c r="E21" s="316">
        <f t="shared" si="0"/>
        <v>16600</v>
      </c>
      <c r="F21" s="314"/>
      <c r="G21" s="318">
        <f ca="1">DATA!$D$11/1000000</f>
        <v>1.6984472304</v>
      </c>
      <c r="H21" s="318">
        <f>C21*DATA!$D$5/1000000</f>
        <v>21.595770914060758</v>
      </c>
      <c r="I21" s="318">
        <f>(C21*DATA!$D$5*DATA!$D$7)/1000000</f>
        <v>0.48590484556636704</v>
      </c>
      <c r="J21" s="316">
        <f t="shared" ca="1" si="1"/>
        <v>23.780122990027124</v>
      </c>
      <c r="K21" s="314"/>
      <c r="L21" s="316">
        <f>((D21*DATA!$D$23)/1000000)+((E21*DATA!$D$24)/1000000)</f>
        <v>28.778423999999998</v>
      </c>
      <c r="M21" s="316">
        <f t="shared" si="2"/>
        <v>28.778423999999998</v>
      </c>
      <c r="N21" s="316">
        <f t="shared" ca="1" si="6"/>
        <v>4.9983010099728737</v>
      </c>
      <c r="O21" s="315">
        <f>1/(1+'[93]Asumsi I'!$C$3)^(KKF!A21)</f>
        <v>0.20461981261590317</v>
      </c>
      <c r="P21" s="316">
        <f t="shared" ca="1" si="7"/>
        <v>1.0227514160585289</v>
      </c>
      <c r="Q21" s="316">
        <f t="shared" ca="1" si="9"/>
        <v>-8.8132299741985616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19920</v>
      </c>
      <c r="D22" s="316">
        <f t="shared" si="5"/>
        <v>3320</v>
      </c>
      <c r="E22" s="316">
        <f t="shared" si="0"/>
        <v>16600</v>
      </c>
      <c r="F22" s="314"/>
      <c r="G22" s="318">
        <f ca="1">DATA!$D$11/1000000</f>
        <v>1.6984472304</v>
      </c>
      <c r="H22" s="318">
        <f>C22*DATA!$D$5/1000000</f>
        <v>21.595770914060758</v>
      </c>
      <c r="I22" s="318">
        <f>(C22*DATA!$D$5*DATA!$D$7)/1000000</f>
        <v>0.48590484556636704</v>
      </c>
      <c r="J22" s="316">
        <f t="shared" ca="1" si="1"/>
        <v>23.780122990027124</v>
      </c>
      <c r="K22" s="314"/>
      <c r="L22" s="316">
        <f>((D22*DATA!$D$23)/1000000)+((E22*DATA!$D$24)/1000000)</f>
        <v>28.778423999999998</v>
      </c>
      <c r="M22" s="316">
        <f t="shared" si="2"/>
        <v>28.778423999999998</v>
      </c>
      <c r="N22" s="316">
        <f t="shared" ca="1" si="6"/>
        <v>4.9983010099728737</v>
      </c>
      <c r="O22" s="315">
        <f>1/(1+'[93]Asumsi I'!$C$3)^(KKF!A22)</f>
        <v>0.18269626126419927</v>
      </c>
      <c r="P22" s="316">
        <f t="shared" ca="1" si="7"/>
        <v>0.91317090719511529</v>
      </c>
      <c r="Q22" s="316">
        <f t="shared" ca="1" si="9"/>
        <v>-7.9000590670034461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19920</v>
      </c>
      <c r="D23" s="316">
        <f t="shared" si="5"/>
        <v>3320</v>
      </c>
      <c r="E23" s="316">
        <f t="shared" si="0"/>
        <v>16600</v>
      </c>
      <c r="F23" s="314"/>
      <c r="G23" s="318">
        <f ca="1">DATA!$D$11/1000000</f>
        <v>1.6984472304</v>
      </c>
      <c r="H23" s="318">
        <f>C23*DATA!$D$5/1000000</f>
        <v>21.595770914060758</v>
      </c>
      <c r="I23" s="318">
        <f>(C23*DATA!$D$5*DATA!$D$7)/1000000</f>
        <v>0.48590484556636704</v>
      </c>
      <c r="J23" s="316">
        <f t="shared" ca="1" si="1"/>
        <v>23.780122990027124</v>
      </c>
      <c r="K23" s="314"/>
      <c r="L23" s="316">
        <f>((D23*DATA!$D$23)/1000000)+((E23*DATA!$D$24)/1000000)</f>
        <v>28.778423999999998</v>
      </c>
      <c r="M23" s="316">
        <f t="shared" si="2"/>
        <v>28.778423999999998</v>
      </c>
      <c r="N23" s="316">
        <f t="shared" ca="1" si="6"/>
        <v>4.9983010099728737</v>
      </c>
      <c r="O23" s="315">
        <f>1/(1+'[93]Asumsi I'!$C$3)^(KKF!A23)</f>
        <v>0.16312166184303503</v>
      </c>
      <c r="P23" s="316">
        <f t="shared" ca="1" si="7"/>
        <v>0.81533116713849563</v>
      </c>
      <c r="Q23" s="316">
        <f t="shared" ca="1" si="9"/>
        <v>-7.0847278998649506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19920</v>
      </c>
      <c r="D24" s="316">
        <f t="shared" si="5"/>
        <v>3320</v>
      </c>
      <c r="E24" s="316">
        <f t="shared" si="0"/>
        <v>16600</v>
      </c>
      <c r="F24" s="314"/>
      <c r="G24" s="318">
        <f ca="1">DATA!$D$11/1000000</f>
        <v>1.6984472304</v>
      </c>
      <c r="H24" s="318">
        <f>C24*DATA!$D$5/1000000</f>
        <v>21.595770914060758</v>
      </c>
      <c r="I24" s="318">
        <f>(C24*DATA!$D$5*DATA!$D$7)/1000000</f>
        <v>0.48590484556636704</v>
      </c>
      <c r="J24" s="316">
        <f t="shared" ca="1" si="1"/>
        <v>23.780122990027124</v>
      </c>
      <c r="K24" s="314"/>
      <c r="L24" s="316">
        <f>((D24*DATA!$D$23)/1000000)+((E24*DATA!$D$24)/1000000)</f>
        <v>28.778423999999998</v>
      </c>
      <c r="M24" s="316">
        <f t="shared" si="2"/>
        <v>28.778423999999998</v>
      </c>
      <c r="N24" s="316">
        <f t="shared" ca="1" si="6"/>
        <v>4.9983010099728737</v>
      </c>
      <c r="O24" s="315">
        <f>1/(1+'[93]Asumsi I'!$C$3)^(KKF!A24)</f>
        <v>0.14564434093128129</v>
      </c>
      <c r="P24" s="316">
        <f t="shared" ca="1" si="7"/>
        <v>0.72797425637365676</v>
      </c>
      <c r="Q24" s="316">
        <f t="shared" ca="1" si="9"/>
        <v>-6.3567536434912935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19920</v>
      </c>
      <c r="D25" s="316">
        <f t="shared" si="5"/>
        <v>3320</v>
      </c>
      <c r="E25" s="316">
        <f t="shared" si="0"/>
        <v>16600</v>
      </c>
      <c r="F25" s="314"/>
      <c r="G25" s="318">
        <f ca="1">DATA!$D$11/1000000</f>
        <v>1.6984472304</v>
      </c>
      <c r="H25" s="318">
        <f>C25*DATA!$D$5/1000000</f>
        <v>21.595770914060758</v>
      </c>
      <c r="I25" s="318">
        <f>(C25*DATA!$D$5*DATA!$D$7)/1000000</f>
        <v>0.48590484556636704</v>
      </c>
      <c r="J25" s="316">
        <f t="shared" ca="1" si="1"/>
        <v>23.780122990027124</v>
      </c>
      <c r="K25" s="314"/>
      <c r="L25" s="316">
        <f>((D25*DATA!$D$23)/1000000)+((E25*DATA!$D$24)/1000000)</f>
        <v>28.778423999999998</v>
      </c>
      <c r="M25" s="316">
        <f t="shared" si="2"/>
        <v>28.778423999999998</v>
      </c>
      <c r="N25" s="316">
        <f t="shared" ca="1" si="6"/>
        <v>4.9983010099728737</v>
      </c>
      <c r="O25" s="315">
        <f>1/(1+'[93]Asumsi I'!$C$3)^(KKF!A25)</f>
        <v>0.13003959011721541</v>
      </c>
      <c r="P25" s="316">
        <f t="shared" ca="1" si="7"/>
        <v>0.64997701461933632</v>
      </c>
      <c r="Q25" s="316">
        <f t="shared" ca="1" si="9"/>
        <v>-5.7067766288719568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19920</v>
      </c>
      <c r="D26" s="316">
        <f t="shared" si="5"/>
        <v>3320</v>
      </c>
      <c r="E26" s="316">
        <f t="shared" si="0"/>
        <v>16600</v>
      </c>
      <c r="F26" s="314"/>
      <c r="G26" s="318">
        <f ca="1">DATA!$D$11/1000000</f>
        <v>1.6984472304</v>
      </c>
      <c r="H26" s="318">
        <f>C26*DATA!$D$5/1000000</f>
        <v>21.595770914060758</v>
      </c>
      <c r="I26" s="318">
        <f>(C26*DATA!$D$5*DATA!$D$7)/1000000</f>
        <v>0.48590484556636704</v>
      </c>
      <c r="J26" s="316">
        <f t="shared" ca="1" si="1"/>
        <v>23.780122990027124</v>
      </c>
      <c r="K26" s="314"/>
      <c r="L26" s="316">
        <f>((D26*DATA!$D$23)/1000000)+((E26*DATA!$D$24)/1000000)</f>
        <v>28.778423999999998</v>
      </c>
      <c r="M26" s="316">
        <f t="shared" si="2"/>
        <v>28.778423999999998</v>
      </c>
      <c r="N26" s="316">
        <f t="shared" ca="1" si="6"/>
        <v>4.9983010099728737</v>
      </c>
      <c r="O26" s="315">
        <f>1/(1+'[93]Asumsi I'!$C$3)^(KKF!A26)</f>
        <v>0.1161067768903709</v>
      </c>
      <c r="P26" s="316">
        <f t="shared" ca="1" si="7"/>
        <v>0.58033662019583598</v>
      </c>
      <c r="Q26" s="316">
        <f t="shared" ca="1" si="9"/>
        <v>-5.1264400086761208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19920</v>
      </c>
      <c r="D27" s="316">
        <f t="shared" si="5"/>
        <v>3320</v>
      </c>
      <c r="E27" s="316">
        <f t="shared" si="0"/>
        <v>16600</v>
      </c>
      <c r="F27" s="314"/>
      <c r="G27" s="318">
        <f ca="1">DATA!$D$11/1000000</f>
        <v>1.6984472304</v>
      </c>
      <c r="H27" s="318">
        <f>C27*DATA!$D$5/1000000</f>
        <v>21.595770914060758</v>
      </c>
      <c r="I27" s="318">
        <f>(C27*DATA!$D$5*DATA!$D$7)/1000000</f>
        <v>0.48590484556636704</v>
      </c>
      <c r="J27" s="316">
        <f t="shared" ca="1" si="1"/>
        <v>23.780122990027124</v>
      </c>
      <c r="K27" s="314"/>
      <c r="L27" s="316">
        <f>((D27*DATA!$D$23)/1000000)+((E27*DATA!$D$24)/1000000)</f>
        <v>28.778423999999998</v>
      </c>
      <c r="M27" s="316">
        <f t="shared" si="2"/>
        <v>28.778423999999998</v>
      </c>
      <c r="N27" s="316">
        <f t="shared" ca="1" si="6"/>
        <v>4.9983010099728737</v>
      </c>
      <c r="O27" s="315">
        <f>1/(1+'[93]Asumsi I'!$C$3)^(KKF!A27)</f>
        <v>0.1036667650806883</v>
      </c>
      <c r="P27" s="316">
        <f t="shared" ca="1" si="7"/>
        <v>0.51815769660342492</v>
      </c>
      <c r="Q27" s="316">
        <f t="shared" ca="1" si="9"/>
        <v>-4.6082823120726957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19920</v>
      </c>
      <c r="D28" s="316">
        <f t="shared" si="5"/>
        <v>3320</v>
      </c>
      <c r="E28" s="316">
        <f t="shared" si="0"/>
        <v>16600</v>
      </c>
      <c r="F28" s="314"/>
      <c r="G28" s="318">
        <f ca="1">DATA!$D$11/1000000</f>
        <v>1.6984472304</v>
      </c>
      <c r="H28" s="318">
        <f>C28*DATA!$D$5/1000000</f>
        <v>21.595770914060758</v>
      </c>
      <c r="I28" s="318">
        <f>(C28*DATA!$D$5*DATA!$D$7)/1000000</f>
        <v>0.48590484556636704</v>
      </c>
      <c r="J28" s="316">
        <f t="shared" ca="1" si="1"/>
        <v>23.780122990027124</v>
      </c>
      <c r="K28" s="314"/>
      <c r="L28" s="316">
        <f>((D28*DATA!$D$23)/1000000)+((E28*DATA!$D$24)/1000000)</f>
        <v>28.778423999999998</v>
      </c>
      <c r="M28" s="316">
        <f t="shared" si="2"/>
        <v>28.778423999999998</v>
      </c>
      <c r="N28" s="316">
        <f t="shared" ca="1" si="6"/>
        <v>4.9983010099728737</v>
      </c>
      <c r="O28" s="315">
        <f>1/(1+'[93]Asumsi I'!$C$3)^(KKF!A28)</f>
        <v>9.2559611679185971E-2</v>
      </c>
      <c r="P28" s="316">
        <f t="shared" ca="1" si="7"/>
        <v>0.46264080053877227</v>
      </c>
      <c r="Q28" s="316">
        <f t="shared" ca="1" si="9"/>
        <v>-4.1456415115339231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19920</v>
      </c>
      <c r="D29" s="316">
        <f t="shared" si="5"/>
        <v>3320</v>
      </c>
      <c r="E29" s="316">
        <f t="shared" si="0"/>
        <v>16600</v>
      </c>
      <c r="F29" s="314"/>
      <c r="G29" s="318">
        <f ca="1">DATA!$D$11/1000000</f>
        <v>1.6984472304</v>
      </c>
      <c r="H29" s="318">
        <f>C29*DATA!$D$5/1000000</f>
        <v>21.595770914060758</v>
      </c>
      <c r="I29" s="318">
        <f>(C29*DATA!$D$5*DATA!$D$7)/1000000</f>
        <v>0.48590484556636704</v>
      </c>
      <c r="J29" s="316">
        <f t="shared" ca="1" si="1"/>
        <v>23.780122990027124</v>
      </c>
      <c r="K29" s="314"/>
      <c r="L29" s="316">
        <f>((D29*DATA!$D$23)/1000000)+((E29*DATA!$D$24)/1000000)</f>
        <v>28.778423999999998</v>
      </c>
      <c r="M29" s="316">
        <f t="shared" si="2"/>
        <v>28.778423999999998</v>
      </c>
      <c r="N29" s="316">
        <f t="shared" ca="1" si="6"/>
        <v>4.9983010099728737</v>
      </c>
      <c r="O29" s="315">
        <f>1/(1+'[93]Asumsi I'!$C$3)^(KKF!A29)</f>
        <v>8.2642510427844609E-2</v>
      </c>
      <c r="P29" s="316">
        <f t="shared" ca="1" si="7"/>
        <v>0.41307214333818948</v>
      </c>
      <c r="Q29" s="316">
        <f t="shared" ca="1" si="9"/>
        <v>-3.7325693681957337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19920</v>
      </c>
      <c r="D30" s="316">
        <f t="shared" si="5"/>
        <v>3320</v>
      </c>
      <c r="E30" s="316">
        <f t="shared" si="0"/>
        <v>16600</v>
      </c>
      <c r="F30" s="314"/>
      <c r="G30" s="318">
        <f ca="1">DATA!$D$11/1000000</f>
        <v>1.6984472304</v>
      </c>
      <c r="H30" s="318">
        <f>C30*DATA!$D$5/1000000</f>
        <v>21.595770914060758</v>
      </c>
      <c r="I30" s="318">
        <f>(C30*DATA!$D$5*DATA!$D$7)/1000000</f>
        <v>0.48590484556636704</v>
      </c>
      <c r="J30" s="316">
        <f t="shared" ca="1" si="1"/>
        <v>23.780122990027124</v>
      </c>
      <c r="K30" s="314"/>
      <c r="L30" s="316">
        <f>((D30*DATA!$D$23)/1000000)+((E30*DATA!$D$24)/1000000)</f>
        <v>28.778423999999998</v>
      </c>
      <c r="M30" s="316">
        <f t="shared" si="2"/>
        <v>28.778423999999998</v>
      </c>
      <c r="N30" s="316">
        <f t="shared" ca="1" si="6"/>
        <v>4.9983010099728737</v>
      </c>
      <c r="O30" s="315">
        <f>1/(1+'[93]Asumsi I'!$C$3)^(KKF!A30)</f>
        <v>7.3787955739146982E-2</v>
      </c>
      <c r="P30" s="316">
        <f t="shared" ca="1" si="7"/>
        <v>0.36881441369481205</v>
      </c>
      <c r="Q30" s="316">
        <f t="shared" ca="1" si="9"/>
        <v>-3.3637549545009215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19920</v>
      </c>
      <c r="D31" s="316">
        <f t="shared" si="5"/>
        <v>3320</v>
      </c>
      <c r="E31" s="316">
        <f t="shared" si="0"/>
        <v>16600</v>
      </c>
      <c r="F31" s="314"/>
      <c r="G31" s="318">
        <f ca="1">DATA!$D$11/1000000</f>
        <v>1.6984472304</v>
      </c>
      <c r="H31" s="318">
        <f>C31*DATA!$D$5/1000000</f>
        <v>21.595770914060758</v>
      </c>
      <c r="I31" s="318">
        <f>(C31*DATA!$D$5*DATA!$D$7)/1000000</f>
        <v>0.48590484556636704</v>
      </c>
      <c r="J31" s="316">
        <f t="shared" ca="1" si="1"/>
        <v>23.780122990027124</v>
      </c>
      <c r="K31" s="314"/>
      <c r="L31" s="316">
        <f>((D31*DATA!$D$23)/1000000)+((E31*DATA!$D$24)/1000000)</f>
        <v>28.778423999999998</v>
      </c>
      <c r="M31" s="316">
        <f t="shared" si="2"/>
        <v>28.778423999999998</v>
      </c>
      <c r="N31" s="316">
        <f t="shared" ca="1" si="6"/>
        <v>4.9983010099728737</v>
      </c>
      <c r="O31" s="315">
        <f>1/(1+'[93]Asumsi I'!$C$3)^(KKF!A31)</f>
        <v>6.5882103338524081E-2</v>
      </c>
      <c r="P31" s="316">
        <f t="shared" ca="1" si="7"/>
        <v>0.32929858365608217</v>
      </c>
      <c r="Q31" s="316">
        <f ca="1">Q30+P31</f>
        <v>-3.0344563708448393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19920</v>
      </c>
      <c r="D32" s="316">
        <f t="shared" si="5"/>
        <v>3320</v>
      </c>
      <c r="E32" s="316">
        <f t="shared" si="0"/>
        <v>16600</v>
      </c>
      <c r="F32" s="314"/>
      <c r="G32" s="318">
        <f ca="1">DATA!$D$11/1000000</f>
        <v>1.6984472304</v>
      </c>
      <c r="H32" s="318">
        <f>C32*DATA!$D$5/1000000</f>
        <v>21.595770914060758</v>
      </c>
      <c r="I32" s="318">
        <f>(C32*DATA!$D$5*DATA!$D$7)/1000000</f>
        <v>0.48590484556636704</v>
      </c>
      <c r="J32" s="316">
        <f t="shared" ca="1" si="1"/>
        <v>23.780122990027124</v>
      </c>
      <c r="K32" s="314"/>
      <c r="L32" s="316">
        <f>((D32*DATA!$D$23)/1000000)+((E32*DATA!$D$24)/1000000)</f>
        <v>28.778423999999998</v>
      </c>
      <c r="M32" s="316">
        <f t="shared" si="2"/>
        <v>28.778423999999998</v>
      </c>
      <c r="N32" s="316">
        <f t="shared" ca="1" si="6"/>
        <v>4.9983010099728737</v>
      </c>
      <c r="O32" s="315">
        <f>1/(1+'[93]Asumsi I'!$C$3)^(KKF!A32)</f>
        <v>5.8823306552253637E-2</v>
      </c>
      <c r="P32" s="316">
        <f t="shared" ca="1" si="7"/>
        <v>0.29401659255007334</v>
      </c>
      <c r="Q32" s="316">
        <f ca="1">Q31+P32</f>
        <v>-2.7404397782947658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9" t="s">
        <v>1374</v>
      </c>
      <c r="G33" s="609"/>
      <c r="H33" s="609"/>
      <c r="I33" s="324"/>
      <c r="J33" s="325">
        <f ca="1">SUM(J7:J32)</f>
        <v>695.84500067416297</v>
      </c>
      <c r="K33" s="609" t="s">
        <v>1375</v>
      </c>
      <c r="L33" s="609"/>
      <c r="M33" s="325">
        <f>SUM(M7:M32)</f>
        <v>778.85971599999948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20.275274682593544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1.119300584534499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-2.4468212306203321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0.110494790448042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5"/>
  <sheetViews>
    <sheetView showGridLines="0" tabSelected="1" zoomScale="85" zoomScaleNormal="85" zoomScaleSheetLayoutView="70" workbookViewId="0">
      <pane ySplit="13" topLeftCell="A20" activePane="bottomLeft" state="frozen"/>
      <selection activeCell="H1093" sqref="H1093"/>
      <selection pane="bottomLeft" activeCell="C19" sqref="C19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2" t="s">
        <v>1036</v>
      </c>
      <c r="P3" s="632"/>
      <c r="Q3" s="346"/>
      <c r="T3" s="344"/>
      <c r="U3" s="345" t="s">
        <v>1041</v>
      </c>
      <c r="V3" s="344"/>
    </row>
    <row r="4" spans="1:22" ht="15.75" customHeight="1">
      <c r="B4" s="633" t="s">
        <v>1023</v>
      </c>
      <c r="C4" s="633"/>
      <c r="D4" s="633"/>
      <c r="E4" s="633"/>
      <c r="F4" s="633"/>
      <c r="G4" s="633"/>
      <c r="H4" s="633"/>
      <c r="I4" s="633"/>
      <c r="J4" s="633"/>
      <c r="K4" s="633"/>
      <c r="O4" s="632"/>
      <c r="P4" s="63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6" t="s">
        <v>1628</v>
      </c>
      <c r="H6" s="616"/>
      <c r="I6" s="616"/>
      <c r="J6" s="616"/>
      <c r="K6" s="61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5" t="s">
        <v>0</v>
      </c>
      <c r="C11" s="637" t="s">
        <v>1</v>
      </c>
      <c r="D11" s="626" t="s">
        <v>42</v>
      </c>
      <c r="E11" s="626" t="s">
        <v>43</v>
      </c>
      <c r="F11" s="626" t="s">
        <v>2</v>
      </c>
      <c r="G11" s="640" t="s">
        <v>41</v>
      </c>
      <c r="H11" s="626" t="s">
        <v>3</v>
      </c>
      <c r="I11" s="626"/>
      <c r="J11" s="626"/>
      <c r="K11" s="62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6"/>
      <c r="C12" s="638"/>
      <c r="D12" s="630"/>
      <c r="E12" s="630"/>
      <c r="F12" s="630"/>
      <c r="G12" s="641"/>
      <c r="H12" s="628" t="s">
        <v>46</v>
      </c>
      <c r="I12" s="628" t="s">
        <v>5</v>
      </c>
      <c r="J12" s="630" t="s">
        <v>47</v>
      </c>
      <c r="K12" s="63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6"/>
      <c r="C13" s="639"/>
      <c r="D13" s="630"/>
      <c r="E13" s="630"/>
      <c r="F13" s="630"/>
      <c r="G13" s="642"/>
      <c r="H13" s="629"/>
      <c r="I13" s="629"/>
      <c r="J13" s="630"/>
      <c r="K13" s="63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21" ca="1" si="4">IF(OR(D15="MDU",D15="MDU-KD"),(IF($O$3="RAB NON MDU","PLN KD",G15*F15)),0)</f>
        <v>0</v>
      </c>
      <c r="I15" s="361">
        <f t="shared" ref="I15:I21" ca="1" si="5">IF(D15="HDW",G15*F15,0)</f>
        <v>0</v>
      </c>
      <c r="J15" s="361">
        <f t="shared" ref="J15:J21" ca="1" si="6">IF(D15="JASA",G15*F15,0)</f>
        <v>0</v>
      </c>
      <c r="K15" s="362">
        <f t="shared" ref="K15:K21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1622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1"/>
      <c r="C18" s="494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4"/>
        <v>0</v>
      </c>
      <c r="I18" s="361">
        <f t="shared" ca="1" si="5"/>
        <v>0</v>
      </c>
      <c r="J18" s="361">
        <f t="shared" ca="1" si="6"/>
        <v>0</v>
      </c>
      <c r="K18" s="362">
        <f t="shared" ca="1" si="7"/>
        <v>0</v>
      </c>
    </row>
    <row r="19" spans="1:22">
      <c r="B19" s="491"/>
      <c r="C19" s="494"/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" ca="1" si="8">IF(OR(D19="MDU",D19="MDU-KD"),(IF($O$3="RAB NON MDU","PLN KD",G19*F19)),0)</f>
        <v>0</v>
      </c>
      <c r="I19" s="361">
        <f t="shared" ref="I19" ca="1" si="9">IF(D19="HDW",G19*F19,0)</f>
        <v>0</v>
      </c>
      <c r="J19" s="361">
        <f t="shared" ref="J19" ca="1" si="10">IF(D19="JASA",G19*F19,0)</f>
        <v>0</v>
      </c>
      <c r="K19" s="362">
        <f t="shared" ref="K19" ca="1" si="11">SUM(H19:J19)</f>
        <v>0</v>
      </c>
    </row>
    <row r="20" spans="1:22">
      <c r="B20" s="491"/>
      <c r="C20" s="494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4"/>
        <v>0</v>
      </c>
      <c r="I20" s="361">
        <f t="shared" ca="1" si="5"/>
        <v>0</v>
      </c>
      <c r="J20" s="361">
        <f t="shared" ca="1" si="6"/>
        <v>0</v>
      </c>
      <c r="K20" s="362">
        <f t="shared" ca="1" si="7"/>
        <v>0</v>
      </c>
    </row>
    <row r="21" spans="1:22">
      <c r="B21" s="366" t="s">
        <v>1614</v>
      </c>
      <c r="C21" s="367" t="s">
        <v>1619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4"/>
        <v>0</v>
      </c>
      <c r="I21" s="361">
        <f t="shared" ca="1" si="5"/>
        <v>0</v>
      </c>
      <c r="J21" s="361">
        <f t="shared" ca="1" si="6"/>
        <v>0</v>
      </c>
      <c r="K21" s="362">
        <f t="shared" ca="1" si="7"/>
        <v>0</v>
      </c>
    </row>
    <row r="22" spans="1:22">
      <c r="B22" s="507" t="s">
        <v>1035</v>
      </c>
      <c r="C22" s="513" t="s">
        <v>1623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496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43" ca="1" si="12">IF(OR(D22="MDU",D22="MDU-KD"),(IF($O$3="RAB NON MDU","PLN KD",G22*F22)),0)</f>
        <v>0</v>
      </c>
      <c r="I22" s="361">
        <f t="shared" ref="I22:I43" ca="1" si="13">IF(D22="HDW",G22*F22,0)</f>
        <v>0</v>
      </c>
      <c r="J22" s="361">
        <f t="shared" ref="J22:J43" ca="1" si="14">IF(D22="JASA",G22*F22,0)</f>
        <v>0</v>
      </c>
      <c r="K22" s="362">
        <f t="shared" ref="K22:K43" ca="1" si="15">SUM(H22:J22)</f>
        <v>0</v>
      </c>
    </row>
    <row r="23" spans="1:22">
      <c r="B23" s="507">
        <v>1</v>
      </c>
      <c r="C23" s="109" t="s">
        <v>1147</v>
      </c>
      <c r="D23" s="358" t="str">
        <f ca="1">IF(ISERROR(OFFSET('HARGA SATUAN'!$D$6,MATCH(RAB!C23,'HARGA SATUAN'!$C$7:$C$1492,0),0)),"",OFFSET('HARGA SATUAN'!$D$6,MATCH(RAB!C23,'HARGA SATUAN'!$C$7:$C$1492,0),0))</f>
        <v>MDU-KD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6">
        <f>F22*1</f>
        <v>1</v>
      </c>
      <c r="G23" s="360">
        <f ca="1">IF(ISERROR(OFFSET('HARGA SATUAN'!$I$6,MATCH(RAB!C23,'HARGA SATUAN'!$C$7:$C$1492,0),0)),0,OFFSET('HARGA SATUAN'!$I$6,MATCH(RAB!C23,'HARGA SATUAN'!$C$7:$C$1492,0),0))</f>
        <v>56838600</v>
      </c>
      <c r="H23" s="361">
        <f t="shared" ca="1" si="12"/>
        <v>56838600</v>
      </c>
      <c r="I23" s="361">
        <f t="shared" ca="1" si="13"/>
        <v>0</v>
      </c>
      <c r="J23" s="361">
        <f t="shared" ca="1" si="14"/>
        <v>0</v>
      </c>
      <c r="K23" s="362">
        <f t="shared" ca="1" si="15"/>
        <v>56838600</v>
      </c>
    </row>
    <row r="24" spans="1:22">
      <c r="B24" s="497">
        <v>2</v>
      </c>
      <c r="C24" s="504" t="s">
        <v>1620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5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1:22">
      <c r="B25" s="507"/>
      <c r="C25" s="504" t="s">
        <v>65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496">
        <f>F22*(3*3)</f>
        <v>9</v>
      </c>
      <c r="G25" s="360">
        <f ca="1">IF(ISERROR(OFFSET('HARGA SATUAN'!$I$6,MATCH(RAB!C25,'HARGA SATUAN'!$C$7:$C$1492,0),0)),0,OFFSET('HARGA SATUAN'!$I$6,MATCH(RAB!C25,'HARGA SATUAN'!$C$7:$C$1492,0),0))</f>
        <v>14200</v>
      </c>
      <c r="H25" s="361">
        <f t="shared" ca="1" si="12"/>
        <v>127800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127800</v>
      </c>
    </row>
    <row r="26" spans="1:22">
      <c r="B26" s="507"/>
      <c r="C26" s="109" t="s">
        <v>1459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496">
        <f>F22*3</f>
        <v>3</v>
      </c>
      <c r="G26" s="360">
        <f ca="1">IF(ISERROR(OFFSET('HARGA SATUAN'!$I$6,MATCH(RAB!C26,'HARGA SATUAN'!$C$7:$C$1492,0),0)),0,OFFSET('HARGA SATUAN'!$I$6,MATCH(RAB!C26,'HARGA SATUAN'!$C$7:$C$1492,0),0))</f>
        <v>54500</v>
      </c>
      <c r="H26" s="361">
        <f t="shared" ca="1" si="12"/>
        <v>163500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163500</v>
      </c>
    </row>
    <row r="27" spans="1:22">
      <c r="B27" s="507">
        <v>3</v>
      </c>
      <c r="C27" s="109" t="s">
        <v>559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6">
        <f>F22*3</f>
        <v>3</v>
      </c>
      <c r="G27" s="360">
        <f ca="1">IF(ISERROR(OFFSET('HARGA SATUAN'!$I$6,MATCH(RAB!C27,'HARGA SATUAN'!$C$7:$C$1492,0),0)),0,OFFSET('HARGA SATUAN'!$I$6,MATCH(RAB!C27,'HARGA SATUAN'!$C$7:$C$1492,0),0))</f>
        <v>725900</v>
      </c>
      <c r="H27" s="361">
        <f t="shared" ca="1" si="12"/>
        <v>2177700</v>
      </c>
      <c r="I27" s="361">
        <f t="shared" ca="1" si="13"/>
        <v>0</v>
      </c>
      <c r="J27" s="361">
        <f t="shared" ca="1" si="14"/>
        <v>0</v>
      </c>
      <c r="K27" s="362">
        <f t="shared" ca="1" si="15"/>
        <v>2177700</v>
      </c>
    </row>
    <row r="28" spans="1:22">
      <c r="B28" s="507">
        <v>4</v>
      </c>
      <c r="C28" s="508" t="s">
        <v>535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6">
        <f>F22*3</f>
        <v>3</v>
      </c>
      <c r="G28" s="360">
        <f ca="1">IF(ISERROR(OFFSET('HARGA SATUAN'!$I$6,MATCH(RAB!C28,'HARGA SATUAN'!$C$7:$C$1492,0),0)),0,OFFSET('HARGA SATUAN'!$I$6,MATCH(RAB!C28,'HARGA SATUAN'!$C$7:$C$1492,0),0))</f>
        <v>848250</v>
      </c>
      <c r="H28" s="361">
        <f t="shared" ca="1" si="12"/>
        <v>2544750</v>
      </c>
      <c r="I28" s="361">
        <f t="shared" ca="1" si="13"/>
        <v>0</v>
      </c>
      <c r="J28" s="361">
        <f t="shared" ca="1" si="14"/>
        <v>0</v>
      </c>
      <c r="K28" s="362">
        <f t="shared" ca="1" si="15"/>
        <v>2544750</v>
      </c>
    </row>
    <row r="29" spans="1:22">
      <c r="B29" s="507">
        <v>5</v>
      </c>
      <c r="C29" s="508" t="s">
        <v>55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6">
        <f>F22*3</f>
        <v>3</v>
      </c>
      <c r="G29" s="360">
        <f ca="1">IF(ISERROR(OFFSET('HARGA SATUAN'!$I$6,MATCH(RAB!C29,'HARGA SATUAN'!$C$7:$C$1492,0),0)),0,OFFSET('HARGA SATUAN'!$I$6,MATCH(RAB!C29,'HARGA SATUAN'!$C$7:$C$1492,0),0))</f>
        <v>18000</v>
      </c>
      <c r="H29" s="361">
        <f t="shared" ca="1" si="12"/>
        <v>0</v>
      </c>
      <c r="I29" s="361">
        <f t="shared" ca="1" si="13"/>
        <v>54000</v>
      </c>
      <c r="J29" s="361">
        <f t="shared" ca="1" si="14"/>
        <v>0</v>
      </c>
      <c r="K29" s="362">
        <f t="shared" ca="1" si="15"/>
        <v>54000</v>
      </c>
    </row>
    <row r="30" spans="1:22">
      <c r="B30" s="507">
        <v>6</v>
      </c>
      <c r="C30" s="109" t="s">
        <v>1578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6">
        <f>F22*13</f>
        <v>13</v>
      </c>
      <c r="G30" s="360">
        <f ca="1">IF(ISERROR(OFFSET('HARGA SATUAN'!$I$6,MATCH(RAB!C30,'HARGA SATUAN'!$C$7:$C$1492,0),0)),0,OFFSET('HARGA SATUAN'!$I$6,MATCH(RAB!C30,'HARGA SATUAN'!$C$7:$C$1492,0),0))</f>
        <v>73300</v>
      </c>
      <c r="H30" s="361">
        <f t="shared" ca="1" si="12"/>
        <v>0</v>
      </c>
      <c r="I30" s="361">
        <f t="shared" ca="1" si="13"/>
        <v>952900</v>
      </c>
      <c r="J30" s="361">
        <f t="shared" ca="1" si="14"/>
        <v>0</v>
      </c>
      <c r="K30" s="362">
        <f t="shared" ca="1" si="15"/>
        <v>952900</v>
      </c>
    </row>
    <row r="31" spans="1:22">
      <c r="B31" s="507">
        <v>7</v>
      </c>
      <c r="C31" s="508" t="s">
        <v>163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6">
        <f>F22*22</f>
        <v>22</v>
      </c>
      <c r="G31" s="360">
        <f ca="1">IF(ISERROR(OFFSET('HARGA SATUAN'!$I$6,MATCH(RAB!C31,'HARGA SATUAN'!$C$7:$C$1492,0),0)),0,OFFSET('HARGA SATUAN'!$I$6,MATCH(RAB!C31,'HARGA SATUAN'!$C$7:$C$1492,0),0))</f>
        <v>7938</v>
      </c>
      <c r="H31" s="361">
        <f t="shared" ca="1" si="12"/>
        <v>0</v>
      </c>
      <c r="I31" s="361">
        <f t="shared" ca="1" si="13"/>
        <v>174636</v>
      </c>
      <c r="J31" s="361">
        <f t="shared" ca="1" si="14"/>
        <v>0</v>
      </c>
      <c r="K31" s="362">
        <f t="shared" ca="1" si="15"/>
        <v>174636</v>
      </c>
    </row>
    <row r="32" spans="1:22">
      <c r="B32" s="507">
        <v>8</v>
      </c>
      <c r="C32" s="508" t="s">
        <v>176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6">
        <f>F22*1</f>
        <v>1</v>
      </c>
      <c r="G32" s="360">
        <f ca="1">IF(ISERROR(OFFSET('HARGA SATUAN'!$I$6,MATCH(RAB!C32,'HARGA SATUAN'!$C$7:$C$1492,0),0)),0,OFFSET('HARGA SATUAN'!$I$6,MATCH(RAB!C32,'HARGA SATUAN'!$C$7:$C$1492,0),0))</f>
        <v>404600</v>
      </c>
      <c r="H32" s="361">
        <f t="shared" ca="1" si="12"/>
        <v>0</v>
      </c>
      <c r="I32" s="361">
        <f t="shared" ca="1" si="13"/>
        <v>404600</v>
      </c>
      <c r="J32" s="361">
        <f t="shared" ca="1" si="14"/>
        <v>0</v>
      </c>
      <c r="K32" s="362">
        <f t="shared" ca="1" si="15"/>
        <v>404600</v>
      </c>
    </row>
    <row r="33" spans="2:11">
      <c r="B33" s="507">
        <v>9</v>
      </c>
      <c r="C33" s="508" t="s">
        <v>184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6">
        <f>F22*3</f>
        <v>3</v>
      </c>
      <c r="G33" s="360">
        <f ca="1">IF(ISERROR(OFFSET('HARGA SATUAN'!$I$6,MATCH(RAB!C33,'HARGA SATUAN'!$C$7:$C$1492,0),0)),0,OFFSET('HARGA SATUAN'!$I$6,MATCH(RAB!C33,'HARGA SATUAN'!$C$7:$C$1492,0),0))</f>
        <v>15900</v>
      </c>
      <c r="H33" s="361">
        <f t="shared" ca="1" si="12"/>
        <v>0</v>
      </c>
      <c r="I33" s="361">
        <f t="shared" ca="1" si="13"/>
        <v>47700</v>
      </c>
      <c r="J33" s="361">
        <f t="shared" ca="1" si="14"/>
        <v>0</v>
      </c>
      <c r="K33" s="362">
        <f t="shared" ca="1" si="15"/>
        <v>47700</v>
      </c>
    </row>
    <row r="34" spans="2:11">
      <c r="B34" s="507">
        <v>10</v>
      </c>
      <c r="C34" s="508" t="s">
        <v>592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6">
        <f>F22*5</f>
        <v>5</v>
      </c>
      <c r="G34" s="360">
        <f ca="1">IF(ISERROR(OFFSET('HARGA SATUAN'!$I$6,MATCH(RAB!C34,'HARGA SATUAN'!$C$7:$C$1492,0),0)),0,OFFSET('HARGA SATUAN'!$I$6,MATCH(RAB!C34,'HARGA SATUAN'!$C$7:$C$1492,0),0))</f>
        <v>283100</v>
      </c>
      <c r="H34" s="361">
        <f t="shared" ca="1" si="12"/>
        <v>0</v>
      </c>
      <c r="I34" s="361">
        <f t="shared" ca="1" si="13"/>
        <v>1415500</v>
      </c>
      <c r="J34" s="361">
        <f t="shared" ca="1" si="14"/>
        <v>0</v>
      </c>
      <c r="K34" s="362">
        <f t="shared" ca="1" si="15"/>
        <v>1415500</v>
      </c>
    </row>
    <row r="35" spans="2:11">
      <c r="B35" s="507">
        <v>11</v>
      </c>
      <c r="C35" s="508" t="s">
        <v>593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6">
        <f>F22*4</f>
        <v>4</v>
      </c>
      <c r="G35" s="360">
        <f ca="1">IF(ISERROR(OFFSET('HARGA SATUAN'!$I$6,MATCH(RAB!C35,'HARGA SATUAN'!$C$7:$C$1492,0),0)),0,OFFSET('HARGA SATUAN'!$I$6,MATCH(RAB!C35,'HARGA SATUAN'!$C$7:$C$1492,0),0))</f>
        <v>380500</v>
      </c>
      <c r="H35" s="361">
        <f t="shared" ca="1" si="12"/>
        <v>0</v>
      </c>
      <c r="I35" s="361">
        <f t="shared" ca="1" si="13"/>
        <v>1522000</v>
      </c>
      <c r="J35" s="361">
        <f t="shared" ca="1" si="14"/>
        <v>0</v>
      </c>
      <c r="K35" s="362">
        <f t="shared" ca="1" si="15"/>
        <v>1522000</v>
      </c>
    </row>
    <row r="36" spans="2:11">
      <c r="B36" s="507">
        <v>12</v>
      </c>
      <c r="C36" s="508" t="s">
        <v>208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6">
        <f>F22*3</f>
        <v>3</v>
      </c>
      <c r="G36" s="360">
        <f ca="1">IF(ISERROR(OFFSET('HARGA SATUAN'!$I$6,MATCH(RAB!C36,'HARGA SATUAN'!$C$7:$C$1492,0),0)),0,OFFSET('HARGA SATUAN'!$I$6,MATCH(RAB!C36,'HARGA SATUAN'!$C$7:$C$1492,0),0))</f>
        <v>173400</v>
      </c>
      <c r="H36" s="361">
        <f t="shared" ca="1" si="12"/>
        <v>0</v>
      </c>
      <c r="I36" s="361">
        <f t="shared" ca="1" si="13"/>
        <v>520200</v>
      </c>
      <c r="J36" s="361">
        <f t="shared" ca="1" si="14"/>
        <v>0</v>
      </c>
      <c r="K36" s="362">
        <f t="shared" ca="1" si="15"/>
        <v>520200</v>
      </c>
    </row>
    <row r="37" spans="2:11">
      <c r="B37" s="507">
        <v>13</v>
      </c>
      <c r="C37" s="508" t="s">
        <v>247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6">
        <f>F22*1</f>
        <v>1</v>
      </c>
      <c r="G37" s="360">
        <f ca="1">IF(ISERROR(OFFSET('HARGA SATUAN'!$I$6,MATCH(RAB!C37,'HARGA SATUAN'!$C$7:$C$1492,0),0)),0,OFFSET('HARGA SATUAN'!$I$6,MATCH(RAB!C37,'HARGA SATUAN'!$C$7:$C$1492,0),0))</f>
        <v>57690</v>
      </c>
      <c r="H37" s="361">
        <f t="shared" ca="1" si="12"/>
        <v>0</v>
      </c>
      <c r="I37" s="361">
        <f t="shared" ca="1" si="13"/>
        <v>57690</v>
      </c>
      <c r="J37" s="361">
        <f t="shared" ca="1" si="14"/>
        <v>0</v>
      </c>
      <c r="K37" s="362">
        <f t="shared" ca="1" si="15"/>
        <v>57690</v>
      </c>
    </row>
    <row r="38" spans="2:11">
      <c r="B38" s="507">
        <v>14</v>
      </c>
      <c r="C38" s="508" t="s">
        <v>234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6">
        <f>F22*2</f>
        <v>2</v>
      </c>
      <c r="G38" s="360">
        <f ca="1">IF(ISERROR(OFFSET('HARGA SATUAN'!$I$6,MATCH(RAB!C38,'HARGA SATUAN'!$C$7:$C$1492,0),0)),0,OFFSET('HARGA SATUAN'!$I$6,MATCH(RAB!C38,'HARGA SATUAN'!$C$7:$C$1492,0),0))</f>
        <v>67500</v>
      </c>
      <c r="H38" s="361">
        <f t="shared" ca="1" si="12"/>
        <v>0</v>
      </c>
      <c r="I38" s="361">
        <f t="shared" ca="1" si="13"/>
        <v>135000</v>
      </c>
      <c r="J38" s="361">
        <f t="shared" ca="1" si="14"/>
        <v>0</v>
      </c>
      <c r="K38" s="362">
        <f t="shared" ca="1" si="15"/>
        <v>135000</v>
      </c>
    </row>
    <row r="39" spans="2:11">
      <c r="B39" s="507">
        <v>15</v>
      </c>
      <c r="C39" s="508" t="s">
        <v>267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6">
        <f>F22*2</f>
        <v>2</v>
      </c>
      <c r="G39" s="360">
        <f ca="1">IF(ISERROR(OFFSET('HARGA SATUAN'!$I$6,MATCH(RAB!C39,'HARGA SATUAN'!$C$7:$C$1492,0),0)),0,OFFSET('HARGA SATUAN'!$I$6,MATCH(RAB!C39,'HARGA SATUAN'!$C$7:$C$1492,0),0))</f>
        <v>129000</v>
      </c>
      <c r="H39" s="361">
        <f t="shared" ca="1" si="12"/>
        <v>0</v>
      </c>
      <c r="I39" s="361">
        <f t="shared" ca="1" si="13"/>
        <v>258000</v>
      </c>
      <c r="J39" s="361">
        <f t="shared" ca="1" si="14"/>
        <v>0</v>
      </c>
      <c r="K39" s="362">
        <f t="shared" ca="1" si="15"/>
        <v>258000</v>
      </c>
    </row>
    <row r="40" spans="2:11">
      <c r="B40" s="507">
        <v>16</v>
      </c>
      <c r="C40" s="508" t="s">
        <v>607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96">
        <f>F22*4</f>
        <v>4</v>
      </c>
      <c r="G40" s="360">
        <f ca="1">IF(ISERROR(OFFSET('HARGA SATUAN'!$I$6,MATCH(RAB!C40,'HARGA SATUAN'!$C$7:$C$1492,0),0)),0,OFFSET('HARGA SATUAN'!$I$6,MATCH(RAB!C40,'HARGA SATUAN'!$C$7:$C$1492,0),0))</f>
        <v>250000</v>
      </c>
      <c r="H40" s="361">
        <f t="shared" ca="1" si="12"/>
        <v>0</v>
      </c>
      <c r="I40" s="361">
        <f t="shared" ca="1" si="13"/>
        <v>1000000</v>
      </c>
      <c r="J40" s="361">
        <f t="shared" ca="1" si="14"/>
        <v>0</v>
      </c>
      <c r="K40" s="362">
        <f t="shared" ca="1" si="15"/>
        <v>1000000</v>
      </c>
    </row>
    <row r="41" spans="2:11" ht="30">
      <c r="B41" s="503">
        <v>16</v>
      </c>
      <c r="C41" s="512" t="s">
        <v>1624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500" t="s">
        <v>14</v>
      </c>
      <c r="F41" s="500">
        <v>1</v>
      </c>
      <c r="G41" s="501">
        <v>398500</v>
      </c>
      <c r="H41" s="361">
        <f t="shared" ca="1" si="12"/>
        <v>0</v>
      </c>
      <c r="I41" s="361">
        <f>F41*G41</f>
        <v>398500</v>
      </c>
      <c r="J41" s="361">
        <f t="shared" ca="1" si="14"/>
        <v>0</v>
      </c>
      <c r="K41" s="362">
        <f t="shared" ca="1" si="15"/>
        <v>398500</v>
      </c>
    </row>
    <row r="42" spans="2:11" ht="30">
      <c r="B42" s="514">
        <v>17</v>
      </c>
      <c r="C42" s="515" t="s">
        <v>1625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500" t="s">
        <v>14</v>
      </c>
      <c r="F42" s="368">
        <v>1</v>
      </c>
      <c r="G42" s="360">
        <v>560800</v>
      </c>
      <c r="H42" s="361">
        <f t="shared" ref="H42" ca="1" si="16">IF(OR(D42="MDU",D42="MDU-KD"),(IF($O$3="RAB NON MDU","PLN KD",G42*F42)),0)</f>
        <v>0</v>
      </c>
      <c r="I42" s="361">
        <f>F42*G42</f>
        <v>560800</v>
      </c>
      <c r="J42" s="361">
        <f t="shared" ref="J42" ca="1" si="17">IF(D42="JASA",G42*F42,0)</f>
        <v>0</v>
      </c>
      <c r="K42" s="362">
        <f t="shared" ref="K42" ca="1" si="18">SUM(H42:J42)</f>
        <v>560800</v>
      </c>
    </row>
    <row r="43" spans="2:11">
      <c r="B43" s="366"/>
      <c r="C43" s="367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36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12"/>
        <v>0</v>
      </c>
      <c r="I43" s="361">
        <f t="shared" ca="1" si="13"/>
        <v>0</v>
      </c>
      <c r="J43" s="361">
        <f t="shared" ca="1" si="14"/>
        <v>0</v>
      </c>
      <c r="K43" s="362">
        <f t="shared" ca="1" si="15"/>
        <v>0</v>
      </c>
    </row>
    <row r="44" spans="2:11">
      <c r="B44" s="492" t="s">
        <v>1615</v>
      </c>
      <c r="C44" s="495" t="s">
        <v>1617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368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" ca="1" si="19">IF(OR(D44="MDU",D44="MDU-KD"),(IF($O$3="RAB NON MDU","PLN KD",G44*F44)),0)</f>
        <v>0</v>
      </c>
      <c r="I44" s="361">
        <f t="shared" ref="I44" ca="1" si="20">IF(D44="HDW",G44*F44,0)</f>
        <v>0</v>
      </c>
      <c r="J44" s="361">
        <f t="shared" ref="J44" ca="1" si="21">IF(D44="JASA",G44*F44,0)</f>
        <v>0</v>
      </c>
      <c r="K44" s="362">
        <f t="shared" ref="K44" ca="1" si="22">SUM(H44:J44)</f>
        <v>0</v>
      </c>
    </row>
    <row r="45" spans="2:11">
      <c r="B45" s="492" t="s">
        <v>1035</v>
      </c>
      <c r="C45" s="493" t="s">
        <v>1630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6">
        <v>1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:H50" ca="1" si="23">IF(OR(D45="MDU",D45="MDU-KD"),(IF($O$3="RAB NON MDU","PLN KD",G45*F45)),0)</f>
        <v>0</v>
      </c>
      <c r="I45" s="361">
        <f t="shared" ref="I45:I50" ca="1" si="24">IF(D45="HDW",G45*F45,0)</f>
        <v>0</v>
      </c>
      <c r="J45" s="361">
        <f t="shared" ref="J45:J50" ca="1" si="25">IF(D45="JASA",G45*F45,0)</f>
        <v>0</v>
      </c>
      <c r="K45" s="362">
        <f t="shared" ref="K45:K50" ca="1" si="26">SUM(H45:J45)</f>
        <v>0</v>
      </c>
    </row>
    <row r="46" spans="2:11" ht="30">
      <c r="B46" s="507">
        <v>1</v>
      </c>
      <c r="C46" s="109" t="s">
        <v>1197</v>
      </c>
      <c r="D46" s="358" t="s">
        <v>1618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6">
        <f>F45*1</f>
        <v>1</v>
      </c>
      <c r="G46" s="360">
        <f ca="1">IF(ISERROR(OFFSET('HARGA SATUAN'!$I$6,MATCH(RAB!C46,'HARGA SATUAN'!$C$7:$C$1492,0),0)),0,OFFSET('HARGA SATUAN'!$I$6,MATCH(RAB!C46,'HARGA SATUAN'!$C$7:$C$1492,0),0))</f>
        <v>1427400</v>
      </c>
      <c r="H46" s="361">
        <f t="shared" si="23"/>
        <v>0</v>
      </c>
      <c r="I46" s="361">
        <f t="shared" si="24"/>
        <v>0</v>
      </c>
      <c r="J46" s="361">
        <f t="shared" si="25"/>
        <v>0</v>
      </c>
      <c r="K46" s="362">
        <f t="shared" si="26"/>
        <v>0</v>
      </c>
    </row>
    <row r="47" spans="2:11">
      <c r="B47" s="507">
        <v>2</v>
      </c>
      <c r="C47" s="109" t="s">
        <v>514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6">
        <f>F45*1</f>
        <v>1</v>
      </c>
      <c r="G47" s="360">
        <f ca="1">IF(ISERROR(OFFSET('HARGA SATUAN'!$I$6,MATCH(RAB!C47,'HARGA SATUAN'!$C$7:$C$1492,0),0)),0,OFFSET('HARGA SATUAN'!$I$6,MATCH(RAB!C47,'HARGA SATUAN'!$C$7:$C$1492,0),0))</f>
        <v>3564900</v>
      </c>
      <c r="H47" s="361">
        <f t="shared" ca="1" si="23"/>
        <v>3564900</v>
      </c>
      <c r="I47" s="361">
        <f t="shared" ca="1" si="24"/>
        <v>0</v>
      </c>
      <c r="J47" s="361">
        <f t="shared" ca="1" si="25"/>
        <v>0</v>
      </c>
      <c r="K47" s="362">
        <f t="shared" ca="1" si="26"/>
        <v>3564900</v>
      </c>
    </row>
    <row r="48" spans="2:11">
      <c r="B48" s="507">
        <v>3</v>
      </c>
      <c r="C48" s="509" t="s">
        <v>1142</v>
      </c>
      <c r="D48" s="358" t="s">
        <v>1618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6">
        <f>F45*1</f>
        <v>1</v>
      </c>
      <c r="G48" s="360">
        <f ca="1">IF(ISERROR(OFFSET('HARGA SATUAN'!$I$6,MATCH(RAB!C48,'HARGA SATUAN'!$C$7:$C$1492,0),0)),0,OFFSET('HARGA SATUAN'!$I$6,MATCH(RAB!C48,'HARGA SATUAN'!$C$7:$C$1492,0),0))</f>
        <v>1113900</v>
      </c>
      <c r="H48" s="361">
        <f t="shared" si="23"/>
        <v>0</v>
      </c>
      <c r="I48" s="361">
        <f t="shared" si="24"/>
        <v>0</v>
      </c>
      <c r="J48" s="361">
        <f t="shared" si="25"/>
        <v>0</v>
      </c>
      <c r="K48" s="362">
        <f t="shared" si="26"/>
        <v>0</v>
      </c>
    </row>
    <row r="49" spans="2:11">
      <c r="B49" s="507">
        <v>4</v>
      </c>
      <c r="C49" s="109" t="s">
        <v>573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Mtr</v>
      </c>
      <c r="F49" s="506">
        <v>20</v>
      </c>
      <c r="G49" s="360">
        <f ca="1">IF(ISERROR(OFFSET('HARGA SATUAN'!$I$6,MATCH(RAB!C49,'HARGA SATUAN'!$C$7:$C$1492,0),0)),0,OFFSET('HARGA SATUAN'!$I$6,MATCH(RAB!C49,'HARGA SATUAN'!$C$7:$C$1492,0),0))</f>
        <v>164883</v>
      </c>
      <c r="H49" s="361">
        <f t="shared" ca="1" si="23"/>
        <v>0</v>
      </c>
      <c r="I49" s="361">
        <f t="shared" ca="1" si="24"/>
        <v>3297660</v>
      </c>
      <c r="J49" s="361">
        <f t="shared" ca="1" si="25"/>
        <v>0</v>
      </c>
      <c r="K49" s="362">
        <f t="shared" ca="1" si="26"/>
        <v>3297660</v>
      </c>
    </row>
    <row r="50" spans="2:11">
      <c r="B50" s="507">
        <v>5</v>
      </c>
      <c r="C50" s="509" t="s">
        <v>799</v>
      </c>
      <c r="D50" s="358" t="str">
        <f ca="1">IF(ISERROR(OFFSET('HARGA SATUAN'!$D$6,MATCH(RAB!C50,'HARGA SATUAN'!$C$7:$C$1492,0),0)),"",OFFSET('HARGA SATUAN'!$D$6,MATCH(RAB!C50,'HARGA SATUAN'!$C$7:$C$1492,0),0))</f>
        <v>JASA</v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6">
        <f>F45*1</f>
        <v>1</v>
      </c>
      <c r="G50" s="360">
        <f ca="1">IF(ISERROR(OFFSET('HARGA SATUAN'!$I$6,MATCH(RAB!C50,'HARGA SATUAN'!$C$7:$C$1492,0),0)),0,OFFSET('HARGA SATUAN'!$I$6,MATCH(RAB!C50,'HARGA SATUAN'!$C$7:$C$1492,0),0))</f>
        <v>106400</v>
      </c>
      <c r="H50" s="361">
        <f t="shared" ca="1" si="23"/>
        <v>0</v>
      </c>
      <c r="I50" s="361">
        <f t="shared" ca="1" si="24"/>
        <v>0</v>
      </c>
      <c r="J50" s="361">
        <f t="shared" ca="1" si="25"/>
        <v>106400</v>
      </c>
      <c r="K50" s="362">
        <f t="shared" ca="1" si="26"/>
        <v>106400</v>
      </c>
    </row>
    <row r="51" spans="2:11">
      <c r="B51" s="503"/>
      <c r="C51" s="109" t="s">
        <v>459</v>
      </c>
      <c r="D51" s="358" t="str">
        <f ca="1">IF(ISERROR(OFFSET('HARGA SATUAN'!$D$6,MATCH(RAB!C51,'HARGA SATUAN'!$C$7:$C$1492,0),0)),"",OFFSET('HARGA SATUAN'!$D$6,MATCH(RAB!C51,'HARGA SATUAN'!$C$7:$C$1492,0),0))</f>
        <v>JASA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368">
        <v>1</v>
      </c>
      <c r="G51" s="360">
        <f ca="1">IF(ISERROR(OFFSET('HARGA SATUAN'!$I$6,MATCH(RAB!C51,'HARGA SATUAN'!$C$7:$C$1492,0),0)),0,OFFSET('HARGA SATUAN'!$I$6,MATCH(RAB!C51,'HARGA SATUAN'!$C$7:$C$1492,0),0))</f>
        <v>15000</v>
      </c>
      <c r="H51" s="361">
        <f t="shared" ref="H51" ca="1" si="27">IF(OR(D51="MDU",D51="MDU-KD"),(IF($O$3="RAB NON MDU","PLN KD",G51*F51)),0)</f>
        <v>0</v>
      </c>
      <c r="I51" s="361">
        <f t="shared" ref="I51" ca="1" si="28">IF(D51="HDW",G51*F51,0)</f>
        <v>0</v>
      </c>
      <c r="J51" s="361">
        <f t="shared" ref="J51" ca="1" si="29">IF(D51="JASA",G51*F51,0)</f>
        <v>15000</v>
      </c>
      <c r="K51" s="362">
        <f t="shared" ref="K51" ca="1" si="30">SUM(H51:J51)</f>
        <v>15000</v>
      </c>
    </row>
    <row r="52" spans="2:11">
      <c r="B52" s="503"/>
      <c r="C52" s="509"/>
      <c r="D52" s="358"/>
      <c r="E52" s="359"/>
      <c r="F52" s="368"/>
      <c r="G52" s="360"/>
      <c r="H52" s="361"/>
      <c r="I52" s="361"/>
      <c r="J52" s="361"/>
      <c r="K52" s="362"/>
    </row>
    <row r="53" spans="2:11">
      <c r="B53" s="507" t="s">
        <v>1035</v>
      </c>
      <c r="C53" s="509" t="s">
        <v>1621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10">
        <v>1</v>
      </c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ref="H53:H56" ca="1" si="31">IF(OR(D53="MDU",D53="MDU-KD"),(IF($O$3="RAB NON MDU","PLN KD",G53*F53)),0)</f>
        <v>0</v>
      </c>
      <c r="I53" s="361">
        <f t="shared" ref="I53:I56" ca="1" si="32">IF(D53="HDW",G53*F53,0)</f>
        <v>0</v>
      </c>
      <c r="J53" s="361">
        <f t="shared" ref="J53:J56" ca="1" si="33">IF(D53="JASA",G53*F53,0)</f>
        <v>0</v>
      </c>
      <c r="K53" s="362">
        <f t="shared" ref="K53:K56" ca="1" si="34">SUM(H53:J53)</f>
        <v>0</v>
      </c>
    </row>
    <row r="54" spans="2:11">
      <c r="B54" s="507">
        <v>1</v>
      </c>
      <c r="C54" s="509" t="s">
        <v>115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Set</v>
      </c>
      <c r="F54" s="510">
        <f>F53*1</f>
        <v>1</v>
      </c>
      <c r="G54" s="360">
        <f ca="1">IF(ISERROR(OFFSET('HARGA SATUAN'!$I$6,MATCH(RAB!C54,'HARGA SATUAN'!$C$7:$C$1492,0),0)),0,OFFSET('HARGA SATUAN'!$I$6,MATCH(RAB!C54,'HARGA SATUAN'!$C$7:$C$1492,0),0))</f>
        <v>11500</v>
      </c>
      <c r="H54" s="361">
        <f t="shared" ca="1" si="31"/>
        <v>0</v>
      </c>
      <c r="I54" s="361">
        <f t="shared" ca="1" si="32"/>
        <v>11500</v>
      </c>
      <c r="J54" s="361">
        <f t="shared" ca="1" si="33"/>
        <v>0</v>
      </c>
      <c r="K54" s="362">
        <f t="shared" ca="1" si="34"/>
        <v>11500</v>
      </c>
    </row>
    <row r="55" spans="2:11">
      <c r="B55" s="507">
        <v>2</v>
      </c>
      <c r="C55" s="509" t="s">
        <v>145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Set</v>
      </c>
      <c r="F55" s="510">
        <f>F53*1</f>
        <v>1</v>
      </c>
      <c r="G55" s="360">
        <f ca="1">IF(ISERROR(OFFSET('HARGA SATUAN'!$I$6,MATCH(RAB!C55,'HARGA SATUAN'!$C$7:$C$1492,0),0)),0,OFFSET('HARGA SATUAN'!$I$6,MATCH(RAB!C55,'HARGA SATUAN'!$C$7:$C$1492,0),0))</f>
        <v>6200</v>
      </c>
      <c r="H55" s="361">
        <f t="shared" ca="1" si="31"/>
        <v>0</v>
      </c>
      <c r="I55" s="361">
        <f t="shared" ca="1" si="32"/>
        <v>6200</v>
      </c>
      <c r="J55" s="361">
        <f t="shared" ca="1" si="33"/>
        <v>0</v>
      </c>
      <c r="K55" s="362">
        <f t="shared" ca="1" si="34"/>
        <v>6200</v>
      </c>
    </row>
    <row r="56" spans="2:11">
      <c r="B56" s="507">
        <v>3</v>
      </c>
      <c r="C56" s="509" t="s">
        <v>587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Btg</v>
      </c>
      <c r="F56" s="510">
        <f>F53*1</f>
        <v>1</v>
      </c>
      <c r="G56" s="360">
        <f ca="1">IF(ISERROR(OFFSET('HARGA SATUAN'!$I$6,MATCH(RAB!C56,'HARGA SATUAN'!$C$7:$C$1492,0),0)),0,OFFSET('HARGA SATUAN'!$I$6,MATCH(RAB!C56,'HARGA SATUAN'!$C$7:$C$1492,0),0))</f>
        <v>45796</v>
      </c>
      <c r="H56" s="361">
        <f t="shared" ca="1" si="31"/>
        <v>0</v>
      </c>
      <c r="I56" s="361">
        <f t="shared" ca="1" si="32"/>
        <v>45796</v>
      </c>
      <c r="J56" s="361">
        <f t="shared" ca="1" si="33"/>
        <v>0</v>
      </c>
      <c r="K56" s="362">
        <f t="shared" ca="1" si="34"/>
        <v>45796</v>
      </c>
    </row>
    <row r="57" spans="2:11">
      <c r="B57" s="507">
        <v>4</v>
      </c>
      <c r="C57" s="509" t="s">
        <v>118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Set</v>
      </c>
      <c r="F57" s="510">
        <f>F53*1</f>
        <v>1</v>
      </c>
      <c r="G57" s="360">
        <f ca="1">IF(ISERROR(OFFSET('HARGA SATUAN'!$I$6,MATCH(RAB!C57,'HARGA SATUAN'!$C$7:$C$1492,0),0)),0,OFFSET('HARGA SATUAN'!$I$6,MATCH(RAB!C57,'HARGA SATUAN'!$C$7:$C$1492,0),0))</f>
        <v>5300</v>
      </c>
      <c r="H57" s="361">
        <f t="shared" ref="H57:H63" ca="1" si="35">IF(OR(D57="MDU",D57="MDU-KD"),(IF($O$3="RAB NON MDU","PLN KD",G57*F57)),0)</f>
        <v>0</v>
      </c>
      <c r="I57" s="361">
        <f t="shared" ref="I57:I63" ca="1" si="36">IF(D57="HDW",G57*F57,0)</f>
        <v>5300</v>
      </c>
      <c r="J57" s="361">
        <f t="shared" ref="J57:J63" ca="1" si="37">IF(D57="JASA",G57*F57,0)</f>
        <v>0</v>
      </c>
      <c r="K57" s="362">
        <f t="shared" ref="K57:K63" ca="1" si="38">SUM(H57:J57)</f>
        <v>5300</v>
      </c>
    </row>
    <row r="58" spans="2:11">
      <c r="B58" s="507">
        <v>5</v>
      </c>
      <c r="C58" s="509" t="s">
        <v>117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0">
        <f>F53*1</f>
        <v>1</v>
      </c>
      <c r="G58" s="360">
        <f ca="1">IF(ISERROR(OFFSET('HARGA SATUAN'!$I$6,MATCH(RAB!C58,'HARGA SATUAN'!$C$7:$C$1492,0),0)),0,OFFSET('HARGA SATUAN'!$I$6,MATCH(RAB!C58,'HARGA SATUAN'!$C$7:$C$1492,0),0))</f>
        <v>58600</v>
      </c>
      <c r="H58" s="361">
        <f t="shared" ca="1" si="35"/>
        <v>0</v>
      </c>
      <c r="I58" s="361">
        <f t="shared" ca="1" si="36"/>
        <v>58600</v>
      </c>
      <c r="J58" s="361">
        <f t="shared" ca="1" si="37"/>
        <v>0</v>
      </c>
      <c r="K58" s="362">
        <f t="shared" ca="1" si="38"/>
        <v>58600</v>
      </c>
    </row>
    <row r="59" spans="2:11">
      <c r="B59" s="507">
        <v>6</v>
      </c>
      <c r="C59" s="109" t="s">
        <v>1155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Set</v>
      </c>
      <c r="F59" s="510">
        <f>F53*2</f>
        <v>2</v>
      </c>
      <c r="G59" s="360">
        <f ca="1">IF(ISERROR(OFFSET('HARGA SATUAN'!$I$6,MATCH(RAB!C59,'HARGA SATUAN'!$C$7:$C$1492,0),0)),0,OFFSET('HARGA SATUAN'!$I$6,MATCH(RAB!C59,'HARGA SATUAN'!$C$7:$C$1492,0),0))</f>
        <v>2900</v>
      </c>
      <c r="H59" s="361">
        <f t="shared" ca="1" si="35"/>
        <v>0</v>
      </c>
      <c r="I59" s="361">
        <f t="shared" ca="1" si="36"/>
        <v>5800</v>
      </c>
      <c r="J59" s="361">
        <f t="shared" ca="1" si="37"/>
        <v>0</v>
      </c>
      <c r="K59" s="362">
        <f t="shared" ca="1" si="38"/>
        <v>5800</v>
      </c>
    </row>
    <row r="60" spans="2:11">
      <c r="B60" s="507">
        <v>7</v>
      </c>
      <c r="C60" s="509" t="s">
        <v>119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Set</v>
      </c>
      <c r="F60" s="510">
        <f>F53*4</f>
        <v>4</v>
      </c>
      <c r="G60" s="360">
        <f ca="1">IF(ISERROR(OFFSET('HARGA SATUAN'!$I$6,MATCH(RAB!C60,'HARGA SATUAN'!$C$7:$C$1492,0),0)),0,OFFSET('HARGA SATUAN'!$I$6,MATCH(RAB!C60,'HARGA SATUAN'!$C$7:$C$1492,0),0))</f>
        <v>8900</v>
      </c>
      <c r="H60" s="361">
        <f t="shared" ca="1" si="35"/>
        <v>0</v>
      </c>
      <c r="I60" s="361">
        <f t="shared" ca="1" si="36"/>
        <v>35600</v>
      </c>
      <c r="J60" s="361">
        <f t="shared" ca="1" si="37"/>
        <v>0</v>
      </c>
      <c r="K60" s="362">
        <f t="shared" ca="1" si="38"/>
        <v>35600</v>
      </c>
    </row>
    <row r="61" spans="2:11">
      <c r="B61" s="498"/>
      <c r="C61" s="499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5"/>
        <v>0</v>
      </c>
      <c r="I61" s="361">
        <f t="shared" ca="1" si="36"/>
        <v>0</v>
      </c>
      <c r="J61" s="361">
        <f t="shared" ca="1" si="37"/>
        <v>0</v>
      </c>
      <c r="K61" s="362">
        <f t="shared" ca="1" si="38"/>
        <v>0</v>
      </c>
    </row>
    <row r="62" spans="2:11">
      <c r="B62" s="366" t="s">
        <v>22</v>
      </c>
      <c r="C62" s="367" t="s">
        <v>1616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368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5"/>
        <v>0</v>
      </c>
      <c r="I62" s="361">
        <f t="shared" ca="1" si="36"/>
        <v>0</v>
      </c>
      <c r="J62" s="361">
        <f t="shared" ca="1" si="37"/>
        <v>0</v>
      </c>
      <c r="K62" s="362">
        <f t="shared" ca="1" si="38"/>
        <v>0</v>
      </c>
    </row>
    <row r="63" spans="2:11">
      <c r="B63" s="373"/>
      <c r="C63" s="372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368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5"/>
        <v>0</v>
      </c>
      <c r="I63" s="361">
        <f t="shared" ca="1" si="36"/>
        <v>0</v>
      </c>
      <c r="J63" s="361">
        <f t="shared" ca="1" si="37"/>
        <v>0</v>
      </c>
      <c r="K63" s="362">
        <f t="shared" ca="1" si="38"/>
        <v>0</v>
      </c>
    </row>
    <row r="64" spans="2:11">
      <c r="B64" s="374"/>
      <c r="C64" s="375" t="s">
        <v>475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368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ref="H64" ca="1" si="39">IF(OR(D64="MDU",D64="MDU-KD"),(IF($O$3="RAB NON MDU","PLN KD",G64*F64)),0)</f>
        <v>0</v>
      </c>
      <c r="I64" s="361">
        <f t="shared" ref="I64" ca="1" si="40">IF(D64="HDW",G64*F64,0)</f>
        <v>0</v>
      </c>
      <c r="J64" s="361">
        <f t="shared" ref="J64" ca="1" si="41">IF(D64="JASA",G64*F64,0)</f>
        <v>0</v>
      </c>
      <c r="K64" s="362">
        <f t="shared" ref="K64" ca="1" si="42">SUM(H64:J64)</f>
        <v>0</v>
      </c>
    </row>
    <row r="65" spans="2:13">
      <c r="B65" s="377">
        <v>1</v>
      </c>
      <c r="C65" s="378" t="s">
        <v>1091</v>
      </c>
      <c r="D65" s="379" t="str">
        <f ca="1">IF(ISERROR(OFFSET('HARGA SATUAN'!$D$6,MATCH(RAB!C65,'HARGA SATUAN'!$C$7:$C$1492,0),0)),"",OFFSET('HARGA SATUAN'!$D$6,MATCH(RAB!C65,'HARGA SATUAN'!$C$7:$C$1492,0),0))</f>
        <v>JASA</v>
      </c>
      <c r="E65" s="380" t="str">
        <f ca="1">IF(ISERROR(OFFSET('HARGA SATUAN'!$E$6,MATCH(RAB!C65,'HARGA SATUAN'!$C$7:$C$1492,0),0)),"",OFFSET('HARGA SATUAN'!$E$6,MATCH(RAB!C65,'HARGA SATUAN'!$C$7:$C$1492,0),0))</f>
        <v>Lot</v>
      </c>
      <c r="F65" s="381">
        <v>1</v>
      </c>
      <c r="G65" s="382">
        <f ca="1">IF(ISERROR(OFFSET('HARGA SATUAN'!$I$6,MATCH(RAB!C65,'HARGA SATUAN'!$C$7:$C$1492,0),0)),0,OFFSET('HARGA SATUAN'!$I$6,MATCH(RAB!C65,'HARGA SATUAN'!$C$7:$C$1492,0),0))</f>
        <v>2.5000000000000001E-2</v>
      </c>
      <c r="H65" s="383"/>
      <c r="I65" s="383"/>
      <c r="J65" s="383">
        <f ca="1">SUM(K15:K17)*G65</f>
        <v>0</v>
      </c>
      <c r="K65" s="384">
        <f ca="1">SUM(H65:J65)</f>
        <v>0</v>
      </c>
    </row>
    <row r="66" spans="2:13">
      <c r="B66" s="385"/>
      <c r="C66" s="386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IF(ISERROR(OFFSET('HARGA SATUAN'!$E$6,MATCH(RAB!C66,'HARGA SATUAN'!$C$7:$C$1492,0),0)),"",OFFSET('HARGA SATUAN'!$E$6,MATCH(RAB!C66,'HARGA SATUAN'!$C$7:$C$1492,0),0))</f>
        <v/>
      </c>
      <c r="F66" s="376"/>
      <c r="G66" s="360" t="str">
        <f ca="1">IF(ISERROR(OFFSET('HARGA SATUAN'!$I$6,MATCH(RAB!C66,'HARGA SATUAN'!$C$7:$C$1492,0),0)),"",OFFSET('HARGA SATUAN'!$I$6,MATCH(RAB!C66,'HARGA SATUAN'!$C$7:$C$1492,0),0))</f>
        <v/>
      </c>
      <c r="H66" s="361">
        <f ca="1">IF(OR(D66="MDU",D66="MDU-KD"),IF(G66="PLN",0,G66*F66),0)</f>
        <v>0</v>
      </c>
      <c r="I66" s="361">
        <f ca="1">IF(D66="HDW",IF(G66="PLN",0,G66*F66),0)</f>
        <v>0</v>
      </c>
      <c r="J66" s="361">
        <f ca="1">IF(D66="JASA",IF(G66="PLN",0,G66*F66),0)</f>
        <v>0</v>
      </c>
      <c r="K66" s="362">
        <f ca="1">SUM(H66:J66)</f>
        <v>0</v>
      </c>
    </row>
    <row r="67" spans="2:13" ht="15.75" thickBot="1">
      <c r="B67" s="387"/>
      <c r="C67" s="388"/>
      <c r="D67" s="389"/>
      <c r="E67" s="390"/>
      <c r="F67" s="390"/>
      <c r="G67" s="390"/>
      <c r="H67" s="391"/>
      <c r="I67" s="391"/>
      <c r="J67" s="391"/>
      <c r="K67" s="392"/>
    </row>
    <row r="68" spans="2:13">
      <c r="B68" s="393"/>
      <c r="C68" s="634" t="s">
        <v>1008</v>
      </c>
      <c r="D68" s="634"/>
      <c r="E68" s="634"/>
      <c r="F68" s="634"/>
      <c r="G68" s="394" t="s">
        <v>9</v>
      </c>
      <c r="H68" s="395">
        <f ca="1">SUM(H14:H66)</f>
        <v>65417250</v>
      </c>
      <c r="I68" s="395">
        <f ca="1">SUM(I14:I66)</f>
        <v>10967982</v>
      </c>
      <c r="J68" s="395">
        <f ca="1">SUM(J14:J66)</f>
        <v>121400</v>
      </c>
      <c r="K68" s="395">
        <f ca="1">SUM(K14:K66)</f>
        <v>76506632</v>
      </c>
    </row>
    <row r="69" spans="2:13">
      <c r="B69" s="396"/>
      <c r="C69" s="617" t="s">
        <v>1457</v>
      </c>
      <c r="D69" s="617"/>
      <c r="E69" s="617"/>
      <c r="F69" s="617"/>
      <c r="G69" s="397" t="s">
        <v>9</v>
      </c>
      <c r="H69" s="398">
        <f ca="1">H68*0.11</f>
        <v>7195897.5</v>
      </c>
      <c r="I69" s="398">
        <f ca="1">I68*0.11</f>
        <v>1206478.02</v>
      </c>
      <c r="J69" s="398">
        <f ca="1">J68*0.11</f>
        <v>13354</v>
      </c>
      <c r="K69" s="398">
        <f ca="1">K68*0.11</f>
        <v>8415729.5199999996</v>
      </c>
    </row>
    <row r="70" spans="2:13" ht="15.75" thickBot="1">
      <c r="B70" s="396"/>
      <c r="C70" s="615" t="s">
        <v>463</v>
      </c>
      <c r="D70" s="615"/>
      <c r="E70" s="615"/>
      <c r="F70" s="615"/>
      <c r="G70" s="399" t="s">
        <v>9</v>
      </c>
      <c r="H70" s="400">
        <f ca="1">SUM(H68:H69)</f>
        <v>72613147.5</v>
      </c>
      <c r="I70" s="400">
        <f ca="1">SUM(I68:I69)</f>
        <v>12174460.02</v>
      </c>
      <c r="J70" s="399">
        <f ca="1">SUM(J68:J69)</f>
        <v>134754</v>
      </c>
      <c r="K70" s="399">
        <f ca="1">SUM(K68:K69)</f>
        <v>84922361.519999996</v>
      </c>
      <c r="M70" s="482"/>
    </row>
    <row r="71" spans="2:13">
      <c r="B71" s="618" t="str">
        <f ca="1">"Terbilang : "&amp;PROPER(IF(K70=0,"nol",IF(K70&lt;0,"minus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IF(--MID(TEXT(ABS(K70),"000000000000000"),1,3)=0,"",MID(TEXT(ABS(K70),"000000000000000"),1,1)&amp;" ratus "&amp;MID(TEXT(ABS(K70),"000000000000000"),2,1)&amp;" puluh "&amp;MID(TEXT(ABS(K70),"000000000000000"),3,1)&amp;" trilyun ")&amp; IF(--MID(TEXT(ABS(K70),"000000000000000"),4,3)=0,"",MID(TEXT(ABS(K70),"000000000000000"),4,1)&amp;" ratus "&amp;MID(TEXT(ABS(K70),"000000000000000"),5,1)&amp;" puluh "&amp;MID(TEXT(ABS(K70),"000000000000000"),6,1)&amp;" milyar ")&amp; IF(--MID(TEXT(ABS(K70),"000000000000000"),7,3)=0,"",MID(TEXT(ABS(K70),"000000000000000"),7,1)&amp;" ratus "&amp;MID(TEXT(ABS(K70),"000000000000000"),8,1)&amp;" puluh "&amp;MID(TEXT(ABS(K70),"000000000000000"),9,1)&amp;" juta ")&amp; IF(--MID(TEXT(ABS(K70),"000000000000000"),10,3)=0,"",IF(--MID(TEXT(ABS(K70),"000000000000000"),10,3)=1,"*",MID(TEXT(ABS(K70),"000000000000000"),10,1)&amp;" ratus "&amp;MID(TEXT(ABS(K70),"000000000000000"),11,1)&amp;" puluh ")&amp;MID(TEXT(ABS(K70),"000000000000000"),12,1)&amp;" ribu ")&amp; IF(--MID(TEXT(ABS(K70),"000000000000000"),13,3)=0,"",MID(TEXT(ABS(K70),"000000000000000"),13,1)&amp;" ratus "&amp;MID(TEXT(ABS(K70),"000000000000000"),14,1)&amp;" puluh "&amp;MID(TEXT(ABS(K70),"000000000000000"),15,1)),1,"satu"),2,"dua"),3,"tiga"),4,"empat"),5,"lima"),6,"enam"),7,"tujuh"),8,"delapan"),9,"sembilan"),"0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Empat Juta Sembilan Ratus Dua Puluh Dua Ribu Tiga Ratus Enam Puluh Dua Rupiah</v>
      </c>
      <c r="C71" s="619"/>
      <c r="D71" s="619"/>
      <c r="E71" s="619"/>
      <c r="F71" s="619"/>
      <c r="G71" s="619"/>
      <c r="H71" s="619"/>
      <c r="I71" s="619"/>
      <c r="J71" s="619"/>
      <c r="K71" s="620"/>
    </row>
    <row r="72" spans="2:13">
      <c r="B72" s="621"/>
      <c r="C72" s="622"/>
      <c r="D72" s="622"/>
      <c r="E72" s="622"/>
      <c r="F72" s="622"/>
      <c r="G72" s="622"/>
      <c r="H72" s="622"/>
      <c r="I72" s="622"/>
      <c r="J72" s="622"/>
      <c r="K72" s="623"/>
    </row>
    <row r="73" spans="2:13" ht="15.75" thickBot="1">
      <c r="B73" s="401" t="str">
        <f>"Harga yang dipakai adalah "&amp;'HARGA SATUAN'!I5&amp;""</f>
        <v>Harga yang dipakai adalah RAB HSS 2023</v>
      </c>
      <c r="C73" s="402"/>
      <c r="D73" s="403"/>
      <c r="E73" s="403"/>
      <c r="F73" s="403"/>
      <c r="G73" s="404"/>
      <c r="H73" s="404"/>
      <c r="I73" s="404"/>
      <c r="J73" s="404"/>
      <c r="K73" s="405"/>
    </row>
    <row r="74" spans="2:13">
      <c r="C74" s="406"/>
      <c r="E74" s="408"/>
      <c r="F74" s="408"/>
      <c r="G74" s="408"/>
    </row>
    <row r="75" spans="2:13">
      <c r="C75" s="337"/>
      <c r="E75" s="408"/>
      <c r="F75" s="408"/>
      <c r="G75" s="408"/>
      <c r="H75" s="624"/>
      <c r="I75" s="624"/>
      <c r="J75" s="625"/>
      <c r="K75" s="625"/>
    </row>
    <row r="76" spans="2:13">
      <c r="C76" s="337"/>
      <c r="E76" s="408"/>
      <c r="F76" s="408"/>
      <c r="G76" s="408"/>
      <c r="H76" s="409"/>
      <c r="I76" s="614" t="s">
        <v>1610</v>
      </c>
      <c r="J76" s="614"/>
      <c r="K76" s="614"/>
    </row>
    <row r="77" spans="2:13">
      <c r="C77" s="337"/>
      <c r="E77" s="408"/>
      <c r="F77" s="408"/>
      <c r="G77" s="408"/>
      <c r="H77" s="409"/>
      <c r="I77" s="614" t="s">
        <v>1546</v>
      </c>
      <c r="J77" s="614"/>
      <c r="K77" s="614"/>
    </row>
    <row r="78" spans="2:13">
      <c r="C78" s="337"/>
      <c r="E78" s="408"/>
      <c r="F78" s="408"/>
      <c r="G78" s="408"/>
      <c r="H78" s="410"/>
      <c r="I78" s="411"/>
      <c r="J78" s="411"/>
      <c r="K78" s="411"/>
    </row>
    <row r="79" spans="2:13">
      <c r="C79" s="337"/>
      <c r="E79" s="408"/>
      <c r="F79" s="408"/>
      <c r="G79" s="408"/>
      <c r="H79" s="410"/>
      <c r="I79" s="410"/>
      <c r="J79" s="410"/>
      <c r="K79" s="410"/>
    </row>
    <row r="80" spans="2:13">
      <c r="C80" s="337"/>
      <c r="E80" s="408"/>
      <c r="F80" s="408"/>
      <c r="G80" s="408"/>
      <c r="H80" s="410"/>
      <c r="I80" s="410"/>
      <c r="J80" s="410"/>
      <c r="K80" s="410"/>
    </row>
    <row r="81" spans="3:11">
      <c r="C81" s="337"/>
      <c r="E81" s="408"/>
      <c r="F81" s="408"/>
      <c r="G81" s="408"/>
      <c r="H81" s="410"/>
      <c r="I81" s="410"/>
      <c r="J81" s="410"/>
      <c r="K81" s="410"/>
    </row>
    <row r="82" spans="3:11">
      <c r="C82" s="337"/>
      <c r="E82" s="408"/>
      <c r="F82" s="408"/>
      <c r="G82" s="408"/>
      <c r="H82" s="412"/>
      <c r="I82" s="614" t="s">
        <v>1547</v>
      </c>
      <c r="J82" s="614"/>
      <c r="K82" s="614"/>
    </row>
    <row r="83" spans="3:11">
      <c r="C83" s="406"/>
      <c r="E83" s="408"/>
      <c r="F83" s="408"/>
      <c r="G83" s="408"/>
      <c r="H83" s="410"/>
      <c r="I83" s="410"/>
      <c r="J83" s="410"/>
      <c r="K83" s="410"/>
    </row>
    <row r="84" spans="3:11">
      <c r="C84" s="406"/>
      <c r="E84" s="408"/>
      <c r="F84" s="408"/>
      <c r="G84" s="408"/>
      <c r="H84" s="410"/>
      <c r="I84" s="410"/>
      <c r="J84" s="410"/>
      <c r="K84" s="410"/>
    </row>
    <row r="85" spans="3:11">
      <c r="C85" s="406"/>
      <c r="E85" s="408"/>
      <c r="F85" s="408"/>
      <c r="G85" s="408"/>
      <c r="H85" s="410"/>
      <c r="I85" s="410"/>
      <c r="J85" s="410"/>
      <c r="K85" s="410"/>
    </row>
  </sheetData>
  <sheetProtection sort="0" autoFilter="0"/>
  <protectedRanges>
    <protectedRange sqref="B63 B45:B61" name="Range1_1"/>
    <protectedRange sqref="F42:F64 F14:F40" name="Range1_1_2_2"/>
    <protectedRange sqref="C63 C45:C46 C48" name="Range1_1_1"/>
    <protectedRange sqref="C50 C52:C61" name="Range1_1_3_2"/>
    <protectedRange sqref="C16" name="Range1_1_3"/>
    <protectedRange sqref="C24" name="Range1_1_3_1"/>
    <protectedRange sqref="C49" name="Range1_1_3_8"/>
    <protectedRange sqref="C26" name="Range1_1_3_3"/>
    <protectedRange sqref="C30" name="Range1_1_3_4"/>
    <protectedRange sqref="C51" name="Range1_1_3_7"/>
    <protectedRange sqref="C47" name="Range1_1_3_5"/>
  </protectedRanges>
  <mergeCells count="22">
    <mergeCell ref="O3:P4"/>
    <mergeCell ref="B4:K4"/>
    <mergeCell ref="C68:F68"/>
    <mergeCell ref="B11:B13"/>
    <mergeCell ref="C11:C13"/>
    <mergeCell ref="D11:D13"/>
    <mergeCell ref="E11:E13"/>
    <mergeCell ref="F11:F13"/>
    <mergeCell ref="G11:G13"/>
    <mergeCell ref="I12:I13"/>
    <mergeCell ref="I77:K77"/>
    <mergeCell ref="I82:K82"/>
    <mergeCell ref="C70:F70"/>
    <mergeCell ref="G6:K6"/>
    <mergeCell ref="I76:K76"/>
    <mergeCell ref="C69:F69"/>
    <mergeCell ref="B71:K72"/>
    <mergeCell ref="H75:K75"/>
    <mergeCell ref="H11:K11"/>
    <mergeCell ref="H12:H13"/>
    <mergeCell ref="J12:J13"/>
    <mergeCell ref="K12:K13"/>
  </mergeCells>
  <phoneticPr fontId="139" type="noConversion"/>
  <conditionalFormatting sqref="C15:C17">
    <cfRule type="cellIs" dxfId="16" priority="7" operator="equal">
      <formula>0</formula>
    </cfRule>
  </conditionalFormatting>
  <conditionalFormatting sqref="C21 C42:C43">
    <cfRule type="cellIs" dxfId="15" priority="142" operator="equal">
      <formula>0</formula>
    </cfRule>
  </conditionalFormatting>
  <conditionalFormatting sqref="C23">
    <cfRule type="cellIs" dxfId="14" priority="17" operator="equal">
      <formula>0</formula>
    </cfRule>
  </conditionalFormatting>
  <conditionalFormatting sqref="C26:C27">
    <cfRule type="cellIs" dxfId="13" priority="10" operator="equal">
      <formula>0</formula>
    </cfRule>
  </conditionalFormatting>
  <conditionalFormatting sqref="C30">
    <cfRule type="cellIs" dxfId="12" priority="9" operator="equal">
      <formula>0</formula>
    </cfRule>
  </conditionalFormatting>
  <conditionalFormatting sqref="C46">
    <cfRule type="cellIs" dxfId="11" priority="14" operator="equal">
      <formula>0</formula>
    </cfRule>
  </conditionalFormatting>
  <conditionalFormatting sqref="C49">
    <cfRule type="cellIs" dxfId="10" priority="13" operator="equal">
      <formula>0</formula>
    </cfRule>
  </conditionalFormatting>
  <conditionalFormatting sqref="C51">
    <cfRule type="cellIs" dxfId="9" priority="4" operator="equal">
      <formula>0</formula>
    </cfRule>
  </conditionalFormatting>
  <conditionalFormatting sqref="C59">
    <cfRule type="cellIs" dxfId="8" priority="12" operator="equal">
      <formula>0</formula>
    </cfRule>
  </conditionalFormatting>
  <conditionalFormatting sqref="C62">
    <cfRule type="cellIs" dxfId="7" priority="48" operator="equal">
      <formula>0</formula>
    </cfRule>
  </conditionalFormatting>
  <conditionalFormatting sqref="E1:E3 G1:G13 E5:E13 H12:I12 O13 S14:V17 E14:K40 E43:K64 E65:G65 H65:K67 E66:H66 E67:F67">
    <cfRule type="cellIs" dxfId="6" priority="1097" stopIfTrue="1" operator="equal">
      <formula>0</formula>
    </cfRule>
  </conditionalFormatting>
  <conditionalFormatting sqref="E42">
    <cfRule type="cellIs" dxfId="5" priority="5" operator="equal">
      <formula>0</formula>
    </cfRule>
  </conditionalFormatting>
  <conditionalFormatting sqref="E41:G41">
    <cfRule type="cellIs" dxfId="4" priority="28" operator="equal">
      <formula>0</formula>
    </cfRule>
  </conditionalFormatting>
  <conditionalFormatting sqref="F42:K42">
    <cfRule type="cellIs" dxfId="3" priority="6" stopIfTrue="1" operator="equal">
      <formula>0</formula>
    </cfRule>
  </conditionalFormatting>
  <conditionalFormatting sqref="G66:G65532 E71:E65532">
    <cfRule type="cellIs" dxfId="2" priority="231" stopIfTrue="1" operator="equal">
      <formula>0</formula>
    </cfRule>
  </conditionalFormatting>
  <conditionalFormatting sqref="H41:K41">
    <cfRule type="cellIs" dxfId="1" priority="36" stopIfTrue="1" operator="equal">
      <formula>0</formula>
    </cfRule>
  </conditionalFormatting>
  <conditionalFormatting sqref="C4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2:F40 C24:C25 H14:K6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2" zoomScale="175" zoomScaleNormal="115" zoomScaleSheetLayoutView="175" workbookViewId="0">
      <selection activeCell="W48" sqref="W48:AD51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7" t="s">
        <v>1439</v>
      </c>
      <c r="X2" s="698"/>
      <c r="Y2" s="698"/>
      <c r="Z2" s="698"/>
      <c r="AA2" s="698"/>
      <c r="AB2" s="698"/>
      <c r="AC2" s="698"/>
      <c r="AD2" s="699"/>
    </row>
    <row r="3" spans="3:30">
      <c r="C3" s="238"/>
      <c r="W3" s="700"/>
      <c r="X3" s="701"/>
      <c r="Y3" s="701"/>
      <c r="Z3" s="701"/>
      <c r="AA3" s="701"/>
      <c r="AB3" s="701"/>
      <c r="AC3" s="701"/>
      <c r="AD3" s="70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238"/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E7" s="488" t="s">
        <v>1627</v>
      </c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>
      <c r="C17" s="238"/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95"/>
      <c r="Y19" s="695"/>
      <c r="Z19" s="695"/>
      <c r="AA19" s="695"/>
      <c r="AB19" s="695"/>
      <c r="AC19" s="695"/>
      <c r="AD19" s="696"/>
    </row>
    <row r="20" spans="3:30">
      <c r="C20" s="238"/>
      <c r="W20" s="682" t="s">
        <v>992</v>
      </c>
      <c r="X20" s="683"/>
      <c r="Y20" s="683"/>
      <c r="Z20" s="683"/>
      <c r="AA20" s="683"/>
      <c r="AB20" s="683"/>
      <c r="AC20" s="683"/>
      <c r="AD20" s="684"/>
    </row>
    <row r="21" spans="3:30">
      <c r="C21" s="238"/>
      <c r="W21" s="685" t="s">
        <v>985</v>
      </c>
      <c r="X21" s="686"/>
      <c r="Y21" s="686"/>
      <c r="Z21" s="687"/>
      <c r="AA21" s="688" t="s">
        <v>986</v>
      </c>
      <c r="AB21" s="689"/>
      <c r="AC21" s="689"/>
      <c r="AD21" s="690"/>
    </row>
    <row r="22" spans="3:30">
      <c r="C22" s="238"/>
      <c r="W22" s="691"/>
      <c r="X22" s="692"/>
      <c r="Y22" s="511"/>
      <c r="Z22" s="490"/>
      <c r="AA22" s="693"/>
      <c r="AB22" s="694"/>
      <c r="AC22" s="248"/>
      <c r="AD22" s="249"/>
    </row>
    <row r="23" spans="3:30">
      <c r="C23" s="238"/>
      <c r="W23" s="691"/>
      <c r="X23" s="692"/>
      <c r="Y23" s="511"/>
      <c r="Z23" s="490"/>
      <c r="AA23" s="680"/>
      <c r="AB23" s="681"/>
      <c r="AC23" s="248"/>
      <c r="AD23" s="249"/>
    </row>
    <row r="24" spans="3:30">
      <c r="C24" s="238"/>
      <c r="W24" s="675"/>
      <c r="X24" s="677"/>
      <c r="Y24" s="246"/>
      <c r="Z24" s="247"/>
      <c r="AA24" s="678"/>
      <c r="AB24" s="679"/>
      <c r="AC24" s="248"/>
      <c r="AD24" s="249"/>
    </row>
    <row r="25" spans="3:30">
      <c r="C25" s="238"/>
      <c r="W25" s="675"/>
      <c r="X25" s="677"/>
      <c r="Y25" s="246"/>
      <c r="Z25" s="247"/>
      <c r="AA25" s="680"/>
      <c r="AB25" s="681"/>
      <c r="AC25" s="248"/>
      <c r="AD25" s="249"/>
    </row>
    <row r="26" spans="3:30">
      <c r="C26" s="238"/>
      <c r="W26" s="478"/>
      <c r="X26" s="479"/>
      <c r="Y26" s="246"/>
      <c r="Z26" s="247"/>
      <c r="AA26" s="680"/>
      <c r="AB26" s="681"/>
      <c r="AC26" s="248"/>
      <c r="AD26" s="249"/>
    </row>
    <row r="27" spans="3:30">
      <c r="C27" s="238"/>
      <c r="W27" s="478"/>
      <c r="X27" s="479"/>
      <c r="Y27" s="246"/>
      <c r="Z27" s="247"/>
      <c r="AA27" s="674"/>
      <c r="AB27" s="669"/>
      <c r="AC27" s="248"/>
      <c r="AD27" s="249"/>
    </row>
    <row r="28" spans="3:30">
      <c r="C28" s="238"/>
      <c r="W28" s="478"/>
      <c r="X28" s="479"/>
      <c r="Y28" s="246"/>
      <c r="Z28" s="247"/>
      <c r="AA28" s="674"/>
      <c r="AB28" s="669"/>
      <c r="AC28" s="248"/>
      <c r="AD28" s="249"/>
    </row>
    <row r="29" spans="3:30">
      <c r="C29" s="238"/>
      <c r="W29" s="478"/>
      <c r="X29" s="479"/>
      <c r="Y29" s="246"/>
      <c r="Z29" s="247"/>
      <c r="AA29" s="674"/>
      <c r="AB29" s="669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4"/>
      <c r="AB30" s="669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4"/>
      <c r="AB31" s="669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4"/>
      <c r="AB32" s="669"/>
      <c r="AC32" s="248"/>
      <c r="AD32" s="249"/>
    </row>
    <row r="33" spans="3:30">
      <c r="C33" s="238"/>
      <c r="W33" s="478"/>
      <c r="X33" s="479"/>
      <c r="Y33" s="246"/>
      <c r="Z33" s="247"/>
      <c r="AA33" s="674"/>
      <c r="AB33" s="669"/>
      <c r="AC33" s="248"/>
      <c r="AD33" s="249"/>
    </row>
    <row r="34" spans="3:30">
      <c r="C34" s="238"/>
      <c r="W34" s="478"/>
      <c r="X34" s="479"/>
      <c r="Y34" s="246"/>
      <c r="Z34" s="247"/>
      <c r="AA34" s="674"/>
      <c r="AB34" s="669"/>
      <c r="AC34" s="248"/>
      <c r="AD34" s="249"/>
    </row>
    <row r="35" spans="3:30">
      <c r="C35" s="238"/>
      <c r="W35" s="675"/>
      <c r="X35" s="676"/>
      <c r="Y35" s="246"/>
      <c r="Z35" s="247"/>
      <c r="AA35" s="674"/>
      <c r="AB35" s="669"/>
      <c r="AC35" s="248"/>
      <c r="AD35" s="249"/>
    </row>
    <row r="36" spans="3:30">
      <c r="C36" s="238"/>
      <c r="J36" s="502"/>
      <c r="W36" s="666"/>
      <c r="X36" s="667"/>
      <c r="Y36" s="246"/>
      <c r="Z36" s="251"/>
      <c r="AA36" s="668"/>
      <c r="AB36" s="669"/>
      <c r="AC36" s="248"/>
      <c r="AD36" s="249"/>
    </row>
    <row r="37" spans="3:30" ht="12.75" customHeight="1">
      <c r="C37" s="238"/>
      <c r="J37" s="502"/>
      <c r="W37" s="670"/>
      <c r="X37" s="671"/>
      <c r="Y37" s="246"/>
      <c r="Z37" s="251"/>
      <c r="AA37" s="672"/>
      <c r="AB37" s="673"/>
      <c r="AC37" s="252"/>
      <c r="AD37" s="253"/>
    </row>
    <row r="38" spans="3:30" ht="12.75" customHeight="1">
      <c r="C38" s="238"/>
      <c r="J38" s="502"/>
      <c r="W38" s="670"/>
      <c r="X38" s="671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502"/>
      <c r="W39" s="670"/>
      <c r="X39" s="671"/>
      <c r="Y39" s="254"/>
      <c r="Z39" s="257"/>
      <c r="AA39" s="662"/>
      <c r="AB39" s="663"/>
      <c r="AC39" s="252"/>
      <c r="AD39" s="253"/>
    </row>
    <row r="40" spans="3:30" ht="12" customHeight="1">
      <c r="C40" s="238"/>
      <c r="J40" s="502"/>
      <c r="W40" s="658"/>
      <c r="X40" s="65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0"/>
      <c r="X41" s="661"/>
      <c r="Y41" s="260"/>
      <c r="Z41" s="261"/>
      <c r="AA41" s="662"/>
      <c r="AB41" s="663"/>
      <c r="AC41" s="252"/>
      <c r="AD41" s="253"/>
    </row>
    <row r="42" spans="3:30" ht="12" customHeight="1">
      <c r="C42" s="238"/>
      <c r="W42" s="664" t="s">
        <v>1456</v>
      </c>
      <c r="X42" s="665"/>
      <c r="Y42" s="665"/>
      <c r="Z42" s="66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3" t="s">
        <v>11</v>
      </c>
      <c r="X44" s="644"/>
      <c r="Y44" s="646"/>
      <c r="Z44" s="646"/>
      <c r="AA44" s="646"/>
      <c r="AB44" s="646"/>
      <c r="AC44" s="646"/>
      <c r="AD44" s="64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3" t="s">
        <v>984</v>
      </c>
      <c r="X45" s="644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3" t="s">
        <v>15</v>
      </c>
      <c r="X46" s="644"/>
      <c r="Y46" s="657"/>
      <c r="Z46" s="657"/>
      <c r="AA46" s="657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1" t="s">
        <v>17</v>
      </c>
      <c r="X47" s="651"/>
      <c r="Y47" s="651"/>
      <c r="Z47" s="651"/>
      <c r="AA47" s="651"/>
      <c r="AB47" s="651"/>
      <c r="AC47" s="651"/>
      <c r="AD47" s="65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3" t="str">
        <f>RAB!G6</f>
        <v>FT WISMA HALIM</v>
      </c>
      <c r="X48" s="653"/>
      <c r="Y48" s="653"/>
      <c r="Z48" s="653"/>
      <c r="AA48" s="653"/>
      <c r="AB48" s="653"/>
      <c r="AC48" s="653"/>
      <c r="AD48" s="65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3"/>
      <c r="X49" s="653"/>
      <c r="Y49" s="653"/>
      <c r="Z49" s="653"/>
      <c r="AA49" s="653"/>
      <c r="AB49" s="653"/>
      <c r="AC49" s="653"/>
      <c r="AD49" s="65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3"/>
      <c r="X50" s="653"/>
      <c r="Y50" s="653"/>
      <c r="Z50" s="653"/>
      <c r="AA50" s="653"/>
      <c r="AB50" s="653"/>
      <c r="AC50" s="653"/>
      <c r="AD50" s="65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5"/>
      <c r="X51" s="655"/>
      <c r="Y51" s="655"/>
      <c r="Z51" s="655"/>
      <c r="AA51" s="655"/>
      <c r="AB51" s="655"/>
      <c r="AC51" s="655"/>
      <c r="AD51" s="65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3" t="s">
        <v>18</v>
      </c>
      <c r="X52" s="644"/>
      <c r="Y52" s="646" t="s">
        <v>1549</v>
      </c>
      <c r="Z52" s="646"/>
      <c r="AA52" s="646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3" t="s">
        <v>19</v>
      </c>
      <c r="X53" s="644"/>
      <c r="Y53" s="646" t="s">
        <v>1549</v>
      </c>
      <c r="Z53" s="646"/>
      <c r="AA53" s="646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3" t="s">
        <v>20</v>
      </c>
      <c r="X54" s="644"/>
      <c r="Y54" s="645" t="s">
        <v>1550</v>
      </c>
      <c r="Z54" s="645"/>
      <c r="AA54" s="645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8" t="s">
        <v>21</v>
      </c>
      <c r="X55" s="649"/>
      <c r="Y55" s="645" t="s">
        <v>1551</v>
      </c>
      <c r="Z55" s="645"/>
      <c r="AA55" s="645"/>
      <c r="AB55" s="645"/>
      <c r="AC55" s="645"/>
      <c r="AD55" s="650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I19" sqref="I19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2" t="str">
        <f>GAMBAR!E7</f>
        <v>KOORDINAT :-6.925704, 110.549220</v>
      </c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6"/>
      <c r="Z6" s="426"/>
      <c r="AA6" s="426"/>
      <c r="AB6" s="427"/>
      <c r="AC6" s="427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2023-05-10T03:04:01Z</cp:lastPrinted>
  <dcterms:created xsi:type="dcterms:W3CDTF">2011-02-06T11:57:38Z</dcterms:created>
  <dcterms:modified xsi:type="dcterms:W3CDTF">2024-08-07T06:53:06Z</dcterms:modified>
</cp:coreProperties>
</file>