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6670A320-5A58-479F-910D-DC6D91046B49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0" i="11" l="1"/>
  <c r="F39" i="11"/>
  <c r="I39" i="11" s="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G35" i="11"/>
  <c r="E35" i="11"/>
  <c r="D35" i="11"/>
  <c r="J35" i="11" s="1"/>
  <c r="G34" i="11"/>
  <c r="E34" i="11"/>
  <c r="D34" i="11"/>
  <c r="J34" i="11" s="1"/>
  <c r="G33" i="11"/>
  <c r="E33" i="11"/>
  <c r="D33" i="11"/>
  <c r="G32" i="11"/>
  <c r="E32" i="11"/>
  <c r="D32" i="11"/>
  <c r="H32" i="11" s="1"/>
  <c r="G31" i="11"/>
  <c r="E31" i="11"/>
  <c r="D31" i="11"/>
  <c r="H31" i="11" s="1"/>
  <c r="G30" i="11"/>
  <c r="E30" i="11"/>
  <c r="D30" i="11"/>
  <c r="J30" i="11" s="1"/>
  <c r="G29" i="11"/>
  <c r="E29" i="11"/>
  <c r="D29" i="11"/>
  <c r="G28" i="11"/>
  <c r="E28" i="11"/>
  <c r="D28" i="11"/>
  <c r="H28" i="11" s="1"/>
  <c r="G27" i="11"/>
  <c r="E27" i="11"/>
  <c r="D27" i="11"/>
  <c r="J27" i="11" s="1"/>
  <c r="G26" i="11"/>
  <c r="E26" i="11"/>
  <c r="D26" i="11"/>
  <c r="J26" i="11" s="1"/>
  <c r="G25" i="11"/>
  <c r="E25" i="11"/>
  <c r="D25" i="11"/>
  <c r="I25" i="11" s="1"/>
  <c r="G24" i="11"/>
  <c r="E24" i="11"/>
  <c r="D24" i="11"/>
  <c r="G23" i="11"/>
  <c r="E23" i="11"/>
  <c r="D23" i="11"/>
  <c r="I23" i="11" s="1"/>
  <c r="G22" i="11"/>
  <c r="E22" i="11"/>
  <c r="D22" i="11"/>
  <c r="J22" i="11" s="1"/>
  <c r="G21" i="11"/>
  <c r="E21" i="11"/>
  <c r="D21" i="11"/>
  <c r="I21" i="11" s="1"/>
  <c r="G20" i="11"/>
  <c r="E20" i="11"/>
  <c r="D20" i="11"/>
  <c r="H20" i="11" s="1"/>
  <c r="G41" i="11"/>
  <c r="E41" i="11"/>
  <c r="D41" i="11"/>
  <c r="I41" i="11" s="1"/>
  <c r="E40" i="11"/>
  <c r="D40" i="11"/>
  <c r="H40" i="11" s="1"/>
  <c r="E39" i="11"/>
  <c r="D39" i="11"/>
  <c r="G38" i="11"/>
  <c r="E38" i="11"/>
  <c r="D38" i="11"/>
  <c r="G37" i="11"/>
  <c r="E37" i="11"/>
  <c r="D37" i="11"/>
  <c r="G36" i="11"/>
  <c r="E36" i="11"/>
  <c r="D36" i="11"/>
  <c r="H36" i="11" s="1"/>
  <c r="H24" i="11" l="1"/>
  <c r="I29" i="11"/>
  <c r="H30" i="11"/>
  <c r="J29" i="11"/>
  <c r="I33" i="11"/>
  <c r="I38" i="11"/>
  <c r="I31" i="11"/>
  <c r="J25" i="11"/>
  <c r="H26" i="11"/>
  <c r="H27" i="11"/>
  <c r="I37" i="11"/>
  <c r="J21" i="11"/>
  <c r="H22" i="11"/>
  <c r="H23" i="11"/>
  <c r="H39" i="11"/>
  <c r="J33" i="11"/>
  <c r="H34" i="11"/>
  <c r="H35" i="11"/>
  <c r="J38" i="11"/>
  <c r="I20" i="11"/>
  <c r="I24" i="11"/>
  <c r="I28" i="11"/>
  <c r="J24" i="11"/>
  <c r="I27" i="11"/>
  <c r="J32" i="11"/>
  <c r="I35" i="11"/>
  <c r="K35" i="11" s="1"/>
  <c r="H21" i="11"/>
  <c r="I22" i="11"/>
  <c r="J23" i="11"/>
  <c r="H25" i="11"/>
  <c r="I26" i="11"/>
  <c r="H29" i="11"/>
  <c r="I30" i="11"/>
  <c r="J31" i="11"/>
  <c r="H33" i="11"/>
  <c r="I34" i="11"/>
  <c r="I32" i="11"/>
  <c r="K32" i="11" s="1"/>
  <c r="J20" i="11"/>
  <c r="J28" i="11"/>
  <c r="J37" i="11"/>
  <c r="H38" i="11"/>
  <c r="J41" i="11"/>
  <c r="J40" i="11"/>
  <c r="H37" i="11"/>
  <c r="J39" i="11"/>
  <c r="H41" i="11"/>
  <c r="I36" i="11"/>
  <c r="J36" i="11"/>
  <c r="K26" i="11" l="1"/>
  <c r="K30" i="11"/>
  <c r="K25" i="11"/>
  <c r="K28" i="11"/>
  <c r="K21" i="11"/>
  <c r="K39" i="11"/>
  <c r="K29" i="11"/>
  <c r="K22" i="11"/>
  <c r="K41" i="11"/>
  <c r="K33" i="11"/>
  <c r="K31" i="11"/>
  <c r="K40" i="11"/>
  <c r="K38" i="11"/>
  <c r="K23" i="11"/>
  <c r="K24" i="11"/>
  <c r="K36" i="11"/>
  <c r="K37" i="11"/>
  <c r="K34" i="11"/>
  <c r="K27" i="11"/>
  <c r="K20" i="11"/>
  <c r="G49" i="11" l="1"/>
  <c r="E49" i="11"/>
  <c r="D49" i="11"/>
  <c r="H49" i="11" s="1"/>
  <c r="G15" i="11"/>
  <c r="G16" i="11"/>
  <c r="G17" i="11"/>
  <c r="G18" i="11"/>
  <c r="G19" i="11"/>
  <c r="E15" i="11"/>
  <c r="E16" i="11"/>
  <c r="E17" i="11"/>
  <c r="E18" i="11"/>
  <c r="D15" i="11"/>
  <c r="H15" i="11" s="1"/>
  <c r="D16" i="11"/>
  <c r="H16" i="11" s="1"/>
  <c r="D17" i="11"/>
  <c r="H17" i="11" s="1"/>
  <c r="J49" i="11" l="1"/>
  <c r="I49" i="11"/>
  <c r="J17" i="11"/>
  <c r="J16" i="11"/>
  <c r="J15" i="11"/>
  <c r="I17" i="11"/>
  <c r="I16" i="11"/>
  <c r="I15" i="11"/>
  <c r="F58" i="11"/>
  <c r="F57" i="11"/>
  <c r="F56" i="11"/>
  <c r="F55" i="11"/>
  <c r="F54" i="11"/>
  <c r="F53" i="11"/>
  <c r="F52" i="11"/>
  <c r="F48" i="11"/>
  <c r="F46" i="11"/>
  <c r="F45" i="11"/>
  <c r="F44" i="11"/>
  <c r="G51" i="11"/>
  <c r="G52" i="11"/>
  <c r="G53" i="11"/>
  <c r="G54" i="11"/>
  <c r="D51" i="11"/>
  <c r="J51" i="11" s="1"/>
  <c r="E51" i="11"/>
  <c r="D52" i="11"/>
  <c r="H52" i="11" s="1"/>
  <c r="E52" i="11"/>
  <c r="D42" i="11"/>
  <c r="J42" i="11" s="1"/>
  <c r="E42" i="11"/>
  <c r="G42" i="11"/>
  <c r="K49" i="11" l="1"/>
  <c r="K15" i="11"/>
  <c r="K17" i="11"/>
  <c r="K16" i="11"/>
  <c r="I51" i="11"/>
  <c r="H51" i="11"/>
  <c r="J52" i="11"/>
  <c r="I42" i="11"/>
  <c r="H42" i="11"/>
  <c r="K42" i="11" l="1"/>
  <c r="K51" i="11"/>
  <c r="D19" i="11" l="1"/>
  <c r="E19" i="11"/>
  <c r="D53" i="11"/>
  <c r="E53" i="11"/>
  <c r="D54" i="11"/>
  <c r="E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H19" i="11" l="1"/>
  <c r="I19" i="11"/>
  <c r="J19" i="11"/>
  <c r="H53" i="11"/>
  <c r="J53" i="11"/>
  <c r="H54" i="11"/>
  <c r="J54" i="11"/>
  <c r="I53" i="11"/>
  <c r="I55" i="11"/>
  <c r="J61" i="11"/>
  <c r="I52" i="11"/>
  <c r="K52" i="11" s="1"/>
  <c r="I56" i="11"/>
  <c r="H55" i="11"/>
  <c r="I54" i="11"/>
  <c r="H58" i="11"/>
  <c r="J57" i="11"/>
  <c r="I58" i="11"/>
  <c r="I59" i="11"/>
  <c r="I61" i="11"/>
  <c r="H59" i="11"/>
  <c r="I60" i="11"/>
  <c r="H60" i="11"/>
  <c r="I57" i="11"/>
  <c r="H56" i="11"/>
  <c r="K19" i="11" l="1"/>
  <c r="K54" i="11"/>
  <c r="K53" i="11"/>
  <c r="K61" i="11"/>
  <c r="K59" i="11"/>
  <c r="K55" i="11"/>
  <c r="K60" i="11"/>
  <c r="K56" i="11"/>
  <c r="K57" i="11"/>
  <c r="K58" i="11"/>
  <c r="G43" i="11"/>
  <c r="G44" i="11"/>
  <c r="G45" i="11"/>
  <c r="G46" i="11"/>
  <c r="G47" i="11"/>
  <c r="G48" i="11"/>
  <c r="D43" i="11"/>
  <c r="H43" i="11" s="1"/>
  <c r="E43" i="11"/>
  <c r="J44" i="11"/>
  <c r="E44" i="11"/>
  <c r="D45" i="11"/>
  <c r="I45" i="11" s="1"/>
  <c r="E45" i="11"/>
  <c r="E46" i="11"/>
  <c r="D47" i="11"/>
  <c r="E47" i="11"/>
  <c r="D48" i="11"/>
  <c r="E48" i="11"/>
  <c r="H47" i="11" l="1"/>
  <c r="J48" i="11"/>
  <c r="H46" i="11"/>
  <c r="I44" i="11"/>
  <c r="I48" i="11"/>
  <c r="H45" i="11"/>
  <c r="J43" i="11"/>
  <c r="J47" i="11"/>
  <c r="H48" i="11"/>
  <c r="I47" i="11"/>
  <c r="J46" i="11"/>
  <c r="H44" i="11"/>
  <c r="I43" i="11"/>
  <c r="I46" i="11"/>
  <c r="J45" i="11"/>
  <c r="K46" i="11" l="1"/>
  <c r="K45" i="11"/>
  <c r="K44" i="11"/>
  <c r="K43" i="11"/>
  <c r="K48" i="11"/>
  <c r="K47" i="11"/>
  <c r="D62" i="11" l="1"/>
  <c r="H62" i="11" s="1"/>
  <c r="E62" i="11"/>
  <c r="G62" i="11"/>
  <c r="I62" i="11" l="1"/>
  <c r="J62" i="11"/>
  <c r="D18" i="11"/>
  <c r="C6" i="62"/>
  <c r="H18" i="11" l="1"/>
  <c r="I18" i="11"/>
  <c r="J18" i="11"/>
  <c r="K62" i="11"/>
  <c r="D16" i="60"/>
  <c r="K18" i="11" l="1"/>
  <c r="D14" i="1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6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3" i="11"/>
  <c r="D64" i="11"/>
  <c r="H64" i="11" s="1"/>
  <c r="E6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4" i="11"/>
  <c r="I6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66" i="11"/>
  <c r="H67" i="11" s="1"/>
  <c r="I66" i="11"/>
  <c r="I6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8" i="11"/>
  <c r="I68" i="11"/>
  <c r="F364" i="29"/>
  <c r="F69" i="39"/>
  <c r="F72" i="39"/>
  <c r="F367" i="29"/>
  <c r="J63" i="11"/>
  <c r="K63" i="11" s="1"/>
  <c r="K66" i="11" s="1"/>
  <c r="K6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6" i="11"/>
  <c r="J67" i="11" s="1"/>
  <c r="K68" i="11"/>
  <c r="B6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<sst xmlns="http://schemas.openxmlformats.org/spreadsheetml/2006/main" count="4731" uniqueCount="1631">
  <si>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</si>
  <si>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</si>
  <si>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</si>
  <si>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</si>
  <si>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</si>
  <si>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</si>
  <si>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</si>
  <si>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</si>
  <si>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</si>
  <si>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</si>
  <si>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</si>
  <si>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</si>
  <si>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</si>
  <si>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</si>
  <si>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</si>
  <si>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</si>
  <si>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</si>
  <si>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</si>
  <si>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</si>
  <si>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</si>
  <si>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</si>
  <si>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</si>
  <si>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</si>
  <si>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</si>
  <si>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</si>
  <si>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</si>
  <si>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</si>
  <si>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</si>
  <si>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</si>
  <si>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</si>
  <si>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</si>
  <si>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</si>
  <si>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</si>
  <si>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</si>
  <si>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</si>
  <si>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</si>
  <si>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</si>
  <si>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</si>
  <si>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</si>
  <si>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</si>
  <si>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</si>
  <si>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</si>
  <si>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</si>
  <si>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</si>
  <si>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</si>
  <si>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</si>
  <si>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</si>
  <si>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</si>
  <si>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</si>
  <si>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</si>
  <si>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</si>
  <si>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</si>
  <si>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</si>
  <si>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</si>
  <si>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</si>
  <si>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</si>
  <si>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</si>
  <si>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</si>
  <si>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</si>
  <si>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</si>
  <si>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</si>
  <si>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</si>
  <si>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</si>
  <si>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</si>
  <si>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</si>
  <si>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</si>
  <si>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</si>
  <si>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</si>
  <si>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</si>
  <si>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</si>
  <si>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</si>
  <si>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</si>
  <si>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</si>
  <si>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</si>
  <si>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</si>
  <si>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</si>
  <si>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</si>
  <si>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</si>
  <si>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</si>
  <si>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</si>
  <si>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</si>
  <si>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</si>
  <si>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</si>
  <si>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</si>
  <si>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</si>
  <si>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</si>
  <si>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</si>
  <si>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</si>
  <si>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</si>
  <si>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</si>
  <si>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</si>
  <si>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</si>
  <si>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</si>
  <si>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</si>
  <si>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</si>
  <si>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</si>
  <si>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</si>
  <si>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</si>
  <si>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</si>
  <si>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</si>
  <si>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</si>
  <si>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</si>
  <si>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</si>
  <si>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</si>
  <si>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</si>
  <si>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</si>
  <si>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</si>
  <si>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</si>
  <si>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</si>
  <si>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</si>
  <si>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</si>
  <si>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</si>
  <si>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</si>
  <si>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</si>
  <si>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</si>
  <si>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</si>
  <si>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</si>
  <si>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</si>
  <si>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</si>
  <si>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</si>
  <si>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</si>
  <si>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</si>
  <si>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</si>
  <si>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</si>
  <si>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</si>
  <si>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</si>
  <si>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</si>
  <si>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</si>
  <si>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</si>
  <si>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</si>
  <si>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</si>
  <si>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</si>
  <si>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</si>
  <si>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</si>
  <si>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</si>
  <si>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</si>
  <si>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</si>
  <si>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</si>
  <si>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</si>
  <si>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</si>
  <si>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</si>
  <si>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</si>
  <si>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</si>
  <si>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</si>
  <si>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</si>
  <si>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</si>
  <si>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</si>
  <si>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</si>
  <si>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</si>
  <si>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</si>
  <si>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</si>
  <si>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</si>
  <si>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</si>
  <si>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</si>
  <si>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</si>
  <si>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</si>
  <si>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</si>
  <si>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</si>
  <si>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</si>
  <si>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</si>
  <si>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</si>
  <si>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</si>
  <si>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</si>
  <si>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</si>
  <si>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</si>
  <si>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</si>
  <si>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</si>
  <si>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</si>
  <si>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</si>
  <si>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</si>
  <si>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</si>
  <si>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</si>
  <si>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</si>
  <si>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</si>
  <si>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</si>
  <si>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</si>
  <si>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</si>
  <si>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</si>
  <si>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</si>
  <si>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</si>
  <si>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</si>
  <si>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</si>
  <si>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</si>
  <si>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</si>
  <si>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</si>
  <si>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</si>
  <si>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</si>
  <si>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</si>
  <si>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</si>
  <si>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</si>
  <si>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</si>
  <si>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</si>
  <si>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</si>
  <si>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</si>
  <si>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</si>
  <si>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</si>
  <si>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</si>
  <si>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</si>
  <si>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</si>
  <si>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</si>
  <si>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</si>
  <si>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</si>
  <si>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</si>
  <si>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</si>
  <si>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</si>
  <si>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</si>
  <si>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</si>
  <si>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</si>
  <si>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</si>
  <si>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</si>
  <si>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</si>
  <si>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</si>
  <si>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</si>
  <si>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</si>
  <si>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</si>
  <si>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</si>
  <si>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</si>
  <si>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</si>
  <si>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</si>
  <si>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</si>
  <si>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</si>
  <si>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</si>
  <si>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</si>
  <si>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</si>
  <si>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</si>
  <si>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</si>
  <si>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</si>
  <si>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</si>
  <si>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</si>
  <si>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</si>
  <si>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</si>
  <si>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</si>
  <si>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</si>
  <si>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</si>
  <si>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</si>
  <si>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</si>
  <si>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</si>
  <si>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</si>
  <si>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</si>
  <si>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</si>
  <si>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</si>
  <si>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</si>
  <si>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</si>
  <si>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</si>
  <si>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</si>
  <si>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</si>
  <si>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</si>
  <si>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</si>
  <si>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</si>
  <si>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</si>
  <si>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</si>
  <si>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</si>
  <si>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</si>
  <si>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</si>
  <si>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</si>
  <si>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</si>
  <si>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</si>
  <si>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</si>
  <si>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</si>
  <si>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</si>
  <si>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</si>
  <si>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</si>
  <si>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</si>
  <si>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</si>
  <si>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</si>
  <si>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</si>
  <si>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</si>
  <si>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</si>
  <si>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</si>
  <si>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</si>
  <si>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</si>
  <si>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</si>
  <si>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</si>
  <si>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</si>
  <si>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</si>
  <si>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</si>
  <si>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</si>
  <si>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</si>
  <si>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</si>
  <si>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</si>
  <si>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</si>
  <si>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</si>
  <si>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</si>
  <si>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</si>
  <si>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</si>
  <si>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</si>
  <si>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</si>
  <si>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</si>
  <si>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</si>
  <si>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</si>
  <si>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</si>
  <si>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</si>
  <si>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</si>
  <si>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</si>
  <si>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</si>
  <si>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</si>
  <si>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</si>
  <si>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</si>
  <si>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</si>
  <si>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</si>
  <si>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</si>
  <si>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</si>
  <si>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</si>
  <si>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</si>
  <si>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</si>
  <si>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</si>
  <si>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</si>
  <si>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</si>
  <si>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</si>
  <si>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</si>
  <si>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</si>
  <si>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</si>
  <si>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</si>
  <si>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</si>
  <si>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</si>
  <si>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</si>
  <si>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</si>
  <si>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</si>
  <si>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</si>
  <si>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</si>
  <si>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</si>
  <si>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</si>
  <si>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</si>
  <si>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</si>
  <si>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</si>
  <si>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</si>
  <si>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</si>
  <si>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</si>
  <si>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</si>
  <si>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</si>
  <si>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</si>
  <si>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</si>
  <si>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</si>
  <si>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</si>
  <si>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</si>
  <si>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</si>
  <si>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</si>
  <si>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</si>
  <si>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</si>
  <si>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</si>
  <si>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</si>
  <si>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</si>
  <si>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</si>
  <si>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</si>
  <si>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</si>
  <si>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</si>
  <si>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</si>
  <si>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</si>
  <si>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</si>
  <si>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</si>
  <si>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</si>
  <si>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</si>
  <si>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</si>
  <si>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</si>
  <si>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</si>
  <si>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</si>
  <si>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</si>
  <si>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</si>
  <si>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</si>
  <si>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</si>
  <si>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</si>
  <si>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</si>
  <si>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</si>
  <si>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</si>
  <si>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</si>
  <si>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</si>
  <si>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</si>
  <si>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</si>
  <si>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</si>
  <si>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</si>
  <si>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</si>
  <si>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</si>
  <si>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</si>
  <si>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</si>
  <si>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</si>
  <si>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</si>
  <si>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</si>
  <si>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</si>
  <si>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</si>
  <si>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</si>
  <si>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</si>
  <si>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</si>
  <si>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</si>
  <si>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</si>
  <si>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</si>
  <si>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</si>
  <si>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</si>
  <si>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</si>
  <si>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</si>
  <si>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</si>
  <si>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</si>
  <si>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</si>
  <si>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</si>
  <si>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</si>
  <si>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</si>
  <si>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</si>
  <si>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</si>
  <si>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</si>
  <si>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</si>
  <si>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</si>
  <si>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</si>
  <si>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</si>
  <si>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</si>
  <si>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</si>
  <si>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</si>
  <si>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</si>
  <si>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</si>
  <si>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</si>
  <si>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</si>
  <si>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</si>
  <si>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</si>
  <si>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</si>
  <si>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</si>
  <si>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</si>
  <si>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</si>
  <si>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</si>
  <si>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</si>
  <si>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</si>
  <si>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</si>
  <si>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</si>
  <si>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</si>
  <si>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</si>
  <si>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</si>
  <si>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</si>
  <si>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</si>
  <si>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</si>
  <si>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</si>
  <si>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</si>
  <si>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</si>
  <si>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</si>
  <si>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</si>
  <si>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</si>
  <si>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</si>
  <si>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</si>
  <si>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</si>
  <si>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</si>
  <si>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</si>
  <si>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</si>
  <si>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</si>
  <si>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</si>
  <si>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</si>
  <si>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</si>
  <si>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</si>
  <si>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</si>
  <si>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</si>
  <si>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</si>
  <si>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</si>
  <si>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</si>
  <si>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</si>
  <si>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</si>
  <si>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</si>
  <si>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</si>
  <si>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</si>
  <si>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</si>
  <si>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</si>
  <si>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</si>
  <si>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</si>
  <si>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</si>
  <si>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</si>
  <si>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</si>
  <si>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</si>
  <si>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</si>
  <si>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</si>
  <si>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</si>
  <si>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</si>
  <si>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</si>
  <si>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</si>
  <si>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</si>
  <si>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</si>
  <si>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</si>
  <si>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</si>
  <si>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</si>
  <si>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</si>
  <si>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</si>
  <si>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</si>
  <si>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</si>
  <si>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</si>
  <si>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</si>
  <si>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</si>
  <si>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</si>
  <si>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</si>
  <si>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</si>
  <si>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</si>
  <si>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</si>
  <si>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</si>
  <si>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</si>
  <si>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</si>
  <si>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</si>
  <si>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</si>
  <si>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</si>
  <si>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</si>
  <si>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</si>
  <si>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</si>
  <si>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</si>
  <si>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</si>
  <si>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</si>
  <si>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</si>
  <si>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</si>
  <si>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</si>
  <si>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</si>
  <si>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</si>
  <si>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</si>
  <si>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</si>
  <si>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</si>
  <si>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</si>
  <si>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</si>
  <si>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</si>
  <si>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</si>
  <si>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</si>
  <si>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</si>
  <si>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</si>
  <si>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</si>
  <si>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</si>
  <si>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</si>
  <si>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</si>
  <si>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</si>
  <si>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</si>
  <si>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</si>
  <si>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</si>
  <si>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</si>
  <si>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</si>
  <si>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</si>
  <si>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</si>
  <si>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</si>
  <si>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</si>
  <si>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</si>
  <si>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</si>
  <si>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</si>
  <si>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</si>
  <si>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</si>
  <si>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</si>
  <si>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</si>
  <si>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</si>
  <si>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</si>
  <si>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</si>
  <si>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</si>
  <si>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</si>
  <si>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</si>
  <si>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</si>
  <si>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</si>
  <si>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</si>
  <si>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</si>
  <si>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</si>
  <si>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</si>
  <si>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</si>
  <si>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</si>
  <si>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</si>
  <si>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</si>
  <si>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</si>
  <si>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</si>
  <si>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</si>
  <si>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</si>
  <si>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</si>
  <si>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</si>
  <si>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</si>
  <si>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</si>
  <si>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</si>
  <si>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</si>
  <si>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</si>
  <si>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</si>
  <si>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</si>
  <si>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</si>
  <si>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</si>
  <si>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</si>
  <si>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</si>
  <si>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</si>
  <si>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</si>
  <si>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</si>
  <si>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</si>
  <si>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</si>
  <si>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</si>
  <si>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</si>
  <si>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</si>
  <si>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</si>
  <si>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</si>
  <si>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</si>
  <si>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</si>
  <si>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</si>
  <si>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</si>
  <si>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</si>
  <si>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</si>
  <si>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</si>
  <si>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</si>
  <si>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</si>
  <si>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</si>
  <si>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</si>
  <si>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</si>
  <si>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</si>
  <si>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</si>
  <si>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</si>
  <si>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</si>
  <si>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</si>
  <si>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</si>
  <si>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</si>
  <si>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</si>
  <si>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</si>
  <si>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</si>
  <si>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</si>
  <si>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</si>
  <si>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</si>
  <si>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</si>
  <si>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</si>
  <si>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</si>
  <si>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</si>
  <si>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</si>
  <si>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</si>
  <si>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</si>
  <si>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</si>
  <si>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</si>
  <si>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</si>
  <si>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</si>
  <si>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</si>
  <si>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</si>
  <si>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</si>
  <si>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</si>
  <si>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</si>
  <si>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</si>
  <si>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</si>
  <si>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</si>
  <si>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</si>
  <si>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</si>
  <si>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</si>
  <si>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</si>
  <si>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</si>
  <si>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</si>
  <si>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</si>
  <si>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</si>
  <si>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</si>
  <si>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</si>
  <si>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</si>
  <si>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</si>
  <si>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</si>
  <si>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</si>
  <si>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</si>
  <si>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</si>
  <si>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</si>
  <si>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</si>
  <si>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</si>
  <si>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</si>
  <si>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</si>
  <si>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</si>
  <si>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</si>
  <si>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</si>
  <si>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</si>
  <si>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</si>
  <si>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</si>
  <si>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</si>
  <si>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</si>
  <si>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</si>
  <si>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</si>
  <si>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</si>
  <si>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</si>
  <si>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</si>
  <si>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</si>
  <si>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</si>
  <si>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</si>
  <si>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</si>
  <si>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</si>
  <si>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</si>
  <si>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</si>
  <si>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</si>
  <si>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</si>
  <si>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</si>
  <si>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</si>
  <si>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</si>
  <si>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</si>
  <si>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</si>
  <si>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</si>
  <si>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</si>
  <si>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</si>
  <si>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</si>
  <si>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</si>
  <si>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</si>
  <si>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</si>
  <si>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</si>
  <si>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</si>
  <si>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</si>
  <si>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</si>
  <si>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</si>
  <si>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</si>
  <si>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</si>
  <si>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</si>
  <si>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</si>
  <si>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</si>
  <si>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</si>
  <si>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</si>
  <si>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</si>
  <si>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</si>
  <si>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</si>
  <si>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</si>
  <si>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</si>
  <si>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</si>
  <si>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</si>
  <si>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</si>
  <si>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</si>
  <si>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</si>
  <si>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</si>
  <si>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</si>
  <si>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</si>
  <si>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</si>
  <si>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</si>
  <si>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</si>
  <si>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</si>
  <si>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</si>
  <si>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</si>
  <si>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</si>
  <si>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</si>
  <si>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</si>
  <si>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</si>
  <si>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</si>
  <si>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</si>
  <si>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</si>
  <si>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</si>
  <si>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</si>
  <si>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</si>
  <si>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</si>
  <si>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</si>
  <si>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</si>
  <si>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</si>
  <si>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</si>
  <si>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</si>
  <si>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</si>
  <si>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</si>
  <si>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</si>
  <si>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</si>
  <si>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</si>
  <si>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</si>
  <si>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</si>
  <si>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</si>
  <si>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</si>
  <si>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</si>
  <si>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</si>
  <si>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</si>
  <si>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</si>
  <si>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</si>
  <si>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</si>
  <si>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</si>
  <si>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</si>
  <si>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</si>
  <si>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</si>
  <si>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</si>
  <si>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</si>
  <si>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</si>
  <si>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</si>
  <si>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</si>
  <si>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</si>
  <si>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</si>
  <si>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</si>
  <si>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</si>
  <si>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</si>
  <si>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</si>
  <si>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</si>
  <si>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</si>
  <si>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</si>
  <si>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</si>
  <si>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</si>
  <si>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</si>
  <si>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</si>
  <si>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</si>
  <si>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</si>
  <si>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</si>
  <si>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</si>
  <si>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</si>
  <si>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</si>
  <si>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</si>
  <si>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</si>
  <si>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</si>
  <si>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</si>
  <si>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</si>
  <si>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</si>
  <si>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</si>
  <si>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</si>
  <si>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</si>
  <si>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</si>
  <si>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</si>
  <si>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</si>
  <si>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</si>
  <si>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</si>
  <si>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</si>
  <si>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</si>
  <si>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</si>
  <si>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</si>
  <si>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</si>
  <si>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</si>
  <si>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</si>
  <si>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</si>
  <si>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</si>
  <si>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</si>
  <si>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</si>
  <si>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</si>
  <si>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</si>
  <si>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</si>
  <si>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</si>
  <si>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</si>
  <si>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</si>
  <si>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</si>
  <si>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</si>
  <si>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</si>
  <si>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</si>
  <si>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</si>
  <si>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</si>
  <si>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</si>
  <si>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</si>
  <si>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</si>
  <si>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</si>
  <si>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</si>
  <si>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</si>
  <si>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</si>
  <si>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</si>
  <si>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</si>
  <si>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</si>
  <si>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</si>
  <si>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</si>
  <si>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</si>
  <si>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</si>
  <si>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</si>
  <si>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</si>
  <si>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</si>
  <si>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</si>
  <si>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</si>
  <si>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</si>
  <si>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</si>
  <si>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</si>
  <si>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</si>
  <si>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</si>
  <si>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</si>
  <si>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</si>
  <si>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</si>
  <si>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</si>
  <si>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</si>
  <si>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</si>
  <si>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</si>
  <si>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</si>
  <si>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</si>
  <si>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</si>
  <si>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</si>
  <si>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</si>
  <si>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</si>
  <si>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</si>
  <si>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</si>
  <si>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</si>
  <si>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</si>
  <si>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</si>
  <si>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</si>
  <si>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</si>
  <si>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</si>
  <si>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</si>
  <si>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</si>
  <si>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</si>
  <si>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</si>
  <si>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</si>
  <si>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</si>
  <si>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</si>
  <si>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</si>
  <si>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</si>
  <si>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</si>
  <si>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</si>
  <si>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</si>
  <si>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</si>
  <si>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</si>
  <si>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</si>
  <si>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</si>
  <si>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</si>
  <si>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</si>
  <si>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</si>
  <si>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</si>
  <si>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</si>
  <si>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</si>
  <si>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</si>
  <si>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</si>
  <si>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</si>
  <si>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</si>
  <si>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</si>
  <si>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</si>
  <si>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</si>
  <si>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</si>
  <si>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</si>
  <si>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</si>
  <si>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</si>
  <si>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</si>
  <si>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</si>
  <si>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</si>
  <si>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</si>
  <si>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</si>
  <si>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</si>
  <si>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</si>
  <si>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</si>
  <si>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</si>
  <si>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</si>
  <si>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</si>
  <si>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</si>
  <si>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</si>
  <si>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</si>
  <si>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</si>
  <si>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</si>
  <si>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</si>
  <si>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</si>
  <si>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</si>
  <si>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</si>
  <si>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</si>
  <si>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</si>
  <si>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</si>
  <si>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</si>
  <si>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</si>
  <si>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</si>
  <si>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</si>
  <si>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</si>
  <si>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</si>
  <si>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</si>
  <si>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</si>
  <si>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</si>
  <si>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</si>
  <si>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</si>
  <si>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</si>
  <si>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</si>
  <si>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</si>
  <si>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</si>
  <si>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</si>
  <si>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</si>
  <si>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</si>
  <si>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</si>
  <si>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</si>
  <si>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</si>
  <si>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</si>
  <si>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</si>
  <si>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</si>
  <si>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</si>
  <si>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</si>
  <si>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</si>
  <si>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</si>
  <si>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</si>
  <si>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</si>
  <si>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</si>
  <si>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</si>
  <si>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</si>
  <si>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</si>
  <si>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</si>
  <si>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</si>
  <si>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</si>
  <si>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</si>
  <si>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</si>
  <si>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</si>
  <si>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</si>
  <si>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</si>
  <si>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</si>
  <si>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</si>
  <si>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</si>
  <si>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</si>
  <si>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</si>
  <si>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</si>
  <si>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</si>
  <si>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</si>
  <si>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</si>
  <si>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</si>
  <si>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</si>
  <si>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</si>
  <si>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</si>
  <si>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</si>
  <si>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</si>
  <si>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</si>
  <si>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</si>
  <si>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</si>
  <si>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</si>
  <si>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</si>
  <si>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</si>
  <si>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</si>
  <si>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</si>
  <si>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</si>
  <si>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</si>
  <si>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</si>
  <si>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</si>
  <si>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</si>
  <si>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</si>
  <si>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</si>
  <si>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</si>
  <si>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</si>
  <si>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</si>
  <si>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</si>
  <si>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</si>
  <si>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</si>
  <si>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</si>
  <si>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</si>
  <si>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</si>
  <si>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</si>
  <si>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</si>
  <si>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</si>
  <si>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</si>
  <si>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</si>
  <si>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</si>
  <si>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</si>
  <si>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</si>
  <si>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</si>
  <si>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</si>
  <si>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</si>
  <si>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</si>
  <si>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</si>
  <si>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</si>
  <si>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</si>
  <si>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</si>
  <si>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</si>
  <si>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</si>
  <si>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</si>
  <si>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</si>
  <si>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</si>
  <si>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</si>
  <si>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</si>
  <si>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</si>
  <si>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</si>
  <si>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</si>
  <si>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</si>
  <si>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</si>
  <si>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</si>
  <si>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</si>
  <si>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</si>
  <si>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</si>
  <si>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</si>
  <si>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</si>
  <si>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</si>
  <si>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</si>
  <si>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</si>
  <si>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</si>
  <si>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</si>
  <si>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</si>
  <si>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</si>
  <si>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</si>
  <si>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</si>
  <si>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</si>
  <si>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</si>
  <si>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</si>
  <si>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</si>
  <si>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</si>
  <si>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</si>
  <si>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</si>
  <si>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</si>
  <si>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</si>
  <si>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</si>
  <si>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</si>
  <si>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</si>
  <si>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</si>
  <si>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</si>
  <si>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</si>
  <si>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</si>
  <si>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</si>
  <si>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</si>
  <si>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</si>
  <si>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</si>
  <si>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</si>
  <si>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</si>
  <si>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</si>
  <si>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</si>
  <si>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</si>
  <si>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</si>
  <si>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</si>
  <si>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</si>
  <si>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</si>
  <si>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</si>
  <si>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</si>
  <si>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</si>
  <si>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</si>
  <si>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</si>
  <si>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</si>
  <si>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</si>
  <si>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</si>
  <si>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</si>
  <si>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</si>
  <si>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</si>
  <si>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</si>
  <si>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</si>
  <si>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</si>
  <si>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</si>
  <si>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</si>
  <si>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</si>
  <si>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</si>
  <si>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</si>
  <si>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</si>
  <si>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</si>
  <si>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</si>
  <si>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</si>
  <si>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</si>
  <si>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</si>
  <si>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</si>
  <si>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</si>
  <si>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</si>
  <si>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</si>
  <si>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</si>
  <si>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</si>
  <si>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</si>
  <si>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</si>
  <si>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</si>
  <si>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</si>
  <si>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</si>
  <si>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</si>
  <si>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</si>
  <si>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</si>
  <si>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</si>
  <si>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</si>
  <si>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</si>
  <si>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</si>
  <si>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</si>
  <si>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</si>
  <si>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</si>
  <si>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</si>
  <si>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</si>
  <si>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</si>
  <si>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</si>
  <si>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</si>
  <si>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</si>
  <si>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</si>
  <si>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</si>
  <si>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</si>
  <si>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</si>
  <si>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</si>
  <si>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</si>
  <si>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</si>
  <si>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</si>
  <si>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</si>
  <si>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</si>
  <si>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</si>
  <si>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</si>
  <si>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</si>
  <si>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</si>
  <si>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</si>
  <si>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</si>
  <si>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</si>
  <si>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</si>
  <si>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</si>
  <si>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</si>
  <si>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</si>
  <si>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</si>
  <si>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</si>
  <si>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</si>
  <si>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</si>
  <si>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</si>
  <si>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</si>
  <si>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</si>
  <si>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</si>
  <si>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</si>
  <si>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</si>
  <si>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</si>
  <si>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</si>
  <si>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</si>
  <si>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</si>
  <si>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</si>
  <si>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</si>
  <si>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</si>
  <si>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</si>
  <si>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</si>
  <si>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</si>
  <si>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</si>
  <si>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</si>
  <si>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</si>
  <si>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</si>
  <si>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</si>
  <si>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</si>
  <si>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</si>
  <si>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</si>
  <si>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</si>
  <si>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</si>
  <si>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</si>
  <si>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</si>
  <si>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</si>
  <si>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</si>
  <si>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</si>
  <si>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</si>
  <si>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</si>
  <si>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</si>
  <si>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</si>
  <si>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</si>
  <si>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</si>
  <si>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</si>
  <si>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</si>
  <si>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</si>
  <si>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</si>
  <si>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</si>
  <si>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</si>
  <si>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</si>
  <si>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</si>
  <si>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</si>
  <si>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</si>
  <si>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</si>
  <si>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</si>
  <si>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</si>
  <si>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</si>
  <si>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</si>
  <si>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</si>
  <si>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</si>
  <si>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</si>
  <si>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</si>
  <si>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</si>
  <si>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</si>
  <si>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</si>
  <si>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</si>
  <si>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</si>
  <si>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</si>
  <si>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</si>
  <si>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</si>
  <si>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</si>
  <si>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</si>
  <si>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</si>
  <si>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</si>
  <si>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</si>
  <si>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</si>
  <si>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</si>
  <si>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</si>
  <si>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</si>
  <si>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</si>
  <si>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</si>
  <si>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</si>
  <si>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</si>
  <si>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</si>
  <si>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</si>
  <si>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</si>
  <si>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</si>
  <si>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</si>
  <si>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</si>
  <si>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</si>
  <si>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</si>
  <si>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</si>
  <si>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</si>
  <si>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</si>
  <si>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</si>
  <si>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</si>
  <si>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</si>
  <si>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</si>
  <si>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</si>
  <si>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</si>
  <si>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</si>
  <si>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</si>
  <si>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</si>
  <si>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</si>
  <si>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</si>
  <si>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</si>
  <si>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</si>
  <si>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</si>
  <si>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</si>
  <si>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</si>
  <si>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</si>
  <si>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</si>
  <si>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</si>
  <si>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</si>
  <si>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</si>
  <si>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</si>
  <si>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</si>
  <si>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</si>
  <si>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</si>
  <si>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</si>
  <si>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</si>
  <si>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</si>
  <si>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</si>
  <si>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</si>
  <si>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</si>
  <si>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</si>
  <si>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</si>
  <si>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</si>
  <si>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</si>
  <si>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</si>
  <si>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</si>
  <si>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</si>
  <si>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</si>
  <si>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</si>
  <si>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</si>
  <si>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</si>
  <si>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</si>
  <si>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</si>
  <si>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</si>
  <si>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</si>
  <si>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</si>
  <si>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</si>
  <si>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</si>
  <si>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</si>
  <si>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</si>
  <si>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</si>
  <si>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</si>
  <si>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</si>
  <si>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</si>
  <si>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</si>
  <si>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</si>
  <si>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</si>
  <si>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</si>
  <si>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</si>
  <si>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</si>
  <si>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</si>
  <si>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</si>
  <si>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</si>
  <si>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</si>
  <si>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</si>
  <si>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</si>
  <si>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</si>
  <si>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</si>
  <si>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</si>
  <si>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</si>
  <si>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</si>
  <si>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</si>
  <si>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</si>
  <si>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</si>
  <si>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</si>
  <si>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</si>
  <si>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</si>
  <si>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</si>
  <si>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</si>
  <si>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</si>
  <si>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</si>
  <si>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</si>
  <si>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</si>
  <si>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</si>
  <si>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</si>
  <si>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</si>
  <si>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</si>
  <si>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</si>
  <si>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</si>
  <si>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</si>
  <si>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</si>
  <si>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</si>
  <si>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</si>
  <si>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</si>
  <si>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</si>
  <si>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</si>
  <si>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</si>
  <si>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</si>
  <si>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</si>
  <si>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</si>
  <si>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</si>
  <si>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</si>
  <si>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</si>
  <si>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</si>
  <si>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</si>
  <si>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</si>
  <si>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</si>
  <si>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</si>
  <si>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</si>
  <si>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</si>
  <si>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</si>
  <si>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</si>
  <si>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</si>
  <si>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</si>
  <si>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</si>
  <si>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</si>
  <si>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</si>
  <si>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</si>
  <si>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</si>
  <si>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</si>
  <si>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</si>
  <si>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</si>
  <si>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</si>
  <si>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</si>
  <si>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</si>
  <si>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</si>
  <si>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</si>
  <si>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</si>
  <si>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</si>
  <si>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</si>
  <si>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</si>
  <si>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</si>
  <si>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</si>
  <si>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</si>
  <si>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</si>
  <si>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</si>
  <si>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</si>
  <si>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</si>
  <si>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</si>
  <si>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</si>
  <si>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</si>
  <si>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</si>
  <si>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</si>
  <si>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</si>
  <si>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</si>
  <si>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</si>
  <si>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</si>
  <si>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</si>
  <si>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</si>
  <si>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</si>
  <si>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</si>
  <si>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</si>
  <si>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</si>
  <si>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</si>
  <si>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</si>
  <si>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</si>
  <si>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</si>
  <si>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</si>
  <si>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</si>
  <si>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</si>
  <si>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</si>
  <si>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</si>
  <si>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</si>
  <si>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</si>
  <si>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</si>
  <si>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</si>
  <si>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</si>
  <si>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</si>
  <si>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</si>
  <si>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</si>
  <si>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</si>
  <si>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</si>
  <si>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</si>
  <si>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</si>
  <si>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</si>
  <si>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</si>
  <si>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</si>
  <si>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</si>
  <si>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</si>
  <si>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</si>
  <si>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</si>
  <si>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</si>
  <si>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</si>
  <si>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</si>
  <si>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</si>
  <si>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</si>
  <si>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</si>
  <si>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</si>
  <si>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</si>
  <si>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</si>
  <si>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</si>
  <si>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</si>
  <si>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</si>
  <si>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</si>
  <si>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</si>
  <si>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</si>
  <si>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</si>
  <si>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</si>
  <si>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</si>
  <si>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</si>
  <si>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</si>
  <si>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</si>
  <si>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</si>
  <si>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</si>
  <si>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</si>
  <si>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</si>
  <si>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</si>
  <si>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</si>
  <si>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</si>
  <si>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</si>
  <si>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</si>
  <si>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</si>
  <si>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</si>
  <si>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</si>
  <si>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</si>
  <si>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</si>
  <si>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</si>
  <si>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</si>
  <si>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</si>
  <si>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</si>
  <si>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</si>
  <si>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</si>
  <si>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</si>
  <si>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</si>
  <si>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</si>
  <si>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</si>
  <si>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</si>
  <si>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</si>
  <si>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</si>
  <si>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</si>
  <si>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</si>
  <si>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</si>
  <si>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</si>
  <si>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</si>
  <si>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</si>
  <si>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</si>
  <si>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</si>
  <si>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</si>
  <si>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</si>
  <si>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</si>
  <si>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</si>
  <si>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</si>
  <si>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</si>
  <si>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</si>
  <si>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</si>
  <si>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</si>
  <si>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</si>
  <si>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</si>
  <si>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</si>
  <si>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</si>
  <si>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</si>
  <si>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</si>
  <si>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</si>
  <si>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</si>
  <si>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</si>
  <si>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</si>
  <si>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</si>
  <si>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</si>
  <si>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</si>
  <si>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</si>
  <si>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</si>
  <si>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</si>
  <si>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</si>
  <si>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</si>
  <si>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</si>
  <si>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</si>
  <si>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</si>
  <si>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</si>
  <si>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</si>
  <si>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</si>
  <si>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</si>
  <si>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</si>
  <si>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</si>
  <si>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</si>
  <si>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</si>
  <si>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</si>
  <si>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</si>
  <si>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</si>
  <si>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</si>
  <si>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</si>
  <si>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</si>
  <si>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</si>
  <si>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</si>
  <si>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</si>
  <si>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</si>
  <si>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</si>
  <si>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</si>
  <si>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</si>
  <si>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</si>
  <si>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</si>
  <si>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</si>
  <si>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</si>
  <si>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</si>
  <si>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</si>
  <si>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</si>
  <si>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</si>
  <si>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</si>
  <si>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</si>
  <si>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</si>
  <si>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</si>
  <si>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</si>
  <si>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</si>
  <si>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</si>
  <si>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</si>
  <si>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</si>
  <si>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</si>
  <si>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</si>
  <si>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</si>
  <si>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</si>
  <si>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</si>
  <si>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</si>
  <si>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</si>
  <si>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</si>
  <si>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</si>
  <si>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</si>
  <si>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</si>
  <si>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</si>
  <si>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</si>
  <si>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</si>
  <si>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</si>
  <si>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</si>
  <si>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</si>
  <si>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</si>
  <si>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</si>
  <si>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</si>
  <si>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</si>
  <si>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</si>
  <si>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</si>
  <si>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</si>
  <si>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</si>
  <si>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</si>
  <si>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</si>
  <si>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</si>
  <si>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</si>
  <si>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</si>
  <si>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</si>
  <si>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</si>
  <si>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</si>
  <si>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</si>
  <si>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</si>
  <si>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</si>
  <si>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</si>
  <si>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</si>
  <si>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</si>
  <si>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</si>
  <si>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</si>
  <si>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</si>
  <si>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</si>
  <si>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</si>
  <si>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</si>
  <si>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</si>
  <si>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</si>
  <si>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</si>
  <si>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</si>
  <si>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</si>
  <si>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</si>
  <si>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</si>
  <si>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</si>
  <si>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</si>
  <si>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</si>
  <si>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</si>
  <si>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</si>
  <si>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</si>
  <si>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</si>
  <si>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</si>
  <si>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</si>
  <si>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</si>
  <si>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</si>
  <si>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</si>
  <si>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</si>
  <si>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</si>
  <si>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</si>
  <si>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</si>
  <si>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</si>
  <si>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</si>
  <si>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</si>
  <si>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</si>
  <si>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</si>
  <si>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</si>
  <si>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</si>
  <si>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</si>
  <si>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</si>
  <si>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</si>
  <si>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</si>
  <si>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</si>
  <si>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</si>
  <si>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</si>
  <si>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</si>
  <si>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</si>
  <si>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</si>
  <si>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</si>
  <si>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</si>
  <si>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</si>
  <si>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</si>
  <si>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</si>
  <si>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</si>
  <si>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</si>
  <si>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PLN</t>
  </si>
  <si>
    <t>UPGRADING TRAFO</t>
  </si>
  <si>
    <t xml:space="preserve">Jumper Wire : </t>
  </si>
  <si>
    <t>Pemasangan APP 3 Fasa Di Bangunan</t>
  </si>
  <si>
    <t>KONSTRUKSI JTR 3 PH</t>
  </si>
  <si>
    <t>Upah Bongkar Trafo 3ph (50/100/160/200 kVA) - hanya pasang trafo tanpa set konstruksi</t>
  </si>
  <si>
    <t>Upah Pasang Trafo 3ph (50/100/160/200 kVA) - hanya pasang trafo tanpa set konstruksi</t>
  </si>
  <si>
    <t>KOORDINAT : -6.8959318, 110.6377775</t>
  </si>
  <si>
    <t>KEJAKSAAN NEGERI DEMAK</t>
  </si>
  <si>
    <t>DEMAK</t>
  </si>
  <si>
    <t>Trafo 3 Fasa 250 KVA 2 Tiang (G313)</t>
  </si>
  <si>
    <t>P1</t>
  </si>
  <si>
    <t>Daya 41.500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</si>
</sst>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5" fillId="0" borderId="0"/>
    <xf numFmtId="165" fontId="21" fillId="0" borderId="0" applyFont="0" applyFill="0" applyBorder="0" applyAlignment="0" applyProtection="0"/>
    <xf numFmtId="0" fontId="5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128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115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0" fillId="0" borderId="69" xfId="1450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0" Type="http://schemas.openxmlformats.org/officeDocument/2006/relationships/image" Target="../media/image22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78</xdr:row>
      <xdr:rowOff>81642</xdr:rowOff>
    </xdr:from>
    <xdr:to>
      <xdr:col>12</xdr:col>
      <xdr:colOff>41108</xdr:colOff>
      <xdr:row>81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341587</xdr:colOff>
      <xdr:row>22</xdr:row>
      <xdr:rowOff>103396</xdr:rowOff>
    </xdr:from>
    <xdr:to>
      <xdr:col>16</xdr:col>
      <xdr:colOff>347664</xdr:colOff>
      <xdr:row>34</xdr:row>
      <xdr:rowOff>109447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E5FB57E-BCD3-5EBA-AF28-D24356822B26}"/>
            </a:ext>
          </a:extLst>
        </xdr:cNvPr>
        <xdr:cNvCxnSpPr>
          <a:stCxn id="79" idx="0"/>
        </xdr:cNvCxnSpPr>
      </xdr:nvCxnSpPr>
      <xdr:spPr>
        <a:xfrm flipH="1" flipV="1">
          <a:off x="5980387" y="3490486"/>
          <a:ext cx="6077" cy="1827231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841" y="815378"/>
          <a:ext cx="1487508" cy="1812713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32577</xdr:colOff>
      <xdr:row>14</xdr:row>
      <xdr:rowOff>38931</xdr:rowOff>
    </xdr:from>
    <xdr:to>
      <xdr:col>16</xdr:col>
      <xdr:colOff>254882</xdr:colOff>
      <xdr:row>42</xdr:row>
      <xdr:rowOff>89300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 rot="5400000">
          <a:off x="3589217" y="4304697"/>
          <a:ext cx="4384244" cy="222305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19</xdr:col>
      <xdr:colOff>205619</xdr:colOff>
      <xdr:row>23</xdr:row>
      <xdr:rowOff>68668</xdr:rowOff>
    </xdr:from>
    <xdr:to>
      <xdr:col>21</xdr:col>
      <xdr:colOff>43006</xdr:colOff>
      <xdr:row>27</xdr:row>
      <xdr:rowOff>53856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6992862" y="3606525"/>
          <a:ext cx="599387" cy="59478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</a:rPr>
            <a:t>K3-341H/1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CC8</a:t>
          </a:r>
        </a:p>
        <a:p>
          <a:pPr algn="l"/>
          <a:r>
            <a:rPr lang="en-US" sz="500" b="1" u="none" strike="sngStrike" baseline="0">
              <a:solidFill>
                <a:sysClr val="windowText" lastClr="000000"/>
              </a:solidFill>
            </a:rPr>
            <a:t>1 CG313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TRF 250 KVA </a:t>
          </a:r>
        </a:p>
      </xdr:txBody>
    </xdr:sp>
    <xdr:clientData/>
  </xdr:twoCellAnchor>
  <xdr:twoCellAnchor>
    <xdr:from>
      <xdr:col>12</xdr:col>
      <xdr:colOff>40031</xdr:colOff>
      <xdr:row>25</xdr:row>
      <xdr:rowOff>130147</xdr:rowOff>
    </xdr:from>
    <xdr:to>
      <xdr:col>15</xdr:col>
      <xdr:colOff>335017</xdr:colOff>
      <xdr:row>33</xdr:row>
      <xdr:rowOff>98534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4158772" y="3946716"/>
          <a:ext cx="1437986" cy="117050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KEJAKSAAN</a:t>
          </a:r>
          <a:r>
            <a:rPr lang="en-US" sz="500" b="1" u="none" baseline="0">
              <a:solidFill>
                <a:schemeClr val="tx1"/>
              </a:solidFill>
            </a:rPr>
            <a:t> NEGERI DMAK</a:t>
          </a:r>
          <a:endParaRPr lang="en-US" sz="500" b="1" u="none">
            <a:solidFill>
              <a:schemeClr val="tx1"/>
            </a:solidFill>
          </a:endParaRP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MCB 50A</a:t>
          </a:r>
        </a:p>
        <a:p>
          <a:pPr algn="ctr"/>
          <a:r>
            <a:rPr lang="en-US" sz="500" b="1" u="none" strike="noStrike" baseline="0">
              <a:solidFill>
                <a:srgbClr val="FF0000"/>
              </a:solidFill>
            </a:rPr>
            <a:t>MCB 63A</a:t>
          </a:r>
        </a:p>
      </xdr:txBody>
    </xdr:sp>
    <xdr:clientData/>
  </xdr:twoCellAnchor>
  <xdr:twoCellAnchor>
    <xdr:from>
      <xdr:col>18</xdr:col>
      <xdr:colOff>138798</xdr:colOff>
      <xdr:row>24</xdr:row>
      <xdr:rowOff>71438</xdr:rowOff>
    </xdr:from>
    <xdr:to>
      <xdr:col>19</xdr:col>
      <xdr:colOff>50589</xdr:colOff>
      <xdr:row>25</xdr:row>
      <xdr:rowOff>62118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BC4A2B4-B7C4-6C4A-F994-24F5291B8BF7}"/>
            </a:ext>
          </a:extLst>
        </xdr:cNvPr>
        <xdr:cNvGrpSpPr/>
      </xdr:nvGrpSpPr>
      <xdr:grpSpPr>
        <a:xfrm>
          <a:off x="6545041" y="3761695"/>
          <a:ext cx="292791" cy="143080"/>
          <a:chOff x="3940276" y="2979323"/>
          <a:chExt cx="292791" cy="181831"/>
        </a:xfrm>
      </xdr:grpSpPr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AF82ACD6-C946-4353-8C78-9C641407504A}"/>
              </a:ext>
            </a:extLst>
          </xdr:cNvPr>
          <xdr:cNvSpPr/>
        </xdr:nvSpPr>
        <xdr:spPr>
          <a:xfrm>
            <a:off x="3940276" y="2979323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" name="Isosceles Triangle 12">
            <a:extLst>
              <a:ext uri="{FF2B5EF4-FFF2-40B4-BE49-F238E27FC236}">
                <a16:creationId xmlns:a16="http://schemas.microsoft.com/office/drawing/2014/main" id="{67255CCF-CF2A-2ED2-377B-FEA39C8AE77B}"/>
              </a:ext>
            </a:extLst>
          </xdr:cNvPr>
          <xdr:cNvSpPr/>
        </xdr:nvSpPr>
        <xdr:spPr>
          <a:xfrm>
            <a:off x="4086529" y="2986079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" name="Isosceles Triangle 13">
            <a:extLst>
              <a:ext uri="{FF2B5EF4-FFF2-40B4-BE49-F238E27FC236}">
                <a16:creationId xmlns:a16="http://schemas.microsoft.com/office/drawing/2014/main" id="{A00481D8-0A88-9635-2974-9DCA865BE932}"/>
              </a:ext>
            </a:extLst>
          </xdr:cNvPr>
          <xdr:cNvSpPr/>
        </xdr:nvSpPr>
        <xdr:spPr>
          <a:xfrm>
            <a:off x="4021357" y="2996106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18</xdr:col>
      <xdr:colOff>2394</xdr:colOff>
      <xdr:row>25</xdr:row>
      <xdr:rowOff>57385</xdr:rowOff>
    </xdr:from>
    <xdr:to>
      <xdr:col>20</xdr:col>
      <xdr:colOff>62551</xdr:colOff>
      <xdr:row>26</xdr:row>
      <xdr:rowOff>139978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95943B2-297E-AD49-8818-F6172FA54973}"/>
            </a:ext>
          </a:extLst>
        </xdr:cNvPr>
        <xdr:cNvSpPr txBox="1"/>
      </xdr:nvSpPr>
      <xdr:spPr>
        <a:xfrm>
          <a:off x="6413133" y="3834255"/>
          <a:ext cx="822157" cy="231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250 KVA</a:t>
          </a:r>
        </a:p>
      </xdr:txBody>
    </xdr:sp>
    <xdr:clientData/>
  </xdr:twoCellAnchor>
  <xdr:twoCellAnchor>
    <xdr:from>
      <xdr:col>16</xdr:col>
      <xdr:colOff>316262</xdr:colOff>
      <xdr:row>25</xdr:row>
      <xdr:rowOff>57398</xdr:rowOff>
    </xdr:from>
    <xdr:to>
      <xdr:col>18</xdr:col>
      <xdr:colOff>182217</xdr:colOff>
      <xdr:row>26</xdr:row>
      <xdr:rowOff>139991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C0E552-79C1-3B10-0355-8AB0C20C7E6F}"/>
            </a:ext>
          </a:extLst>
        </xdr:cNvPr>
        <xdr:cNvSpPr txBox="1"/>
      </xdr:nvSpPr>
      <xdr:spPr>
        <a:xfrm>
          <a:off x="5965001" y="3834268"/>
          <a:ext cx="627955" cy="231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ysClr val="windowText" lastClr="000000"/>
              </a:solidFill>
            </a:rPr>
            <a:t>160 KVA</a:t>
          </a:r>
        </a:p>
      </xdr:txBody>
    </xdr:sp>
    <xdr:clientData/>
  </xdr:twoCellAnchor>
  <xdr:twoCellAnchor>
    <xdr:from>
      <xdr:col>17</xdr:col>
      <xdr:colOff>70252</xdr:colOff>
      <xdr:row>24</xdr:row>
      <xdr:rowOff>49695</xdr:rowOff>
    </xdr:from>
    <xdr:to>
      <xdr:col>17</xdr:col>
      <xdr:colOff>363043</xdr:colOff>
      <xdr:row>25</xdr:row>
      <xdr:rowOff>51231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9FEB6F8A-2C3A-AC99-2497-8C7DE040BE5D}"/>
            </a:ext>
          </a:extLst>
        </xdr:cNvPr>
        <xdr:cNvGrpSpPr/>
      </xdr:nvGrpSpPr>
      <xdr:grpSpPr>
        <a:xfrm>
          <a:off x="6095495" y="3739952"/>
          <a:ext cx="292791" cy="153936"/>
          <a:chOff x="3940276" y="2979323"/>
          <a:chExt cx="292791" cy="181831"/>
        </a:xfrm>
        <a:solidFill>
          <a:schemeClr val="tx1"/>
        </a:solidFill>
      </xdr:grpSpPr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0BEBCB31-8EB5-3AC1-7407-83580F0ADCB8}"/>
              </a:ext>
            </a:extLst>
          </xdr:cNvPr>
          <xdr:cNvSpPr/>
        </xdr:nvSpPr>
        <xdr:spPr>
          <a:xfrm>
            <a:off x="3940276" y="2979323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Isosceles Triangle 17">
            <a:extLst>
              <a:ext uri="{FF2B5EF4-FFF2-40B4-BE49-F238E27FC236}">
                <a16:creationId xmlns:a16="http://schemas.microsoft.com/office/drawing/2014/main" id="{CC2F7A8F-CEB1-6848-F99B-90D0998F625F}"/>
              </a:ext>
            </a:extLst>
          </xdr:cNvPr>
          <xdr:cNvSpPr/>
        </xdr:nvSpPr>
        <xdr:spPr>
          <a:xfrm>
            <a:off x="4086529" y="2986079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Isosceles Triangle 18">
            <a:extLst>
              <a:ext uri="{FF2B5EF4-FFF2-40B4-BE49-F238E27FC236}">
                <a16:creationId xmlns:a16="http://schemas.microsoft.com/office/drawing/2014/main" id="{CC71F5C5-DACB-6B7A-2ECE-206F3D49D5D1}"/>
              </a:ext>
            </a:extLst>
          </xdr:cNvPr>
          <xdr:cNvSpPr/>
        </xdr:nvSpPr>
        <xdr:spPr>
          <a:xfrm>
            <a:off x="4021357" y="2996106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24491</xdr:colOff>
      <xdr:row>23</xdr:row>
      <xdr:rowOff>133940</xdr:rowOff>
    </xdr:from>
    <xdr:to>
      <xdr:col>17</xdr:col>
      <xdr:colOff>372833</xdr:colOff>
      <xdr:row>27</xdr:row>
      <xdr:rowOff>6625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F5517E9-F2C2-EE08-2321-72446D9EEBC7}"/>
            </a:ext>
          </a:extLst>
        </xdr:cNvPr>
        <xdr:cNvSpPr txBox="1"/>
      </xdr:nvSpPr>
      <xdr:spPr>
        <a:xfrm>
          <a:off x="6050796" y="3688391"/>
          <a:ext cx="348342" cy="4860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11</xdr:col>
      <xdr:colOff>213217</xdr:colOff>
      <xdr:row>32</xdr:row>
      <xdr:rowOff>23788</xdr:rowOff>
    </xdr:from>
    <xdr:to>
      <xdr:col>11</xdr:col>
      <xdr:colOff>330322</xdr:colOff>
      <xdr:row>32</xdr:row>
      <xdr:rowOff>122417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10EDC2EC-4459-D5F1-B204-895E14B1653F}"/>
            </a:ext>
          </a:extLst>
        </xdr:cNvPr>
        <xdr:cNvGrpSpPr/>
      </xdr:nvGrpSpPr>
      <xdr:grpSpPr>
        <a:xfrm rot="6693708">
          <a:off x="3961698" y="4913121"/>
          <a:ext cx="98629" cy="117105"/>
          <a:chOff x="6166431" y="2688123"/>
          <a:chExt cx="100479" cy="117105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2A5C248-47D3-7049-402D-4B9CABC534B0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D024B7E-DEAC-03DB-5E47-E8E6A84267CA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6411F21C-1D8F-416E-8BA4-216AD19682D0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E9694AED-BBAB-129E-A889-10D95B18CADC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164225</xdr:colOff>
      <xdr:row>35</xdr:row>
      <xdr:rowOff>96378</xdr:rowOff>
    </xdr:from>
    <xdr:to>
      <xdr:col>16</xdr:col>
      <xdr:colOff>245973</xdr:colOff>
      <xdr:row>37</xdr:row>
      <xdr:rowOff>1280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E85CF6C-D9E1-3C3F-C538-EC1C7F87BA85}"/>
            </a:ext>
          </a:extLst>
        </xdr:cNvPr>
        <xdr:cNvSpPr/>
      </xdr:nvSpPr>
      <xdr:spPr>
        <a:xfrm>
          <a:off x="3139966" y="5417240"/>
          <a:ext cx="2748748" cy="220212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16</xdr:col>
      <xdr:colOff>289579</xdr:colOff>
      <xdr:row>34</xdr:row>
      <xdr:rowOff>109447</xdr:rowOff>
    </xdr:from>
    <xdr:to>
      <xdr:col>17</xdr:col>
      <xdr:colOff>24748</xdr:colOff>
      <xdr:row>35</xdr:row>
      <xdr:rowOff>63250</xdr:rowOff>
    </xdr:to>
    <xdr:grpSp>
      <xdr:nvGrpSpPr>
        <xdr:cNvPr id="78" name="Group 682">
          <a:extLst>
            <a:ext uri="{FF2B5EF4-FFF2-40B4-BE49-F238E27FC236}">
              <a16:creationId xmlns:a16="http://schemas.microsoft.com/office/drawing/2014/main" id="{D7989929-CF89-FA94-4E48-895E3FA09EC2}"/>
            </a:ext>
          </a:extLst>
        </xdr:cNvPr>
        <xdr:cNvGrpSpPr>
          <a:grpSpLocks/>
        </xdr:cNvGrpSpPr>
      </xdr:nvGrpSpPr>
      <xdr:grpSpPr bwMode="auto">
        <a:xfrm>
          <a:off x="5933822" y="5312818"/>
          <a:ext cx="116169" cy="10620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C9C1EFE4-B3C6-5DA5-2890-0FD03512B53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F4D0A250-2F85-B933-4454-DA89CC6B8E08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ABD5A0C-C669-8119-EF17-EB204B4F8C2C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283626</xdr:colOff>
      <xdr:row>29</xdr:row>
      <xdr:rowOff>42181</xdr:rowOff>
    </xdr:from>
    <xdr:to>
      <xdr:col>17</xdr:col>
      <xdr:colOff>18795</xdr:colOff>
      <xdr:row>30</xdr:row>
      <xdr:rowOff>7890</xdr:rowOff>
    </xdr:to>
    <xdr:grpSp>
      <xdr:nvGrpSpPr>
        <xdr:cNvPr id="82" name="Group 682">
          <a:extLst>
            <a:ext uri="{FF2B5EF4-FFF2-40B4-BE49-F238E27FC236}">
              <a16:creationId xmlns:a16="http://schemas.microsoft.com/office/drawing/2014/main" id="{70396FAF-E90A-311C-BFBD-3789662165EF}"/>
            </a:ext>
          </a:extLst>
        </xdr:cNvPr>
        <xdr:cNvGrpSpPr>
          <a:grpSpLocks/>
        </xdr:cNvGrpSpPr>
      </xdr:nvGrpSpPr>
      <xdr:grpSpPr bwMode="auto">
        <a:xfrm>
          <a:off x="5927869" y="4494438"/>
          <a:ext cx="116169" cy="10722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1D78995-56BF-0E53-F20F-D6DFE282CE2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26E5E06A-C3BA-E95A-213C-E6045938DDE3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C40FFD49-A158-EC59-BDAA-3D8D5C8B935C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287547</xdr:colOff>
      <xdr:row>25</xdr:row>
      <xdr:rowOff>70059</xdr:rowOff>
    </xdr:from>
    <xdr:to>
      <xdr:col>17</xdr:col>
      <xdr:colOff>22716</xdr:colOff>
      <xdr:row>26</xdr:row>
      <xdr:rowOff>25314</xdr:rowOff>
    </xdr:to>
    <xdr:grpSp>
      <xdr:nvGrpSpPr>
        <xdr:cNvPr id="86" name="Group 682">
          <a:extLst>
            <a:ext uri="{FF2B5EF4-FFF2-40B4-BE49-F238E27FC236}">
              <a16:creationId xmlns:a16="http://schemas.microsoft.com/office/drawing/2014/main" id="{E783FC46-36BF-8DAE-2C5E-A66334D8FA60}"/>
            </a:ext>
          </a:extLst>
        </xdr:cNvPr>
        <xdr:cNvGrpSpPr>
          <a:grpSpLocks/>
        </xdr:cNvGrpSpPr>
      </xdr:nvGrpSpPr>
      <xdr:grpSpPr bwMode="auto">
        <a:xfrm>
          <a:off x="5931790" y="3912716"/>
          <a:ext cx="116169" cy="10765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903C3FC8-C339-85DE-13A4-4492FB3FA53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33B5629-249D-2C1E-AE9B-BD21927574B1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B93DAB94-25DD-D982-4464-4B82B9F952B5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106635</xdr:colOff>
      <xdr:row>30</xdr:row>
      <xdr:rowOff>13139</xdr:rowOff>
    </xdr:from>
    <xdr:to>
      <xdr:col>12</xdr:col>
      <xdr:colOff>59121</xdr:colOff>
      <xdr:row>34</xdr:row>
      <xdr:rowOff>101276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9B262891-7F16-DE68-5890-4CF8CEEEE073}"/>
            </a:ext>
          </a:extLst>
        </xdr:cNvPr>
        <xdr:cNvCxnSpPr>
          <a:stCxn id="23" idx="1"/>
          <a:endCxn id="48" idx="0"/>
        </xdr:cNvCxnSpPr>
      </xdr:nvCxnSpPr>
      <xdr:spPr>
        <a:xfrm flipH="1">
          <a:off x="3844376" y="4578570"/>
          <a:ext cx="333486" cy="69248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48550</xdr:colOff>
      <xdr:row>34</xdr:row>
      <xdr:rowOff>101276</xdr:rowOff>
    </xdr:from>
    <xdr:to>
      <xdr:col>11</xdr:col>
      <xdr:colOff>164719</xdr:colOff>
      <xdr:row>35</xdr:row>
      <xdr:rowOff>56530</xdr:rowOff>
    </xdr:to>
    <xdr:grpSp>
      <xdr:nvGrpSpPr>
        <xdr:cNvPr id="40" name="Group 682">
          <a:extLst>
            <a:ext uri="{FF2B5EF4-FFF2-40B4-BE49-F238E27FC236}">
              <a16:creationId xmlns:a16="http://schemas.microsoft.com/office/drawing/2014/main" id="{F257C5E2-F80A-44B4-C06E-6A39F683C303}"/>
            </a:ext>
          </a:extLst>
        </xdr:cNvPr>
        <xdr:cNvGrpSpPr>
          <a:grpSpLocks/>
        </xdr:cNvGrpSpPr>
      </xdr:nvGrpSpPr>
      <xdr:grpSpPr bwMode="auto">
        <a:xfrm>
          <a:off x="3787793" y="5304647"/>
          <a:ext cx="116169" cy="107654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1CD486FD-CCA3-E6E8-3151-DBA52441C6E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B45F92D8-588F-160E-CA59-829FF228F8C2}"/>
              </a:ext>
            </a:extLst>
          </xdr:cNvPr>
          <xdr:cNvCxnSpPr>
            <a:stCxn id="48" idx="1"/>
            <a:endCxn id="4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5CCCCAB9-9B33-7D4A-B459-C2E2EE6BC21C}"/>
              </a:ext>
            </a:extLst>
          </xdr:cNvPr>
          <xdr:cNvCxnSpPr>
            <a:stCxn id="48" idx="3"/>
            <a:endCxn id="4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293203</xdr:colOff>
      <xdr:row>24</xdr:row>
      <xdr:rowOff>83594</xdr:rowOff>
    </xdr:from>
    <xdr:to>
      <xdr:col>17</xdr:col>
      <xdr:colOff>28372</xdr:colOff>
      <xdr:row>25</xdr:row>
      <xdr:rowOff>43091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511EBF9C-964C-6F0A-1A8A-B89655ED6108}"/>
            </a:ext>
          </a:extLst>
        </xdr:cNvPr>
        <xdr:cNvGrpSpPr>
          <a:grpSpLocks/>
        </xdr:cNvGrpSpPr>
      </xdr:nvGrpSpPr>
      <xdr:grpSpPr bwMode="auto">
        <a:xfrm>
          <a:off x="5937446" y="3773851"/>
          <a:ext cx="116169" cy="11189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BEEBC557-24F9-5F04-2835-4748FCB1C0C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22755F49-9E45-6EC7-76DE-5316F9FDE7CC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7D9D872-BEC9-07F2-7B5E-48ACC3577FC7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182805</xdr:colOff>
      <xdr:row>37</xdr:row>
      <xdr:rowOff>48812</xdr:rowOff>
    </xdr:from>
    <xdr:to>
      <xdr:col>9</xdr:col>
      <xdr:colOff>296986</xdr:colOff>
      <xdr:row>38</xdr:row>
      <xdr:rowOff>104799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1A4F39A-6B71-6A03-A8A3-337A644EB956}"/>
            </a:ext>
          </a:extLst>
        </xdr:cNvPr>
        <xdr:cNvSpPr/>
      </xdr:nvSpPr>
      <xdr:spPr>
        <a:xfrm rot="20057759">
          <a:off x="2015546" y="5684984"/>
          <a:ext cx="1257181" cy="220212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12</xdr:col>
      <xdr:colOff>59121</xdr:colOff>
      <xdr:row>29</xdr:row>
      <xdr:rowOff>118242</xdr:rowOff>
    </xdr:from>
    <xdr:to>
      <xdr:col>12</xdr:col>
      <xdr:colOff>223345</xdr:colOff>
      <xdr:row>30</xdr:row>
      <xdr:rowOff>52553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ACBD255-E94F-90FB-537A-A36D442221EB}"/>
            </a:ext>
          </a:extLst>
        </xdr:cNvPr>
        <xdr:cNvSpPr/>
      </xdr:nvSpPr>
      <xdr:spPr>
        <a:xfrm>
          <a:off x="4177862" y="4539156"/>
          <a:ext cx="164224" cy="78828"/>
        </a:xfrm>
        <a:prstGeom prst="rect">
          <a:avLst/>
        </a:prstGeom>
        <a:solidFill>
          <a:srgbClr val="FF0000"/>
        </a:solidFill>
        <a:ln w="158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164719</xdr:colOff>
      <xdr:row>35</xdr:row>
      <xdr:rowOff>2703</xdr:rowOff>
    </xdr:from>
    <xdr:to>
      <xdr:col>16</xdr:col>
      <xdr:colOff>289579</xdr:colOff>
      <xdr:row>35</xdr:row>
      <xdr:rowOff>10149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228D01B5-F5B9-4320-796F-A5ABD38DB387}"/>
            </a:ext>
          </a:extLst>
        </xdr:cNvPr>
        <xdr:cNvCxnSpPr>
          <a:stCxn id="79" idx="2"/>
          <a:endCxn id="48" idx="6"/>
        </xdr:cNvCxnSpPr>
      </xdr:nvCxnSpPr>
      <xdr:spPr>
        <a:xfrm flipH="1" flipV="1">
          <a:off x="3898519" y="5363373"/>
          <a:ext cx="2029860" cy="7446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55795</xdr:colOff>
      <xdr:row>34</xdr:row>
      <xdr:rowOff>96706</xdr:rowOff>
    </xdr:from>
    <xdr:to>
      <xdr:col>14</xdr:col>
      <xdr:colOff>171964</xdr:colOff>
      <xdr:row>35</xdr:row>
      <xdr:rowOff>50508</xdr:rowOff>
    </xdr:to>
    <xdr:grpSp>
      <xdr:nvGrpSpPr>
        <xdr:cNvPr id="70" name="Group 682">
          <a:extLst>
            <a:ext uri="{FF2B5EF4-FFF2-40B4-BE49-F238E27FC236}">
              <a16:creationId xmlns:a16="http://schemas.microsoft.com/office/drawing/2014/main" id="{981C6AD7-AD76-7BB2-AF19-EDAF89FFDA98}"/>
            </a:ext>
          </a:extLst>
        </xdr:cNvPr>
        <xdr:cNvGrpSpPr>
          <a:grpSpLocks/>
        </xdr:cNvGrpSpPr>
      </xdr:nvGrpSpPr>
      <xdr:grpSpPr bwMode="auto">
        <a:xfrm>
          <a:off x="4938038" y="5300077"/>
          <a:ext cx="116169" cy="10620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70CB485E-C254-9713-831C-7E27727F9B1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2C61A3B8-A234-18B7-218C-0462FD971221}"/>
              </a:ext>
            </a:extLst>
          </xdr:cNvPr>
          <xdr:cNvCxnSpPr>
            <a:stCxn id="71" idx="1"/>
            <a:endCxn id="7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A476AC1A-8C27-C66B-2793-5EABA40CDB08}"/>
              </a:ext>
            </a:extLst>
          </xdr:cNvPr>
          <xdr:cNvCxnSpPr>
            <a:stCxn id="71" idx="3"/>
            <a:endCxn id="7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3243</xdr:colOff>
      <xdr:row>35</xdr:row>
      <xdr:rowOff>37585</xdr:rowOff>
    </xdr:from>
    <xdr:to>
      <xdr:col>9</xdr:col>
      <xdr:colOff>119412</xdr:colOff>
      <xdr:row>35</xdr:row>
      <xdr:rowOff>142473</xdr:rowOff>
    </xdr:to>
    <xdr:grpSp>
      <xdr:nvGrpSpPr>
        <xdr:cNvPr id="45" name="Group 682">
          <a:extLst>
            <a:ext uri="{FF2B5EF4-FFF2-40B4-BE49-F238E27FC236}">
              <a16:creationId xmlns:a16="http://schemas.microsoft.com/office/drawing/2014/main" id="{9EA5679D-7305-1AA2-29F4-1ABF68880410}"/>
            </a:ext>
          </a:extLst>
        </xdr:cNvPr>
        <xdr:cNvGrpSpPr>
          <a:grpSpLocks/>
        </xdr:cNvGrpSpPr>
      </xdr:nvGrpSpPr>
      <xdr:grpSpPr bwMode="auto">
        <a:xfrm>
          <a:off x="2980486" y="5393356"/>
          <a:ext cx="116169" cy="10488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6" name="Oval 45">
            <a:extLst>
              <a:ext uri="{FF2B5EF4-FFF2-40B4-BE49-F238E27FC236}">
                <a16:creationId xmlns:a16="http://schemas.microsoft.com/office/drawing/2014/main" id="{37EFAC96-0F9C-C056-F4DD-84B49390DA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7715A2F4-3D9C-FA49-B7D1-53D353B3FBAD}"/>
              </a:ext>
            </a:extLst>
          </xdr:cNvPr>
          <xdr:cNvCxnSpPr>
            <a:stCxn id="46" idx="1"/>
            <a:endCxn id="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9CFB2800-367A-5967-CEBC-6ED079A4AF84}"/>
              </a:ext>
            </a:extLst>
          </xdr:cNvPr>
          <xdr:cNvCxnSpPr>
            <a:stCxn id="46" idx="3"/>
            <a:endCxn id="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119412</xdr:colOff>
      <xdr:row>35</xdr:row>
      <xdr:rowOff>3360</xdr:rowOff>
    </xdr:from>
    <xdr:to>
      <xdr:col>11</xdr:col>
      <xdr:colOff>48550</xdr:colOff>
      <xdr:row>35</xdr:row>
      <xdr:rowOff>90029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2EDEC84-A5D5-9838-B751-2B03188E324B}"/>
            </a:ext>
          </a:extLst>
        </xdr:cNvPr>
        <xdr:cNvCxnSpPr>
          <a:stCxn id="48" idx="2"/>
          <a:endCxn id="46" idx="6"/>
        </xdr:cNvCxnSpPr>
      </xdr:nvCxnSpPr>
      <xdr:spPr>
        <a:xfrm flipH="1">
          <a:off x="3095153" y="5324222"/>
          <a:ext cx="691138" cy="86669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262748</xdr:colOff>
      <xdr:row>34</xdr:row>
      <xdr:rowOff>99988</xdr:rowOff>
    </xdr:from>
    <xdr:to>
      <xdr:col>12</xdr:col>
      <xdr:colOff>379853</xdr:colOff>
      <xdr:row>35</xdr:row>
      <xdr:rowOff>46217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175F51F6-6607-45C5-9CDF-E528B62E7717}"/>
            </a:ext>
          </a:extLst>
        </xdr:cNvPr>
        <xdr:cNvGrpSpPr/>
      </xdr:nvGrpSpPr>
      <xdr:grpSpPr>
        <a:xfrm rot="6693708">
          <a:off x="4392229" y="5294121"/>
          <a:ext cx="98629" cy="117105"/>
          <a:chOff x="6166431" y="2688123"/>
          <a:chExt cx="100479" cy="117105"/>
        </a:xfrm>
      </xdr:grpSpPr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EF702667-1215-2603-3BE2-17EF13CAD20B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E5B2E6A5-F546-A8EA-3EAA-8B81E38256B8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887B79C5-10BC-15FE-4130-62481016CBE5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D4E62423-6FE1-D798-2F34-D6C1395A0ADE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137018</xdr:colOff>
      <xdr:row>34</xdr:row>
      <xdr:rowOff>115228</xdr:rowOff>
    </xdr:from>
    <xdr:to>
      <xdr:col>15</xdr:col>
      <xdr:colOff>254123</xdr:colOff>
      <xdr:row>35</xdr:row>
      <xdr:rowOff>61457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2DB0F843-6AC1-2B20-4B3F-169FCFEC07C3}"/>
            </a:ext>
          </a:extLst>
        </xdr:cNvPr>
        <xdr:cNvGrpSpPr/>
      </xdr:nvGrpSpPr>
      <xdr:grpSpPr>
        <a:xfrm rot="6693708">
          <a:off x="5409499" y="5309361"/>
          <a:ext cx="98629" cy="117105"/>
          <a:chOff x="6166431" y="2688123"/>
          <a:chExt cx="100479" cy="117105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DA6E782E-DFBF-2F78-C2E5-2A939AD6ED2B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4DDB5639-9AD3-1A3C-E54B-ACB9B487974B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5E7D7623-5FCC-3C81-2899-8232BE426A77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F37399DB-7AEF-CDBE-2699-344884403034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293228</xdr:colOff>
      <xdr:row>31</xdr:row>
      <xdr:rowOff>138088</xdr:rowOff>
    </xdr:from>
    <xdr:to>
      <xdr:col>17</xdr:col>
      <xdr:colOff>29333</xdr:colOff>
      <xdr:row>32</xdr:row>
      <xdr:rowOff>84317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41050C1E-9BA1-FC45-0B14-DA0BC7611B5C}"/>
            </a:ext>
          </a:extLst>
        </xdr:cNvPr>
        <xdr:cNvGrpSpPr/>
      </xdr:nvGrpSpPr>
      <xdr:grpSpPr>
        <a:xfrm rot="6036257">
          <a:off x="5946709" y="4875021"/>
          <a:ext cx="98629" cy="117105"/>
          <a:chOff x="6166431" y="2688123"/>
          <a:chExt cx="100479" cy="117105"/>
        </a:xfrm>
      </xdr:grpSpPr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FD2086D6-9D3C-B41A-A476-8F1AED199380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754443CC-F7BF-98F2-1F4E-455BB137645C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1D669569-73DC-B8EE-6275-88C55FF31306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8EF4D4D-15B7-51D7-F147-9A172BC7B714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289418</xdr:colOff>
      <xdr:row>27</xdr:row>
      <xdr:rowOff>69508</xdr:rowOff>
    </xdr:from>
    <xdr:to>
      <xdr:col>17</xdr:col>
      <xdr:colOff>25523</xdr:colOff>
      <xdr:row>28</xdr:row>
      <xdr:rowOff>15737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A9D54657-DA5E-9D34-00BC-C2C3336B5A0B}"/>
            </a:ext>
          </a:extLst>
        </xdr:cNvPr>
        <xdr:cNvGrpSpPr/>
      </xdr:nvGrpSpPr>
      <xdr:grpSpPr>
        <a:xfrm rot="6036257">
          <a:off x="5942899" y="4207727"/>
          <a:ext cx="98629" cy="117105"/>
          <a:chOff x="6166431" y="2688123"/>
          <a:chExt cx="100479" cy="117105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F534F179-E70C-1E3B-32B3-2196D94EA677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CBB8F673-04C8-15F7-5C11-C1DF56969D4C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4EF4AF7-8553-354B-FD7A-98A2EF2F0208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4E2B74A6-26E8-4C9B-08CA-0DC197D47F8D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  <sheetName val="TDL 2022"/>
      <sheetName val="DATA PLG"/>
      <sheetName val="Asumsi &amp; Hasil"/>
      <sheetName val="KAJIAN FINANSIAL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>
        <row r="120">
          <cell r="H120">
            <v>9000</v>
          </cell>
        </row>
      </sheetData>
      <sheetData sheetId="247">
        <row r="120">
          <cell r="H120">
            <v>9000</v>
          </cell>
        </row>
      </sheetData>
      <sheetData sheetId="248">
        <row r="120">
          <cell r="H120">
            <v>9000</v>
          </cell>
        </row>
      </sheetData>
      <sheetData sheetId="249"/>
      <sheetData sheetId="250">
        <row r="120">
          <cell r="H120">
            <v>9000</v>
          </cell>
        </row>
      </sheetData>
      <sheetData sheetId="251">
        <row r="120">
          <cell r="H120">
            <v>9000</v>
          </cell>
        </row>
      </sheetData>
      <sheetData sheetId="252">
        <row r="120">
          <cell r="H120">
            <v>9000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SUMIFS(RAB!$F$14:$F$62,RAB!$C$14:$C$62,C714)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SUMIFS(RAB!$F$14:$F$62,RAB!$C$14:$C$62,C715)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SUMIFS(RAB!$F$14:$F$62,RAB!$C$14:$C$62,C716)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SUMIFS(RAB!$F$14:$F$62,RAB!$C$14:$C$62,C717)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SUMIFS(RAB!$F$14:$F$62,RAB!$C$14:$C$62,C718)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SUMIFS(RAB!$F$14:$F$62,RAB!$C$14:$C$62,C719)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SUMIFS(RAB!$F$14:$F$62,RAB!$C$14:$C$62,C720)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SUMIFS(RAB!$F$14:$F$62,RAB!$C$14:$C$62,C721)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SUMIFS(RAB!$F$14:$F$62,RAB!$C$14:$C$62,C722)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SUMIFS(RAB!$F$14:$F$62,RAB!$C$14:$C$62,C723)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SUMIFS(RAB!$F$14:$F$62,RAB!$C$14:$C$62,C724)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SUMIFS(RAB!$F$14:$F$62,RAB!$C$14:$C$62,C725)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SUMIFS(RAB!$F$14:$F$62,RAB!$C$14:$C$62,C726)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SUMIFS(RAB!$F$14:$F$62,RAB!$C$14:$C$62,C727)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SUMIFS(RAB!$F$14:$F$62,RAB!$C$14:$C$62,C728)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SUMIFS(RAB!$F$14:$F$62,RAB!$C$14:$C$62,C729)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SUMIFS(RAB!$F$14:$F$62,RAB!$C$14:$C$62,C730)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SUMIFS(RAB!$F$14:$F$62,RAB!$C$14:$C$62,C731)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SUMIFS(RAB!$F$14:$F$62,RAB!$C$14:$C$62,C732)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SUMIFS(RAB!$F$14:$F$62,RAB!$C$14:$C$62,C733)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SUMIFS(RAB!$F$14:$F$62,RAB!$C$14:$C$62,C734)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SUMIFS(RAB!$F$14:$F$62,RAB!$C$14:$C$62,C735)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SUMIFS(RAB!$F$14:$F$62,RAB!$C$14:$C$62,C736)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SUMIFS(RAB!$F$14:$F$62,RAB!$C$14:$C$62,C737)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SUMIFS(RAB!$F$14:$F$62,RAB!$C$14:$C$62,C738)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SUMIFS(RAB!$F$14:$F$62,RAB!$C$14:$C$62,C739)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SUMIFS(RAB!$F$14:$F$62,RAB!$C$14:$C$62,C740)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SUMIFS(RAB!$F$14:$F$62,RAB!$C$14:$C$62,C741)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SUMIFS(RAB!$F$14:$F$62,RAB!$C$14:$C$62,C742)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SUMIFS(RAB!$F$14:$F$62,RAB!$C$14:$C$62,C743)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SUMIFS(RAB!$F$14:$F$62,RAB!$C$14:$C$62,C744)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SUMIFS(RAB!$F$14:$F$62,RAB!$C$14:$C$62,C745)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SUMIFS(RAB!$F$14:$F$62,RAB!$C$14:$C$62,C746)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SUMIFS(RAB!$F$14:$F$62,RAB!$C$14:$C$62,C747)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SUMIFS(RAB!$F$14:$F$62,RAB!$C$14:$C$62,C748)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SUMIFS(RAB!$F$14:$F$62,RAB!$C$14:$C$62,C749)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SUMIFS(RAB!$F$14:$F$62,RAB!$C$14:$C$62,C750)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SUMIFS(RAB!$F$14:$F$62,RAB!$C$14:$C$62,C751)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SUMIFS(RAB!$F$14:$F$62,RAB!$C$14:$C$62,C752)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SUMIFS(RAB!$F$14:$F$62,RAB!$C$14:$C$62,C753)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SUMIFS(RAB!$F$14:$F$62,RAB!$C$14:$C$62,C754)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SUMIFS(RAB!$F$14:$F$62,RAB!$C$14:$C$62,C755)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SUMIFS(RAB!$F$14:$F$62,RAB!$C$14:$C$62,C756)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SUMIFS(RAB!$F$14:$F$62,RAB!$C$14:$C$62,C757)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SUMIFS(RAB!$F$14:$F$62,RAB!$C$14:$C$62,C758)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SUMIFS(RAB!$F$14:$F$62,RAB!$C$14:$C$62,C759)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SUMIFS(RAB!$F$14:$F$62,RAB!$C$14:$C$62,C760)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SUMIFS(RAB!$F$14:$F$62,RAB!$C$14:$C$62,C761)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SUMIFS(RAB!$F$14:$F$62,RAB!$C$14:$C$62,C762)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SUMIFS(RAB!$F$14:$F$62,RAB!$C$14:$C$62,C763)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SUMIFS(RAB!$F$14:$F$62,RAB!$C$14:$C$62,C764)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SUMIFS(RAB!$F$14:$F$62,RAB!$C$14:$C$62,C765)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SUMIFS(RAB!$F$14:$F$62,RAB!$C$14:$C$62,C766)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SUMIFS(RAB!$F$14:$F$62,RAB!$C$14:$C$62,C767)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SUMIFS(RAB!$F$14:$F$62,RAB!$C$14:$C$62,C768)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SUMIFS(RAB!$F$14:$F$62,RAB!$C$14:$C$62,C769)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SUMIFS(RAB!$F$14:$F$62,RAB!$C$14:$C$62,C770)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SUMIFS(RAB!$F$14:$F$62,RAB!$C$14:$C$62,C771)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SUMIFS(RAB!$F$14:$F$62,RAB!$C$14:$C$62,C772)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SUMIFS(RAB!$F$14:$F$62,RAB!$C$14:$C$62,C773)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SUMIFS(RAB!$F$14:$F$62,RAB!$C$14:$C$62,C774)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SUMIFS(RAB!$F$14:$F$62,RAB!$C$14:$C$62,C775)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SUMIFS(RAB!$F$14:$F$62,RAB!$C$14:$C$62,C776)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SUMIFS(RAB!$F$14:$F$62,RAB!$C$14:$C$62,C777)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SUMIFS(RAB!$F$14:$F$62,RAB!$C$14:$C$62,C778)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SUMIFS(RAB!$F$14:$F$62,RAB!$C$14:$C$62,C779)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SUMIFS(RAB!$F$14:$F$62,RAB!$C$14:$C$62,C780)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SUMIFS(RAB!$F$14:$F$62,RAB!$C$14:$C$62,C781)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SUMIFS(RAB!$F$14:$F$62,RAB!$C$14:$C$62,C782)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SUMIFS(RAB!$F$14:$F$62,RAB!$C$14:$C$62,C783)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SUMIFS(RAB!$F$14:$F$62,RAB!$C$14:$C$62,C784)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SUMIFS(RAB!$F$14:$F$62,RAB!$C$14:$C$62,C785)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SUMIFS(RAB!$F$14:$F$62,RAB!$C$14:$C$62,C786)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SUMIFS(RAB!$F$14:$F$62,RAB!$C$14:$C$62,C787)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SUMIFS(RAB!$F$14:$F$62,RAB!$C$14:$C$62,C788)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SUMIFS(RAB!$F$14:$F$62,RAB!$C$14:$C$62,C789)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SUMIFS(RAB!$F$14:$F$62,RAB!$C$14:$C$62,C790)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SUMIFS(RAB!$F$14:$F$62,RAB!$C$14:$C$62,C791)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SUMIFS(RAB!$F$14:$F$62,RAB!$C$14:$C$62,C792)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SUMIFS(RAB!$F$14:$F$62,RAB!$C$14:$C$62,C793)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SUMIFS(RAB!$F$14:$F$62,RAB!$C$14:$C$62,C794)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SUMIFS(RAB!$F$14:$F$62,RAB!$C$14:$C$62,C795)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SUMIFS(RAB!$F$14:$F$62,RAB!$C$14:$C$62,C796)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SUMIFS(RAB!$F$14:$F$62,RAB!$C$14:$C$62,C797)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SUMIFS(RAB!$F$14:$F$62,RAB!$C$14:$C$62,C798)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SUMIFS(RAB!$F$14:$F$62,RAB!$C$14:$C$62,C799)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SUMIFS(RAB!$F$14:$F$62,RAB!$C$14:$C$62,C800)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SUMIFS(RAB!$F$14:$F$62,RAB!$C$14:$C$62,C801)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SUMIFS(RAB!$F$14:$F$62,RAB!$C$14:$C$62,C802)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SUMIFS(RAB!$F$14:$F$62,RAB!$C$14:$C$62,C803)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SUMIFS(RAB!$F$14:$F$62,RAB!$C$14:$C$62,C804)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SUMIFS(RAB!$F$14:$F$62,RAB!$C$14:$C$62,C805)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SUMIFS(RAB!$F$14:$F$62,RAB!$C$14:$C$62,C806)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SUMIFS(RAB!$F$14:$F$62,RAB!$C$14:$C$62,C807)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SUMIFS(RAB!$F$14:$F$62,RAB!$C$14:$C$62,C808)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SUMIFS(RAB!$F$14:$F$62,RAB!$C$14:$C$62,C809)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SUMIFS(RAB!$F$14:$F$62,RAB!$C$14:$C$62,C810)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SUMIFS(RAB!$F$14:$F$62,RAB!$C$14:$C$62,C811)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SUMIFS(RAB!$F$14:$F$62,RAB!$C$14:$C$62,C812)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SUMIFS(RAB!$F$14:$F$62,RAB!$C$14:$C$62,C813)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SUMIFS(RAB!$F$14:$F$62,RAB!$C$14:$C$62,C814)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SUMIFS(RAB!$F$14:$F$62,RAB!$C$14:$C$62,C815)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SUMIFS(RAB!$F$14:$F$62,RAB!$C$14:$C$62,C816)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SUMIFS(RAB!$F$14:$F$62,RAB!$C$14:$C$62,C817)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SUMIFS(RAB!$F$14:$F$62,RAB!$C$14:$C$62,C818)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SUMIFS(RAB!$F$14:$F$62,RAB!$C$14:$C$62,C819)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SUMIFS(RAB!$F$14:$F$62,RAB!$C$14:$C$62,C820)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SUMIFS(RAB!$F$14:$F$62,RAB!$C$14:$C$62,C821)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SUMIFS(RAB!$F$14:$F$62,RAB!$C$14:$C$62,C822)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SUMIFS(RAB!$F$14:$F$62,RAB!$C$14:$C$62,C823)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SUMIFS(RAB!$F$14:$F$62,RAB!$C$14:$C$62,C824)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SUMIFS(RAB!$F$14:$F$62,RAB!$C$14:$C$62,C825)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SUMIFS(RAB!$F$14:$F$62,RAB!$C$14:$C$62,C826)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SUMIFS(RAB!$F$14:$F$62,RAB!$C$14:$C$62,C827)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SUMIFS(RAB!$F$14:$F$62,RAB!$C$14:$C$62,C828)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SUMIFS(RAB!$F$14:$F$62,RAB!$C$14:$C$62,C829)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SUMIFS(RAB!$F$14:$F$62,RAB!$C$14:$C$62,C830)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SUMIFS(RAB!$F$14:$F$62,RAB!$C$14:$C$62,C831)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SUMIFS(RAB!$F$14:$F$62,RAB!$C$14:$C$62,C832)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SUMIFS(RAB!$F$14:$F$62,RAB!$C$14:$C$62,C833)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SUMIFS(RAB!$F$14:$F$62,RAB!$C$14:$C$62,C834)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SUMIFS(RAB!$F$14:$F$62,RAB!$C$14:$C$62,C835)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SUMIFS(RAB!$F$14:$F$62,RAB!$C$14:$C$62,C836)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SUMIFS(RAB!$F$14:$F$62,RAB!$C$14:$C$62,C837)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SUMIFS(RAB!$F$14:$F$62,RAB!$C$14:$C$62,C838)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SUMIFS(RAB!$F$14:$F$62,RAB!$C$14:$C$62,C839)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SUMIFS(RAB!$F$14:$F$62,RAB!$C$14:$C$62,C840)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SUMIFS(RAB!$F$14:$F$62,RAB!$C$14:$C$62,C841)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SUMIFS(RAB!$F$14:$F$62,RAB!$C$14:$C$62,C842)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SUMIFS(RAB!$F$14:$F$62,RAB!$C$14:$C$62,C843)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SUMIFS(RAB!$F$14:$F$62,RAB!$C$14:$C$62,C844)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SUMIFS(RAB!$F$14:$F$62,RAB!$C$14:$C$62,C845)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SUMIFS(RAB!$F$14:$F$62,RAB!$C$14:$C$62,C846)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SUMIFS(RAB!$F$14:$F$62,RAB!$C$14:$C$62,C847)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SUMIFS(RAB!$F$14:$F$62,RAB!$C$14:$C$62,C848)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SUMIFS(RAB!$F$14:$F$62,RAB!$C$14:$C$62,C849)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SUMIFS(RAB!$F$14:$F$62,RAB!$C$14:$C$62,C850)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SUMIFS(RAB!$F$14:$F$62,RAB!$C$14:$C$62,C851)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SUMIFS(RAB!$F$14:$F$62,RAB!$C$14:$C$62,C852)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SUMIFS(RAB!$F$14:$F$62,RAB!$C$14:$C$62,C853)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SUMIFS(RAB!$F$14:$F$62,RAB!$C$14:$C$62,C854)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SUMIFS(RAB!$F$14:$F$62,RAB!$C$14:$C$62,C855)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SUMIFS(RAB!$F$14:$F$62,RAB!$C$14:$C$62,C856)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SUMIFS(RAB!$F$14:$F$62,RAB!$C$14:$C$62,C857)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SUMIFS(RAB!$F$14:$F$62,RAB!$C$14:$C$62,C858)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SUMIFS(RAB!$F$14:$F$62,RAB!$C$14:$C$62,C859)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SUMIFS(RAB!$F$14:$F$62,RAB!$C$14:$C$62,C860)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SUMIFS(RAB!$F$14:$F$62,RAB!$C$14:$C$62,C861)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SUMIFS(RAB!$F$14:$F$62,RAB!$C$14:$C$62,C862)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SUMIFS(RAB!$F$14:$F$62,RAB!$C$14:$C$62,C863)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SUMIFS(RAB!$F$14:$F$62,RAB!$C$14:$C$62,C864)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SUMIFS(RAB!$F$14:$F$62,RAB!$C$14:$C$62,C865)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SUMIFS(RAB!$F$14:$F$62,RAB!$C$14:$C$62,C866)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SUMIFS(RAB!$F$14:$F$62,RAB!$C$14:$C$62,C867)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SUMIFS(RAB!$F$14:$F$62,RAB!$C$14:$C$62,C868)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SUMIFS(RAB!$F$14:$F$62,RAB!$C$14:$C$62,C869)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SUMIFS(RAB!$F$14:$F$62,RAB!$C$14:$C$62,C870)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SUMIFS(RAB!$F$14:$F$62,RAB!$C$14:$C$62,C871)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SUMIFS(RAB!$F$14:$F$62,RAB!$C$14:$C$62,C872)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SUMIFS(RAB!$F$14:$F$62,RAB!$C$14:$C$62,C873)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SUMIFS(RAB!$F$14:$F$62,RAB!$C$14:$C$62,C874)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SUMIFS(RAB!$F$14:$F$62,RAB!$C$14:$C$62,C875)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SUMIFS(RAB!$F$14:$F$62,RAB!$C$14:$C$62,C876)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SUMIFS(RAB!$F$14:$F$62,RAB!$C$14:$C$62,C877)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SUMIFS(RAB!$F$14:$F$62,RAB!$C$14:$C$62,C878)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SUMIFS(RAB!$F$14:$F$62,RAB!$C$14:$C$62,C879)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SUMIFS(RAB!$F$14:$F$62,RAB!$C$14:$C$62,C880)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SUMIFS(RAB!$F$14:$F$62,RAB!$C$14:$C$62,C881)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SUMIFS(RAB!$F$14:$F$62,RAB!$C$14:$C$62,C882)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SUMIFS(RAB!$F$14:$F$62,RAB!$C$14:$C$62,C883)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SUMIFS(RAB!$F$14:$F$62,RAB!$C$14:$C$62,C884)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SUMIFS(RAB!$F$14:$F$62,RAB!$C$14:$C$62,C885)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SUMIFS(RAB!$F$14:$F$62,RAB!$C$14:$C$62,C886)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SUMIFS(RAB!$F$14:$F$62,RAB!$C$14:$C$62,C887)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SUMIFS(RAB!$F$14:$F$62,RAB!$C$14:$C$62,C888)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SUMIFS(RAB!$F$14:$F$62,RAB!$C$14:$C$62,C889)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SUMIFS(RAB!$F$14:$F$62,RAB!$C$14:$C$62,C890)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SUMIFS(RAB!$F$14:$F$62,RAB!$C$14:$C$62,C891)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SUMIFS(RAB!$F$14:$F$62,RAB!$C$14:$C$62,C892)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SUMIFS(RAB!$F$14:$F$62,RAB!$C$14:$C$62,C893)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SUMIFS(RAB!$F$14:$F$62,RAB!$C$14:$C$62,C894)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SUMIFS(RAB!$F$14:$F$62,RAB!$C$14:$C$62,C895)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SUMIFS(RAB!$F$14:$F$62,RAB!$C$14:$C$62,C896)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SUMIFS(RAB!$F$14:$F$62,RAB!$C$14:$C$62,C897)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SUMIFS(RAB!$F$14:$F$62,RAB!$C$14:$C$62,C898)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SUMIFS(RAB!$F$14:$F$62,RAB!$C$14:$C$62,C899)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SUMIFS(RAB!$F$14:$F$62,RAB!$C$14:$C$62,C900)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SUMIFS(RAB!$F$14:$F$62,RAB!$C$14:$C$62,C901)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SUMIFS(RAB!$F$14:$F$62,RAB!$C$14:$C$62,C902)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SUMIFS(RAB!$F$14:$F$62,RAB!$C$14:$C$62,C903)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SUMIFS(RAB!$F$14:$F$62,RAB!$C$14:$C$62,C904)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SUMIFS(RAB!$F$14:$F$62,RAB!$C$14:$C$62,C905)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SUMIFS(RAB!$F$14:$F$62,RAB!$C$14:$C$62,C906)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SUMIFS(RAB!$F$14:$F$62,RAB!$C$14:$C$62,C907)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SUMIFS(RAB!$F$14:$F$62,RAB!$C$14:$C$62,C908)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SUMIFS(RAB!$F$14:$F$62,RAB!$C$14:$C$62,C909)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SUMIFS(RAB!$F$14:$F$62,RAB!$C$14:$C$62,C910)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SUMIFS(RAB!$F$14:$F$62,RAB!$C$14:$C$62,C911)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SUMIFS(RAB!$F$14:$F$62,RAB!$C$14:$C$62,C912)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SUMIFS(RAB!$F$14:$F$62,RAB!$C$14:$C$62,C913)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SUMIFS(RAB!$F$14:$F$62,RAB!$C$14:$C$62,C914)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SUMIFS(RAB!$F$14:$F$62,RAB!$C$14:$C$62,C915)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SUMIFS(RAB!$F$14:$F$62,RAB!$C$14:$C$62,C916)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SUMIFS(RAB!$F$14:$F$62,RAB!$C$14:$C$62,C917)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SUMIFS(RAB!$F$14:$F$62,RAB!$C$14:$C$62,C918)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SUMIFS(RAB!$F$14:$F$62,RAB!$C$14:$C$62,C919)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SUMIFS(RAB!$F$14:$F$62,RAB!$C$14:$C$62,C920)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SUMIFS(RAB!$F$14:$F$62,RAB!$C$14:$C$62,C921)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SUMIFS(RAB!$F$14:$F$62,RAB!$C$14:$C$62,C922)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SUMIFS(RAB!$F$14:$F$62,RAB!$C$14:$C$62,C923)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SUMIFS(RAB!$F$14:$F$62,RAB!$C$14:$C$62,C924)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SUMIFS(RAB!$F$14:$F$62,RAB!$C$14:$C$62,C925)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SUMIFS(RAB!$F$14:$F$62,RAB!$C$14:$C$62,C926)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SUMIFS(RAB!$F$14:$F$62,RAB!$C$14:$C$62,C927)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SUMIFS(RAB!$F$14:$F$62,RAB!$C$14:$C$62,C928)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SUMIFS(RAB!$F$14:$F$62,RAB!$C$14:$C$62,C929)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SUMIFS(RAB!$F$14:$F$62,RAB!$C$14:$C$62,C930)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SUMIFS(RAB!$F$14:$F$62,RAB!$C$14:$C$62,C931)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SUMIFS(RAB!$F$14:$F$62,RAB!$C$14:$C$62,C932)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SUMIFS(RAB!$F$14:$F$62,RAB!$C$14:$C$62,C933)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SUMIFS(RAB!$F$14:$F$62,RAB!$C$14:$C$62,C934)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SUMIFS(RAB!$F$14:$F$62,RAB!$C$14:$C$62,C935)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SUMIFS(RAB!$F$14:$F$62,RAB!$C$14:$C$62,C936)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SUMIFS(RAB!$F$14:$F$62,RAB!$C$14:$C$62,C937)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SUMIFS(RAB!$F$14:$F$62,RAB!$C$14:$C$62,C938)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SUMIFS(RAB!$F$14:$F$62,RAB!$C$14:$C$62,C939)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SUMIFS(RAB!$F$14:$F$62,RAB!$C$14:$C$62,C940)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SUMIFS(RAB!$F$14:$F$62,RAB!$C$14:$C$62,C941)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SUMIFS(RAB!$F$14:$F$62,RAB!$C$14:$C$62,C942)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SUMIFS(RAB!$F$14:$F$62,RAB!$C$14:$C$62,C943)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SUMIFS(RAB!$F$14:$F$62,RAB!$C$14:$C$62,C944)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SUMIFS(RAB!$F$14:$F$62,RAB!$C$14:$C$62,C945)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SUMIFS(RAB!$F$14:$F$62,RAB!$C$14:$C$62,C946)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SUMIFS(RAB!$F$14:$F$62,RAB!$C$14:$C$62,C947)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SUMIFS(RAB!$F$14:$F$62,RAB!$C$14:$C$62,C948)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SUMIFS(RAB!$F$14:$F$62,RAB!$C$14:$C$62,C949)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SUMIFS(RAB!$F$14:$F$62,RAB!$C$14:$C$62,C950)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SUMIFS(RAB!$F$14:$F$62,RAB!$C$14:$C$62,C951)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SUMIFS(RAB!$F$14:$F$62,RAB!$C$14:$C$62,C952)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SUMIFS(RAB!$F$14:$F$62,RAB!$C$14:$C$62,C953)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SUMIFS(RAB!$F$14:$F$62,RAB!$C$14:$C$62,C954)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SUMIFS(RAB!$F$14:$F$62,RAB!$C$14:$C$62,C955)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SUMIFS(RAB!$F$14:$F$62,RAB!$C$14:$C$62,C956)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SUMIFS(RAB!$F$14:$F$62,RAB!$C$14:$C$62,C957)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SUMIFS(RAB!$F$14:$F$62,RAB!$C$14:$C$62,C958)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SUMIFS(RAB!$F$14:$F$62,RAB!$C$14:$C$62,C959)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SUMIFS(RAB!$F$14:$F$62,RAB!$C$14:$C$62,C960)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SUMIFS(RAB!$F$14:$F$62,RAB!$C$14:$C$62,C961)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SUMIFS(RAB!$F$14:$F$62,RAB!$C$14:$C$62,C962)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SUMIFS(RAB!$F$14:$F$62,RAB!$C$14:$C$62,C963)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SUMIFS(RAB!$F$14:$F$62,RAB!$C$14:$C$62,C964)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SUMIFS(RAB!$F$14:$F$62,RAB!$C$14:$C$62,C965)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SUMIFS(RAB!$F$14:$F$62,RAB!$C$14:$C$62,C966)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SUMIFS(RAB!$F$14:$F$62,RAB!$C$14:$C$62,C967)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SUMIFS(RAB!$F$14:$F$62,RAB!$C$14:$C$62,C968)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SUMIFS(RAB!$F$14:$F$62,RAB!$C$14:$C$62,C969)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SUMIFS(RAB!$F$14:$F$62,RAB!$C$14:$C$62,C970)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SUMIFS(RAB!$F$14:$F$62,RAB!$C$14:$C$62,C971)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SUMIFS(RAB!$F$14:$F$62,RAB!$C$14:$C$62,C972)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SUMIFS(RAB!$F$14:$F$62,RAB!$C$14:$C$62,C973)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SUMIFS(RAB!$F$14:$F$62,RAB!$C$14:$C$62,C974)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SUMIFS(RAB!$F$14:$F$62,RAB!$C$14:$C$62,C975)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SUMIFS(RAB!$F$14:$F$62,RAB!$C$14:$C$62,C976)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SUMIFS(RAB!$F$14:$F$62,RAB!$C$14:$C$62,C977)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SUMIFS(RAB!$F$14:$F$62,RAB!$C$14:$C$62,C978)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SUMIFS(RAB!$F$14:$F$62,RAB!$C$14:$C$62,C979)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SUMIFS(RAB!$F$14:$F$62,RAB!$C$14:$C$62,C980)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SUMIFS(RAB!$F$14:$F$62,RAB!$C$14:$C$62,C981)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SUMIFS(RAB!$F$14:$F$62,RAB!$C$14:$C$62,C982)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SUMIFS(RAB!$F$14:$F$62,RAB!$C$14:$C$62,C983)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SUMIFS(RAB!$F$14:$F$62,RAB!$C$14:$C$62,C984)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SUMIFS(RAB!$F$14:$F$62,RAB!$C$14:$C$62,C985)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SUMIFS(RAB!$F$14:$F$62,RAB!$C$14:$C$62,C986)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SUMIFS(RAB!$F$14:$F$62,RAB!$C$14:$C$62,C987)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SUMIFS(RAB!$F$14:$F$62,RAB!$C$14:$C$62,C988)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SUMIFS(RAB!$F$14:$F$62,RAB!$C$14:$C$62,C989)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SUMIFS(RAB!$F$14:$F$62,RAB!$C$14:$C$62,C990)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SUMIFS(RAB!$F$14:$F$62,RAB!$C$14:$C$62,C991)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SUMIFS(RAB!$F$14:$F$62,RAB!$C$14:$C$62,C992)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SUMIFS(RAB!$F$14:$F$62,RAB!$C$14:$C$62,C993)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SUMIFS(RAB!$F$14:$F$62,RAB!$C$14:$C$62,C994)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SUMIFS(RAB!$F$14:$F$62,RAB!$C$14:$C$62,C995)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SUMIFS(RAB!$F$14:$F$62,RAB!$C$14:$C$62,C996)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SUMIFS(RAB!$F$14:$F$62,RAB!$C$14:$C$62,C997)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SUMIFS(RAB!$F$14:$F$62,RAB!$C$14:$C$62,C998)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SUMIFS(RAB!$F$14:$F$62,RAB!$C$14:$C$62,C999)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SUMIFS(RAB!$F$14:$F$62,RAB!$C$14:$C$62,C1000)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SUMIFS(RAB!$F$14:$F$62,RAB!$C$14:$C$62,C1001)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SUMIFS(RAB!$F$14:$F$62,RAB!$C$14:$C$62,C1002)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SUMIFS(RAB!$F$14:$F$62,RAB!$C$14:$C$62,C1003)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SUMIFS(RAB!$F$14:$F$62,RAB!$C$14:$C$62,C1004)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SUMIFS(RAB!$F$14:$F$62,RAB!$C$14:$C$62,C1005)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SUMIFS(RAB!$F$14:$F$62,RAB!$C$14:$C$62,C1006)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SUMIFS(RAB!$F$14:$F$62,RAB!$C$14:$C$62,C1007)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SUMIFS(RAB!$F$14:$F$62,RAB!$C$14:$C$62,C1008)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SUMIFS(RAB!$F$14:$F$62,RAB!$C$14:$C$62,C1009)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SUMIFS(RAB!$F$14:$F$62,RAB!$C$14:$C$62,C1010)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SUMIFS(RAB!$F$14:$F$62,RAB!$C$14:$C$62,C1011)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SUMIFS(RAB!$F$14:$F$62,RAB!$C$14:$C$62,C1012)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SUMIFS(RAB!$F$14:$F$62,RAB!$C$14:$C$62,C1013)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SUMIFS(RAB!$F$14:$F$62,RAB!$C$14:$C$62,C1014)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SUMIFS(RAB!$F$14:$F$62,RAB!$C$14:$C$62,C1015)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SUMIFS(RAB!$F$14:$F$62,RAB!$C$14:$C$62,C1016)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SUMIFS(RAB!$F$14:$F$62,RAB!$C$14:$C$62,C1017)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SUMIFS(RAB!$F$14:$F$62,RAB!$C$14:$C$62,C1018)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SUMIFS(RAB!$F$14:$F$62,RAB!$C$14:$C$62,C1019)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SUMIFS(RAB!$F$14:$F$62,RAB!$C$14:$C$62,C1020)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SUMIFS(RAB!$F$14:$F$62,RAB!$C$14:$C$62,C1021)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SUMIFS(RAB!$F$14:$F$62,RAB!$C$14:$C$62,C1022)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SUMIFS(RAB!$F$14:$F$62,RAB!$C$14:$C$62,C1023)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SUMIFS(RAB!$F$14:$F$62,RAB!$C$14:$C$62,C1024)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SUMIFS(RAB!$F$14:$F$62,RAB!$C$14:$C$62,C1025)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SUMIFS(RAB!$F$14:$F$62,RAB!$C$14:$C$62,C1026)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SUMIFS(RAB!$F$14:$F$62,RAB!$C$14:$C$62,C1027)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SUMIFS(RAB!$F$14:$F$62,RAB!$C$14:$C$62,C1028)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SUMIFS(RAB!$F$14:$F$62,RAB!$C$14:$C$62,C1029)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SUMIFS(RAB!$F$14:$F$62,RAB!$C$14:$C$62,C1030)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SUMIFS(RAB!$F$14:$F$62,RAB!$C$14:$C$62,C1031)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SUMIFS(RAB!$F$14:$F$62,RAB!$C$14:$C$62,C1032)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SUMIFS(RAB!$F$14:$F$62,RAB!$C$14:$C$62,C1033)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SUMIFS(RAB!$F$14:$F$62,RAB!$C$14:$C$62,C1034)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SUMIFS(RAB!$F$14:$F$62,RAB!$C$14:$C$62,C1035)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SUMIFS(RAB!$F$14:$F$62,RAB!$C$14:$C$62,C1036)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SUMIFS(RAB!$F$14:$F$62,RAB!$C$14:$C$62,C1037)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SUMIFS(RAB!$F$14:$F$62,RAB!$C$14:$C$62,C1038)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SUMIFS(RAB!$F$14:$F$62,RAB!$C$14:$C$62,C1039)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SUMIFS(RAB!$F$14:$F$62,RAB!$C$14:$C$62,C1040)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SUMIFS(RAB!$F$14:$F$62,RAB!$C$14:$C$62,C1041)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SUMIFS(RAB!$F$14:$F$62,RAB!$C$14:$C$62,C1042)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SUMIFS(RAB!$F$14:$F$62,RAB!$C$14:$C$62,C1043)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SUMIFS(RAB!$F$14:$F$62,RAB!$C$14:$C$62,C1044)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SUMIFS(RAB!$F$14:$F$62,RAB!$C$14:$C$62,C1045)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SUMIFS(RAB!$F$14:$F$62,RAB!$C$14:$C$62,C1046)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SUMIFS(RAB!$F$14:$F$62,RAB!$C$14:$C$62,C1047)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SUMIFS(RAB!$F$14:$F$62,RAB!$C$14:$C$62,C1048)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SUMIFS(RAB!$F$14:$F$62,RAB!$C$14:$C$62,C1049)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SUMIFS(RAB!$F$14:$F$62,RAB!$C$14:$C$62,C1050)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SUMIFS(RAB!$F$14:$F$62,RAB!$C$14:$C$62,C1051)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SUMIFS(RAB!$F$14:$F$62,RAB!$C$14:$C$62,C1052)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SUMIFS(RAB!$F$14:$F$62,RAB!$C$14:$C$62,C1053)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SUMIFS(RAB!$F$14:$F$62,RAB!$C$14:$C$62,C1054)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SUMIFS(RAB!$F$14:$F$62,RAB!$C$14:$C$62,C1055)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SUMIFS(RAB!$F$14:$F$62,RAB!$C$14:$C$62,C1056)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SUMIFS(RAB!$F$14:$F$62,RAB!$C$14:$C$62,C1057)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SUMIFS(RAB!$F$14:$F$62,RAB!$C$14:$C$62,C1058)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SUMIFS(RAB!$F$14:$F$62,RAB!$C$14:$C$62,C1059)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SUMIFS(RAB!$F$14:$F$62,RAB!$C$14:$C$62,C1060)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SUMIFS(RAB!$F$14:$F$62,RAB!$C$14:$C$62,C1061)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SUMIFS(RAB!$F$14:$F$62,RAB!$C$14:$C$62,C1062)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SUMIFS(RAB!$F$14:$F$62,RAB!$C$14:$C$62,C1063)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SUMIFS(RAB!$F$14:$F$62,RAB!$C$14:$C$62,C1064)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SUMIFS(RAB!$F$14:$F$62,RAB!$C$14:$C$62,C1065)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SUMIFS(RAB!$F$14:$F$62,RAB!$C$14:$C$62,C1066)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SUMIFS(RAB!$F$14:$F$62,RAB!$C$14:$C$62,C1067)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SUMIFS(RAB!$F$14:$F$62,RAB!$C$14:$C$62,C1068)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SUMIFS(RAB!$F$14:$F$62,RAB!$C$14:$C$62,C1069)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SUMIFS(RAB!$F$14:$F$62,RAB!$C$14:$C$62,C1070)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SUMIFS(RAB!$F$14:$F$62,RAB!$C$14:$C$62,C1071)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SUMIFS(RAB!$F$14:$F$62,RAB!$C$14:$C$62,C1072)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SUMIFS(RAB!$F$14:$F$62,RAB!$C$14:$C$62,C1073)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SUMIFS(RAB!$F$14:$F$62,RAB!$C$14:$C$62,C1074)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SUMIFS(RAB!$F$14:$F$62,RAB!$C$14:$C$62,C1075)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SUMIFS(RAB!$F$14:$F$62,RAB!$C$14:$C$62,C1076)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SUMIFS(RAB!$F$14:$F$62,RAB!$C$14:$C$62,C1077)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SUMIFS(RAB!$F$14:$F$62,RAB!$C$14:$C$62,C1078)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SUMIFS(RAB!$F$14:$F$62,RAB!$C$14:$C$62,C1079)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SUMIFS(RAB!$F$14:$F$62,RAB!$C$14:$C$62,C1080)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SUMIFS(RAB!$F$14:$F$62,RAB!$C$14:$C$62,C1081)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SUMIFS(RAB!$F$14:$F$62,RAB!$C$14:$C$62,C1082)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SUMIFS(RAB!$F$14:$F$62,RAB!$C$14:$C$62,C1083)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SUMIFS(RAB!$F$14:$F$62,RAB!$C$14:$C$62,C1084)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SUMIFS(RAB!$F$14:$F$62,RAB!$C$14:$C$62,C1085)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SUMIFS(RAB!$F$14:$F$62,RAB!$C$14:$C$62,C1086)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SUMIFS(RAB!$F$14:$F$62,RAB!$C$14:$C$62,C1087)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SUMIFS(RAB!$F$14:$F$62,RAB!$C$14:$C$62,C1088)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SUMIFS(RAB!$F$14:$F$62,RAB!$C$14:$C$62,C1089)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SUMIFS(RAB!$F$14:$F$62,RAB!$C$14:$C$62,C1090)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SUMIFS(RAB!$F$14:$F$62,RAB!$C$14:$C$62,C1091)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SUMIFS(RAB!$F$14:$F$62,RAB!$C$14:$C$62,C1092)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SUMIFS(RAB!$F$14:$F$62,RAB!$C$14:$C$62,C1093)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SUMIFS(RAB!$F$14:$F$62,RAB!$C$14:$C$62,C1094)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SUMIFS(RAB!$F$14:$F$62,RAB!$C$14:$C$62,C1095)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SUMIFS(RAB!$F$14:$F$62,RAB!$C$14:$C$62,C1096)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SUMIFS(RAB!$F$14:$F$62,RAB!$C$14:$C$62,C1097)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SUMIFS(RAB!$F$14:$F$62,RAB!$C$14:$C$62,C1098)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SUMIFS(RAB!$F$14:$F$62,RAB!$C$14:$C$62,C1099)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SUMIFS(RAB!$F$14:$F$62,RAB!$C$14:$C$62,C1100)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SUMIFS(RAB!$F$14:$F$62,RAB!$C$14:$C$62,C1101)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SUMIFS(RAB!$F$14:$F$62,RAB!$C$14:$C$62,C1102)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SUMIFS(RAB!$F$14:$F$62,RAB!$C$14:$C$62,C1103)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SUMIFS(RAB!$F$14:$F$62,RAB!$C$14:$C$62,C1104)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SUMIFS(RAB!$F$14:$F$62,RAB!$C$14:$C$62,C1105)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SUMIFS(RAB!$F$14:$F$62,RAB!$C$14:$C$62,C1106)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SUMIFS(RAB!$F$14:$F$62,RAB!$C$14:$C$62,C1107)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SUMIFS(RAB!$F$14:$F$62,RAB!$C$14:$C$62,C1108)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SUMIFS(RAB!$F$14:$F$62,RAB!$C$14:$C$62,C1109)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SUMIFS(RAB!$F$14:$F$62,RAB!$C$14:$C$62,C1110)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SUMIFS(RAB!$F$14:$F$62,RAB!$C$14:$C$62,C1111)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SUMIFS(RAB!$F$14:$F$62,RAB!$C$14:$C$62,C1112)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SUMIFS(RAB!$F$14:$F$62,RAB!$C$14:$C$62,C1113)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SUMIFS(RAB!$F$14:$F$62,RAB!$C$14:$C$62,C1114)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SUMIFS(RAB!$F$14:$F$62,RAB!$C$14:$C$62,C1115)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SUMIFS(RAB!$F$14:$F$62,RAB!$C$14:$C$62,C1116)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SUMIFS(RAB!$F$14:$F$62,RAB!$C$14:$C$62,C1117)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SUMIFS(RAB!$F$14:$F$62,RAB!$C$14:$C$62,C1118)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SUMIFS(RAB!$F$14:$F$62,RAB!$C$14:$C$62,C1119)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SUMIFS(RAB!$F$14:$F$62,RAB!$C$14:$C$62,C1120)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SUMIFS(RAB!$F$14:$F$62,RAB!$C$14:$C$62,C1121)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SUMIFS(RAB!$F$14:$F$62,RAB!$C$14:$C$62,C1122)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SUMIFS(RAB!$F$14:$F$62,RAB!$C$14:$C$62,C1123)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SUMIFS(RAB!$F$14:$F$62,RAB!$C$14:$C$62,C1124)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SUMIFS(RAB!$F$14:$F$62,RAB!$C$14:$C$62,C1125)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SUMIFS(RAB!$F$14:$F$62,RAB!$C$14:$C$62,C1126)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SUMIFS(RAB!$F$14:$F$62,RAB!$C$14:$C$62,C1127)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SUMIFS(RAB!$F$14:$F$62,RAB!$C$14:$C$62,C1128)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SUMIFS(RAB!$F$14:$F$62,RAB!$C$14:$C$62,C1129)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SUMIFS(RAB!$F$14:$F$62,RAB!$C$14:$C$62,C1130)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SUMIFS(RAB!$F$14:$F$62,RAB!$C$14:$C$62,C1131)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SUMIFS(RAB!$F$14:$F$62,RAB!$C$14:$C$62,C1132)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SUMIFS(RAB!$F$14:$F$62,RAB!$C$14:$C$62,C1133)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SUMIFS(RAB!$F$14:$F$62,RAB!$C$14:$C$62,C1134)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SUMIFS(RAB!$F$14:$F$62,RAB!$C$14:$C$62,C1135)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SUMIFS(RAB!$F$14:$F$62,RAB!$C$14:$C$62,C1136)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SUMIFS(RAB!$F$14:$F$62,RAB!$C$14:$C$62,C1137)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SUMIFS(RAB!$F$14:$F$62,RAB!$C$14:$C$62,C1138)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SUMIFS(RAB!$F$14:$F$62,RAB!$C$14:$C$62,C1139)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SUMIFS(RAB!$F$14:$F$62,RAB!$C$14:$C$62,C1140)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SUMIFS(RAB!$F$14:$F$62,RAB!$C$14:$C$62,C1141)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SUMIFS(RAB!$F$14:$F$62,RAB!$C$14:$C$62,C1142)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SUMIFS(RAB!$F$14:$F$62,RAB!$C$14:$C$62,C1143)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SUMIFS(RAB!$F$14:$F$62,RAB!$C$14:$C$62,C1144)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SUMIFS(RAB!$F$14:$F$62,RAB!$C$14:$C$62,C1145)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SUMIFS(RAB!$F$14:$F$62,RAB!$C$14:$C$62,C1146)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SUMIFS(RAB!$F$14:$F$62,RAB!$C$14:$C$62,C1147)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SUMIFS(RAB!$F$14:$F$62,RAB!$C$14:$C$62,C1148)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SUMIFS(RAB!$F$14:$F$62,RAB!$C$14:$C$62,C1149)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SUMIFS(RAB!$F$14:$F$62,RAB!$C$14:$C$62,C1150)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SUMIFS(RAB!$F$14:$F$62,RAB!$C$14:$C$62,C1151)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SUMIFS(RAB!$F$14:$F$62,RAB!$C$14:$C$62,C1152)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SUMIFS(RAB!$F$14:$F$62,RAB!$C$14:$C$62,C1153)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SUMIFS(RAB!$F$14:$F$62,RAB!$C$14:$C$62,C1154)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SUMIFS(RAB!$F$14:$F$62,RAB!$C$14:$C$62,C1155)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SUMIFS(RAB!$F$14:$F$62,RAB!$C$14:$C$62,C1156)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SUMIFS(RAB!$F$14:$F$62,RAB!$C$14:$C$62,C1157)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SUMIFS(RAB!$F$14:$F$62,RAB!$C$14:$C$62,C1158)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SUMIFS(RAB!$F$14:$F$62,RAB!$C$14:$C$62,C1159)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SUMIFS(RAB!$F$14:$F$62,RAB!$C$14:$C$62,C1160)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SUMIFS(RAB!$F$14:$F$62,RAB!$C$14:$C$62,C1161)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SUMIFS(RAB!$F$14:$F$62,RAB!$C$14:$C$62,C1162)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SUMIFS(RAB!$F$14:$F$62,RAB!$C$14:$C$62,C1163)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SUMIFS(RAB!$F$14:$F$62,RAB!$C$14:$C$62,C1164)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SUMIFS(RAB!$F$14:$F$62,RAB!$C$14:$C$62,C1165)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SUMIFS(RAB!$F$14:$F$62,RAB!$C$14:$C$62,C1166)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SUMIFS(RAB!$F$14:$F$62,RAB!$C$14:$C$62,C1167)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SUMIFS(RAB!$F$14:$F$62,RAB!$C$14:$C$62,C1168)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SUMIFS(RAB!$F$14:$F$62,RAB!$C$14:$C$62,C1169)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SUMIFS(RAB!$F$14:$F$62,RAB!$C$14:$C$62,C1170)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SUMIFS(RAB!$F$14:$F$62,RAB!$C$14:$C$62,C1171)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SUMIFS(RAB!$F$14:$F$62,RAB!$C$14:$C$62,C1172)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SUMIFS(RAB!$F$14:$F$62,RAB!$C$14:$C$62,C1173)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SUMIFS(RAB!$F$14:$F$62,RAB!$C$14:$C$62,C1174)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SUMIFS(RAB!$F$14:$F$62,RAB!$C$14:$C$62,C1175)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SUMIFS(RAB!$F$14:$F$62,RAB!$C$14:$C$62,C1176)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SUMIFS(RAB!$F$14:$F$62,RAB!$C$14:$C$62,C1177)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SUMIFS(RAB!$F$14:$F$62,RAB!$C$14:$C$62,C1178)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SUMIFS(RAB!$F$14:$F$62,RAB!$C$14:$C$62,C1179)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SUMIFS(RAB!$F$14:$F$62,RAB!$C$14:$C$62,C1180)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SUMIFS(RAB!$F$14:$F$62,RAB!$C$14:$C$62,C1181)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SUMIFS(RAB!$F$14:$F$62,RAB!$C$14:$C$62,C1182)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SUMIFS(RAB!$F$14:$F$62,RAB!$C$14:$C$62,C1183)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SUMIFS(RAB!$F$14:$F$62,RAB!$C$14:$C$62,C1184)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SUMIFS(RAB!$F$14:$F$62,RAB!$C$14:$C$62,C1185)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SUMIFS(RAB!$F$14:$F$62,RAB!$C$14:$C$62,C1186)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SUMIFS(RAB!$F$14:$F$62,RAB!$C$14:$C$62,C1187)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SUMIFS(RAB!$F$14:$F$62,RAB!$C$14:$C$62,C1188)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SUMIFS(RAB!$F$14:$F$62,RAB!$C$14:$C$62,C1189)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SUMIFS(RAB!$F$14:$F$62,RAB!$C$14:$C$62,C1190)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SUMIFS(RAB!$F$14:$F$62,RAB!$C$14:$C$62,C1191)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SUMIFS(RAB!$F$14:$F$62,RAB!$C$14:$C$62,C1192)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SUMIFS(RAB!$F$14:$F$62,RAB!$C$14:$C$62,C1193)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SUMIFS(RAB!$F$14:$F$62,RAB!$C$14:$C$62,C1194)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SUMIFS(RAB!$F$14:$F$62,RAB!$C$14:$C$62,C1195)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SUMIFS(RAB!$F$14:$F$62,RAB!$C$14:$C$62,C1196)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SUMIFS(RAB!$F$14:$F$62,RAB!$C$14:$C$62,C1197)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SUMIFS(RAB!$F$14:$F$62,RAB!$C$14:$C$62,C1198)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SUMIFS(RAB!$F$14:$F$62,RAB!$C$14:$C$62,C1199)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SUMIFS(RAB!$F$14:$F$62,RAB!$C$14:$C$62,C1200)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SUMIFS(RAB!$F$14:$F$62,RAB!$C$14:$C$62,C1201)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SUMIFS(RAB!$F$14:$F$62,RAB!$C$14:$C$62,C1202)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SUMIFS(RAB!$F$14:$F$62,RAB!$C$14:$C$62,C1203)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SUMIFS(RAB!$F$14:$F$62,RAB!$C$14:$C$62,C1204)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SUMIFS(RAB!$F$14:$F$62,RAB!$C$14:$C$62,C1205)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SUMIFS(RAB!$F$14:$F$62,RAB!$C$14:$C$62,C1206)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SUMIFS(RAB!$F$14:$F$62,RAB!$C$14:$C$62,C1207)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SUMIFS(RAB!$F$14:$F$62,RAB!$C$14:$C$62,C1208)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SUMIFS(RAB!$F$14:$F$62,RAB!$C$14:$C$62,C1209)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SUMIFS(RAB!$F$14:$F$62,RAB!$C$14:$C$62,C1210)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SUMIFS(RAB!$F$14:$F$62,RAB!$C$14:$C$62,C1211)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SUMIFS(RAB!$F$14:$F$62,RAB!$C$14:$C$62,C1212)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SUMIFS(RAB!$F$14:$F$62,RAB!$C$14:$C$62,C1213)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SUMIFS(RAB!$F$14:$F$62,RAB!$C$14:$C$62,C1214)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SUMIFS(RAB!$F$14:$F$62,RAB!$C$14:$C$62,C1215)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SUMIFS(RAB!$F$14:$F$62,RAB!$C$14:$C$62,C1216)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SUMIFS(RAB!$F$14:$F$62,RAB!$C$14:$C$62,C1217)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SUMIFS(RAB!$F$14:$F$62,RAB!$C$14:$C$62,C1218)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SUMIFS(RAB!$F$14:$F$62,RAB!$C$14:$C$62,C1219)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SUMIFS(RAB!$F$14:$F$62,RAB!$C$14:$C$62,C1220)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SUMIFS(RAB!$F$14:$F$62,RAB!$C$14:$C$62,C1221)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SUMIFS(RAB!$F$14:$F$62,RAB!$C$14:$C$62,C1222)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SUMIFS(RAB!$F$14:$F$62,RAB!$C$14:$C$62,C1223)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SUMIFS(RAB!$F$14:$F$62,RAB!$C$14:$C$62,C1224)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SUMIFS(RAB!$F$14:$F$62,RAB!$C$14:$C$62,C1225)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SUMIFS(RAB!$F$14:$F$62,RAB!$C$14:$C$62,C1226)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SUMIFS(RAB!$F$14:$F$62,RAB!$C$14:$C$62,C1227)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SUMIFS(RAB!$F$14:$F$62,RAB!$C$14:$C$62,C1228)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SUMIFS(RAB!$F$14:$F$62,RAB!$C$14:$C$62,C1229)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SUMIFS(RAB!$F$14:$F$62,RAB!$C$14:$C$62,C1230)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SUMIFS(RAB!$F$14:$F$62,RAB!$C$14:$C$62,C1231)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SUMIFS(RAB!$F$14:$F$62,RAB!$C$14:$C$62,C1232)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SUMIFS(RAB!$F$14:$F$62,RAB!$C$14:$C$62,C1233)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SUMIFS(RAB!$F$14:$F$62,RAB!$C$14:$C$62,C1234)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SUMIFS(RAB!$F$14:$F$62,RAB!$C$14:$C$62,C1235)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SUMIFS(RAB!$F$14:$F$62,RAB!$C$14:$C$62,C1236)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SUMIFS(RAB!$F$14:$F$62,RAB!$C$14:$C$62,C1237)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SUMIFS(RAB!$F$14:$F$62,RAB!$C$14:$C$62,C1238)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SUMIFS(RAB!$F$14:$F$62,RAB!$C$14:$C$62,C1239)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SUMIFS(RAB!$F$14:$F$62,RAB!$C$14:$C$62,C1240)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SUMIFS(RAB!$F$14:$F$62,RAB!$C$14:$C$62,C1241)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SUMIFS(RAB!$F$14:$F$62,RAB!$C$14:$C$62,C1242)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SUMIFS(RAB!$F$14:$F$62,RAB!$C$14:$C$62,C1243)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SUMIFS(RAB!$F$14:$F$62,RAB!$C$14:$C$62,C1244)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SUMIFS(RAB!$F$14:$F$62,RAB!$C$14:$C$62,C1245)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SUMIFS(RAB!$F$14:$F$62,RAB!$C$14:$C$62,C1246)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SUMIFS(RAB!$F$14:$F$62,RAB!$C$14:$C$62,C1247)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SUMIFS(RAB!$F$14:$F$62,RAB!$C$14:$C$62,C1248)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SUMIFS(RAB!$F$14:$F$62,RAB!$C$14:$C$62,C1249)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SUMIFS(RAB!$F$14:$F$62,RAB!$C$14:$C$62,C1250)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SUMIFS(RAB!$F$14:$F$62,RAB!$C$14:$C$62,C1251)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SUMIFS(RAB!$F$14:$F$62,RAB!$C$14:$C$62,C1252)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SUMIFS(RAB!$F$14:$F$62,RAB!$C$14:$C$62,C1253)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SUMIFS(RAB!$F$14:$F$62,RAB!$C$14:$C$62,C1254)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SUMIFS(RAB!$F$14:$F$62,RAB!$C$14:$C$62,C1255)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SUMIFS(RAB!$F$14:$F$62,RAB!$C$14:$C$62,C1256)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SUMIFS(RAB!$F$14:$F$62,RAB!$C$14:$C$62,C1257)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SUMIFS(RAB!$F$14:$F$62,RAB!$C$14:$C$62,C1258)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SUMIFS(RAB!$F$14:$F$62,RAB!$C$14:$C$62,C1259)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SUMIFS(RAB!$F$14:$F$62,RAB!$C$14:$C$62,C1260)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SUMIFS(RAB!$F$14:$F$62,RAB!$C$14:$C$62,C1261)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SUMIFS(RAB!$F$14:$F$62,RAB!$C$14:$C$62,C1262)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SUMIFS(RAB!$F$14:$F$62,RAB!$C$14:$C$62,C1263)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SUMIFS(RAB!$F$14:$F$62,RAB!$C$14:$C$62,C1264)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SUMIFS(RAB!$F$14:$F$62,RAB!$C$14:$C$62,C1265)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SUMIFS(RAB!$F$14:$F$62,RAB!$C$14:$C$62,C1266)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SUMIFS(RAB!$F$14:$F$62,RAB!$C$14:$C$62,C1267)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SUMIFS(RAB!$F$14:$F$62,RAB!$C$14:$C$62,C1268)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SUMIFS(RAB!$F$14:$F$62,RAB!$C$14:$C$62,C1269)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SUMIFS(RAB!$F$14:$F$62,RAB!$C$14:$C$62,C1270)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SUMIFS(RAB!$F$14:$F$62,RAB!$C$14:$C$62,C1271)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SUMIFS(RAB!$F$14:$F$62,RAB!$C$14:$C$62,C1272)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SUMIFS(RAB!$F$14:$F$62,RAB!$C$14:$C$62,C1273)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SUMIFS(RAB!$F$14:$F$62,RAB!$C$14:$C$62,C1274)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SUMIFS(RAB!$F$14:$F$62,RAB!$C$14:$C$62,C1275)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SUMIFS(RAB!$F$14:$F$62,RAB!$C$14:$C$62,C1276)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SUMIFS(RAB!$F$14:$F$62,RAB!$C$14:$C$62,C1277)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SUMIFS(RAB!$F$14:$F$62,RAB!$C$14:$C$62,C1278)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SUMIFS(RAB!$F$14:$F$62,RAB!$C$14:$C$62,C1279)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SUMIFS(RAB!$F$14:$F$62,RAB!$C$14:$C$62,C1280)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SUMIFS(RAB!$F$14:$F$62,RAB!$C$14:$C$62,C1281)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SUMIFS(RAB!$F$14:$F$62,RAB!$C$14:$C$62,C1282)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SUMIFS(RAB!$F$14:$F$62,RAB!$C$14:$C$62,C1283)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SUMIFS(RAB!$F$14:$F$62,RAB!$C$14:$C$62,C1284)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SUMIFS(RAB!$F$14:$F$62,RAB!$C$14:$C$62,C1285)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SUMIFS(RAB!$F$14:$F$62,RAB!$C$14:$C$62,C1286)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SUMIFS(RAB!$F$14:$F$62,RAB!$C$14:$C$62,C1287)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SUMIFS(RAB!$F$14:$F$62,RAB!$C$14:$C$62,C1288)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SUMIFS(RAB!$F$14:$F$62,RAB!$C$14:$C$62,C1289)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SUMIFS(RAB!$F$14:$F$62,RAB!$C$14:$C$62,C1290)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SUMIFS(RAB!$F$14:$F$62,RAB!$C$14:$C$62,C1291)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SUMIFS(RAB!$F$14:$F$62,RAB!$C$14:$C$62,C1292)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SUMIFS(RAB!$F$14:$F$62,RAB!$C$14:$C$62,C1293)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SUMIFS(RAB!$F$14:$F$62,RAB!$C$14:$C$62,C1294)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SUMIFS(RAB!$F$14:$F$62,RAB!$C$14:$C$62,C1295)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SUMIFS(RAB!$F$14:$F$62,RAB!$C$14:$C$62,C1296)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SUMIFS(RAB!$F$14:$F$62,RAB!$C$14:$C$62,C1297)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SUMIFS(RAB!$F$14:$F$62,RAB!$C$14:$C$62,C1298)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SUMIFS(RAB!$F$14:$F$62,RAB!$C$14:$C$62,C1299)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SUMIFS(RAB!$F$14:$F$62,RAB!$C$14:$C$62,C1300)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SUMIFS(RAB!$F$14:$F$62,RAB!$C$14:$C$62,C1301)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SUMIFS(RAB!$F$14:$F$62,RAB!$C$14:$C$62,C1302)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SUMIFS(RAB!$F$14:$F$62,RAB!$C$14:$C$62,C1303)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SUMIFS(RAB!$F$14:$F$62,RAB!$C$14:$C$62,C1304)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SUMIFS(RAB!$F$14:$F$62,RAB!$C$14:$C$62,C1305)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SUMIFS(RAB!$F$14:$F$62,RAB!$C$14:$C$62,C1306)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SUMIFS(RAB!$F$14:$F$62,RAB!$C$14:$C$62,C1307)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SUMIFS(RAB!$F$14:$F$62,RAB!$C$14:$C$62,C1308)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SUMIFS(RAB!$F$14:$F$62,RAB!$C$14:$C$62,C1309)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SUMIFS(RAB!$F$14:$F$62,RAB!$C$14:$C$62,C1310)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SUMIFS(RAB!$F$14:$F$62,RAB!$C$14:$C$62,C1311)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SUMIFS(RAB!$F$14:$F$62,RAB!$C$14:$C$62,C1312)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SUMIFS(RAB!$F$14:$F$62,RAB!$C$14:$C$62,C1313)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SUMIFS(RAB!$F$14:$F$62,RAB!$C$14:$C$62,C1314)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SUMIFS(RAB!$F$14:$F$62,RAB!$C$14:$C$62,C1315)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SUMIFS(RAB!$F$14:$F$62,RAB!$C$14:$C$62,C1316)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SUMIFS(RAB!$F$14:$F$62,RAB!$C$14:$C$62,C1317)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SUMIFS(RAB!$F$14:$F$62,RAB!$C$14:$C$62,C1318)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SUMIFS(RAB!$F$14:$F$62,RAB!$C$14:$C$62,C1319)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SUMIFS(RAB!$F$14:$F$62,RAB!$C$14:$C$62,C1320)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1127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KEJAKSAAN NEGERI DEMAK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0" t="s">
        <v>1008</v>
      </c>
      <c r="D38" s="530"/>
      <c r="E38" s="530"/>
      <c r="F38" s="53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1" t="s">
        <v>462</v>
      </c>
      <c r="D39" s="531"/>
      <c r="E39" s="531"/>
      <c r="F39" s="53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0" t="s">
        <v>463</v>
      </c>
      <c r="D40" s="520"/>
      <c r="E40" s="520"/>
      <c r="F40" s="52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3" t="e">
        <f ca="1">"Terbilang : ( "&amp;L42&amp;" Rupiah )"</f>
        <v>#NAME?</v>
      </c>
      <c r="C41" s="524"/>
      <c r="D41" s="524"/>
      <c r="E41" s="524"/>
      <c r="F41" s="524"/>
      <c r="G41" s="524"/>
      <c r="H41" s="524"/>
      <c r="I41" s="524"/>
      <c r="J41" s="524"/>
      <c r="K41" s="525"/>
      <c r="L41" s="44"/>
      <c r="R41" s="58"/>
      <c r="S41" s="58"/>
      <c r="T41" s="58"/>
    </row>
    <row r="42" spans="1:20" s="36" customFormat="1">
      <c r="A42" s="30"/>
      <c r="B42" s="526"/>
      <c r="C42" s="527"/>
      <c r="D42" s="527"/>
      <c r="E42" s="527"/>
      <c r="F42" s="527"/>
      <c r="G42" s="527"/>
      <c r="H42" s="527"/>
      <c r="I42" s="527"/>
      <c r="J42" s="527"/>
      <c r="K42" s="52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1"/>
      <c r="I45" s="521"/>
      <c r="J45" s="522"/>
      <c r="K45" s="52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1"/>
      <c r="I46" s="521"/>
      <c r="J46" s="522"/>
      <c r="K46" s="52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1"/>
      <c r="I47" s="521"/>
      <c r="J47" s="522"/>
      <c r="K47" s="52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1"/>
      <c r="I52" s="521"/>
      <c r="J52" s="522"/>
      <c r="K52" s="52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SUMIFS(RAB!$F$14:$F$62,RAB!$C$14:$C$62,'REKAP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SUMIFS(RAB!$F$14:$F$62,RAB!$C$14:$C$62,'REKAP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SUMIFS(RAB!$F$14:$F$62,RAB!$C$14:$C$62,'REKAP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SUMIFS(RAB!$F$14:$F$62,RAB!$C$14:$C$62,'REKAP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SUMIFS(RAB!$F$14:$F$62,RAB!$C$14:$C$62,'REKAP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SUMIFS(RAB!$F$14:$F$62,RAB!$C$14:$C$62,'REKAP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SUMIFS(RAB!$F$14:$F$62,RAB!$C$14:$C$62,'REKAP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SUMIFS(RAB!$F$14:$F$62,RAB!$C$14:$C$62,'REKAP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SUMIFS(RAB!$F$14:$F$62,RAB!$C$14:$C$62,'REKAP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SUMIFS(RAB!$F$14:$F$62,RAB!$C$14:$C$62,'REKAP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SUMIFS(RAB!$F$14:$F$62,RAB!$C$14:$C$62,'REKAP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SUMIFS(RAB!$F$14:$F$62,RAB!$C$14:$C$62,'REKAP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SUMIFS(RAB!$F$14:$F$62,RAB!$C$14:$C$62,'REKAP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SUMIFS(RAB!$F$14:$F$62,RAB!$C$14:$C$62,'REKAP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SUMIFS(RAB!$F$14:$F$62,RAB!$C$14:$C$62,'REKAP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SUMIFS(RAB!$F$14:$F$62,RAB!$C$14:$C$62,'REKAP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SUMIFS(RAB!$F$14:$F$62,RAB!$C$14:$C$62,'REKAP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SUMIFS(RAB!$F$14:$F$62,RAB!$C$14:$C$62,'REKAP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SUMIFS(RAB!$F$14:$F$62,RAB!$C$14:$C$62,'REKAP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SUMIFS(RAB!$F$14:$F$62,RAB!$C$14:$C$62,'REKAP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1034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KEJAKSAAN NEGERI DEMAK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0" t="s">
        <v>1008</v>
      </c>
      <c r="D168" s="530"/>
      <c r="E168" s="530"/>
      <c r="F168" s="530"/>
      <c r="G168" s="77" t="s">
        <v>9</v>
      </c>
      <c r="H168" s="55">
        <f ca="1">SUM(H14:H167)</f>
        <v>73063450</v>
      </c>
      <c r="I168" s="55">
        <f ca="1">SUM(I14:I167)</f>
        <v>0</v>
      </c>
      <c r="J168" s="55">
        <f ca="1">SUM(J14:J167)</f>
        <v>0</v>
      </c>
      <c r="K168" s="55">
        <f ca="1">SUM(K14:K167)</f>
        <v>73063450</v>
      </c>
      <c r="L168" s="44"/>
      <c r="R168" s="99"/>
      <c r="S168" s="99"/>
      <c r="T168" s="99"/>
    </row>
    <row r="169" spans="1:20" s="36" customFormat="1">
      <c r="A169" s="30"/>
      <c r="B169" s="56"/>
      <c r="C169" s="531" t="s">
        <v>462</v>
      </c>
      <c r="D169" s="531"/>
      <c r="E169" s="531"/>
      <c r="F169" s="531"/>
      <c r="G169" s="59" t="s">
        <v>9</v>
      </c>
      <c r="H169" s="60">
        <f ca="1">H168*0.1</f>
        <v>7306345</v>
      </c>
      <c r="I169" s="60">
        <f ca="1">I168*0.1</f>
        <v>0</v>
      </c>
      <c r="J169" s="60">
        <f ca="1">J168*0.1</f>
        <v>0</v>
      </c>
      <c r="K169" s="60">
        <f ca="1">K168*0.1</f>
        <v>7306345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0" t="s">
        <v>463</v>
      </c>
      <c r="D170" s="520"/>
      <c r="E170" s="520"/>
      <c r="F170" s="520"/>
      <c r="G170" s="61" t="s">
        <v>9</v>
      </c>
      <c r="H170" s="78">
        <f ca="1">SUM(H168:H169)</f>
        <v>80369795</v>
      </c>
      <c r="I170" s="78">
        <f ca="1">SUM(I168:I169)</f>
        <v>0</v>
      </c>
      <c r="J170" s="61">
        <f ca="1">SUM(J168:J169)</f>
        <v>0</v>
      </c>
      <c r="K170" s="61">
        <f ca="1">SUM(K168:K169)</f>
        <v>80369795</v>
      </c>
      <c r="L170" s="44"/>
      <c r="R170" s="99"/>
      <c r="S170" s="99"/>
      <c r="T170" s="99"/>
    </row>
    <row r="171" spans="1:20" s="36" customFormat="1">
      <c r="A171" s="30"/>
      <c r="B171" s="523" t="e">
        <f ca="1">"Terbilang : ( "&amp;L172&amp;" Rupiah )"</f>
        <v>#NAME?</v>
      </c>
      <c r="C171" s="524"/>
      <c r="D171" s="524"/>
      <c r="E171" s="524"/>
      <c r="F171" s="524"/>
      <c r="G171" s="524"/>
      <c r="H171" s="524"/>
      <c r="I171" s="524"/>
      <c r="J171" s="524"/>
      <c r="K171" s="525"/>
      <c r="L171" s="44"/>
      <c r="R171" s="58"/>
      <c r="S171" s="58"/>
      <c r="T171" s="58"/>
    </row>
    <row r="172" spans="1:20" s="36" customFormat="1">
      <c r="A172" s="30"/>
      <c r="B172" s="526"/>
      <c r="C172" s="527"/>
      <c r="D172" s="527"/>
      <c r="E172" s="527"/>
      <c r="F172" s="527"/>
      <c r="G172" s="527"/>
      <c r="H172" s="527"/>
      <c r="I172" s="527"/>
      <c r="J172" s="527"/>
      <c r="K172" s="52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1"/>
      <c r="I175" s="521"/>
      <c r="J175" s="522"/>
      <c r="K175" s="52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1"/>
      <c r="I176" s="521"/>
      <c r="J176" s="522"/>
      <c r="K176" s="52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1"/>
      <c r="I177" s="521"/>
      <c r="J177" s="522"/>
      <c r="K177" s="52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1"/>
      <c r="I182" s="521"/>
      <c r="J182" s="522"/>
      <c r="K182" s="52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SUMIFS(RAB!$F$14:$F$62,RAB!$C$14:$C$62,C224)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SUMIFS(RAB!$F$14:$F$62,RAB!$C$14:$C$62,C225)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SUMIFS(RAB!$F$14:$F$62,RAB!$C$14:$C$62,C226)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SUMIFS(RAB!$F$14:$F$62,RAB!$C$14:$C$62,C227)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SUMIFS(RAB!$F$14:$F$62,RAB!$C$14:$C$62,C228)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SUMIFS(RAB!$F$14:$F$62,RAB!$C$14:$C$62,C229)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SUMIFS(RAB!$F$14:$F$62,RAB!$C$14:$C$62,C230)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SUMIFS(RAB!$F$14:$F$62,RAB!$C$14:$C$62,C231)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SUMIFS(RAB!$F$14:$F$62,RAB!$C$14:$C$62,C232)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SUMIFS(RAB!$F$14:$F$62,RAB!$C$14:$C$62,C233)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SUMIFS(RAB!$F$14:$F$62,RAB!$C$14:$C$62,C234)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SUMIFS(RAB!$F$14:$F$62,RAB!$C$14:$C$62,C235)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SUMIFS(RAB!$F$14:$F$62,RAB!$C$14:$C$62,C236)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SUMIFS(RAB!$F$14:$F$62,RAB!$C$14:$C$62,C237)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SUMIFS(RAB!$F$14:$F$62,RAB!$C$14:$C$62,C238)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SUMIFS(RAB!$F$14:$F$62,RAB!$C$14:$C$62,C239)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SUMIFS(RAB!$F$14:$F$62,RAB!$C$14:$C$62,C240)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SUMIFS(RAB!$F$14:$F$62,RAB!$C$14:$C$62,C241)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SUMIFS(RAB!$F$14:$F$62,RAB!$C$14:$C$62,C242)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SUMIFS(RAB!$F$14:$F$62,RAB!$C$14:$C$62,C243)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SUMIFS(RAB!$F$14:$F$62,RAB!$C$14:$C$62,C244)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SUMIFS(RAB!$F$14:$F$62,RAB!$C$14:$C$62,C245)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SUMIFS(RAB!$F$14:$F$62,RAB!$C$14:$C$62,C246)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SUMIFS(RAB!$F$14:$F$62,RAB!$C$14:$C$62,C247)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SUMIFS(RAB!$F$14:$F$62,RAB!$C$14:$C$62,C248)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SUMIFS(RAB!$F$14:$F$62,RAB!$C$14:$C$62,C249)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SUMIFS(RAB!$F$14:$F$62,RAB!$C$14:$C$62,C250)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SUMIFS(RAB!$F$14:$F$62,RAB!$C$14:$C$62,C251)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SUMIFS(RAB!$F$14:$F$62,RAB!$C$14:$C$62,C252)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SUMIFS(RAB!$F$14:$F$62,RAB!$C$14:$C$62,C253)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SUMIFS(RAB!$F$14:$F$62,RAB!$C$14:$C$62,C254)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SUMIFS(RAB!$F$14:$F$62,RAB!$C$14:$C$62,C255)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SUMIFS(RAB!$F$14:$F$62,RAB!$C$14:$C$62,C256)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SUMIFS(RAB!$F$14:$F$62,RAB!$C$14:$C$62,C257)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SUMIFS(RAB!$F$14:$F$62,RAB!$C$14:$C$62,C258)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SUMIFS(RAB!$F$14:$F$62,RAB!$C$14:$C$62,C259)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SUMIFS(RAB!$F$14:$F$62,RAB!$C$14:$C$62,C260)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SUMIFS(RAB!$F$14:$F$62,RAB!$C$14:$C$62,C261)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SUMIFS(RAB!$F$14:$F$62,RAB!$C$14:$C$62,C262)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SUMIFS(RAB!$F$14:$F$62,RAB!$C$14:$C$62,C263)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SUMIFS(RAB!$F$14:$F$62,RAB!$C$14:$C$62,C264)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SUMIFS(RAB!$F$14:$F$62,RAB!$C$14:$C$62,C265)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SUMIFS(RAB!$F$14:$F$62,RAB!$C$14:$C$62,C266)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SUMIFS(RAB!$F$14:$F$62,RAB!$C$14:$C$62,C267)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SUMIFS(RAB!$F$14:$F$62,RAB!$C$14:$C$62,C268)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SUMIFS(RAB!$F$14:$F$62,RAB!$C$14:$C$62,C269)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SUMIFS(RAB!$F$14:$F$62,RAB!$C$14:$C$62,C270)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SUMIFS(RAB!$F$14:$F$62,RAB!$C$14:$C$62,C271)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SUMIFS(RAB!$F$14:$F$62,RAB!$C$14:$C$62,C272)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SUMIFS(RAB!$F$14:$F$62,RAB!$C$14:$C$62,C273)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SUMIFS(RAB!$F$14:$F$62,RAB!$C$14:$C$62,C274)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SUMIFS(RAB!$F$14:$F$62,RAB!$C$14:$C$62,C275)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SUMIFS(RAB!$F$14:$F$62,RAB!$C$14:$C$62,C276)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SUMIFS(RAB!$F$14:$F$62,RAB!$C$14:$C$62,C277)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SUMIFS(RAB!$F$14:$F$62,RAB!$C$14:$C$62,C278)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SUMIFS(RAB!$F$14:$F$62,RAB!$C$14:$C$62,C279)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SUMIFS(RAB!$F$14:$F$62,RAB!$C$14:$C$62,C280)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SUMIFS(RAB!$F$14:$F$62,RAB!$C$14:$C$62,C281)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SUMIFS(RAB!$F$14:$F$62,RAB!$C$14:$C$62,C282)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SUMIFS(RAB!$F$14:$F$62,RAB!$C$14:$C$62,C283)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SUMIFS(RAB!$F$14:$F$62,RAB!$C$14:$C$62,C284)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SUMIFS(RAB!$F$14:$F$62,RAB!$C$14:$C$62,C285)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SUMIFS(RAB!$F$14:$F$62,RAB!$C$14:$C$62,C286)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SUMIFS(RAB!$F$14:$F$62,RAB!$C$14:$C$62,C287)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SUMIFS(RAB!$F$14:$F$62,RAB!$C$14:$C$62,C288)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SUMIFS(RAB!$F$14:$F$62,RAB!$C$14:$C$62,C289)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SUMIFS(RAB!$F$14:$F$62,RAB!$C$14:$C$62,C290)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SUMIFS(RAB!$F$14:$F$62,RAB!$C$14:$C$62,C291)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SUMIFS(RAB!$F$14:$F$62,RAB!$C$14:$C$62,C292)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SUMIFS(RAB!$F$14:$F$62,RAB!$C$14:$C$62,C293)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SUMIFS(RAB!$F$14:$F$62,RAB!$C$14:$C$62,C294)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SUMIFS(RAB!$F$14:$F$62,RAB!$C$14:$C$62,C295)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SUMIFS(RAB!$F$14:$F$62,RAB!$C$14:$C$62,C296)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SUMIFS(RAB!$F$14:$F$62,RAB!$C$14:$C$62,C297)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SUMIFS(RAB!$F$14:$F$62,RAB!$C$14:$C$62,C298)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SUMIFS(RAB!$F$14:$F$62,RAB!$C$14:$C$62,C299)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SUMIFS(RAB!$F$14:$F$62,RAB!$C$14:$C$62,C300)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SUMIFS(RAB!$F$14:$F$62,RAB!$C$14:$C$62,C301)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SUMIFS(RAB!$F$14:$F$62,RAB!$C$14:$C$62,C302)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SUMIFS(RAB!$F$14:$F$62,RAB!$C$14:$C$62,C303)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SUMIFS(RAB!$F$14:$F$62,RAB!$C$14:$C$62,C304)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SUMIFS(RAB!$F$14:$F$62,RAB!$C$14:$C$62,C305)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SUMIFS(RAB!$F$14:$F$62,RAB!$C$14:$C$62,C306)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SUMIFS(RAB!$F$14:$F$62,RAB!$C$14:$C$62,C307)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SUMIFS(RAB!$F$14:$F$62,RAB!$C$14:$C$62,C308)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SUMIFS(RAB!$F$14:$F$62,RAB!$C$14:$C$62,C309)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SUMIFS(RAB!$F$14:$F$62,RAB!$C$14:$C$62,C310)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SUMIFS(RAB!$F$14:$F$62,RAB!$C$14:$C$62,C311)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SUMIFS(RAB!$F$14:$F$62,RAB!$C$14:$C$62,C312)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SUMIFS(RAB!$F$14:$F$62,RAB!$C$14:$C$62,C313)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SUMIFS(RAB!$F$14:$F$62,RAB!$C$14:$C$62,C314)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SUMIFS(RAB!$F$14:$F$62,RAB!$C$14:$C$62,C315)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SUMIFS(RAB!$F$14:$F$62,RAB!$C$14:$C$62,C316)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SUMIFS(RAB!$F$14:$F$62,RAB!$C$14:$C$62,C317)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SUMIFS(RAB!$F$14:$F$62,RAB!$C$14:$C$62,C318)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SUMIFS(RAB!$F$14:$F$62,RAB!$C$14:$C$62,C319)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SUMIFS(RAB!$F$14:$F$62,RAB!$C$14:$C$62,C320)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SUMIFS(RAB!$F$14:$F$62,RAB!$C$14:$C$62,C321)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SUMIFS(RAB!$F$14:$F$62,RAB!$C$14:$C$62,C322)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SUMIFS(RAB!$F$14:$F$62,RAB!$C$14:$C$62,C323)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SUMIFS(RAB!$F$14:$F$62,RAB!$C$14:$C$62,C324)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SUMIFS(RAB!$F$14:$F$62,RAB!$C$14:$C$62,C325)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SUMIFS(RAB!$F$14:$F$62,RAB!$C$14:$C$62,C326)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SUMIFS(RAB!$F$14:$F$62,RAB!$C$14:$C$62,C327)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SUMIFS(RAB!$F$14:$F$62,RAB!$C$14:$C$62,C328)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SUMIFS(RAB!$F$14:$F$62,RAB!$C$14:$C$62,C329)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SUMIFS(RAB!$F$14:$F$62,RAB!$C$14:$C$62,C330)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SUMIFS(RAB!$F$14:$F$62,RAB!$C$14:$C$62,C331)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SUMIFS(RAB!$F$14:$F$62,RAB!$C$14:$C$62,C332)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SUMIFS(RAB!$F$14:$F$62,RAB!$C$14:$C$62,C333)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SUMIFS(RAB!$F$14:$F$62,RAB!$C$14:$C$62,C334)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SUMIFS(RAB!$F$14:$F$62,RAB!$C$14:$C$62,C335)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SUMIFS(RAB!$F$14:$F$62,RAB!$C$14:$C$62,C336)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SUMIFS(RAB!$F$14:$F$62,RAB!$C$14:$C$62,C337)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SUMIFS(RAB!$F$14:$F$62,RAB!$C$14:$C$62,C338)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SUMIFS(RAB!$F$14:$F$62,RAB!$C$14:$C$62,C339)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SUMIFS(RAB!$F$14:$F$62,RAB!$C$14:$C$62,C340)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SUMIFS(RAB!$F$14:$F$62,RAB!$C$14:$C$62,C341)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SUMIFS(RAB!$F$14:$F$62,RAB!$C$14:$C$62,C342)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SUMIFS(RAB!$F$14:$F$62,RAB!$C$14:$C$62,C343)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SUMIFS(RAB!$F$14:$F$62,RAB!$C$14:$C$62,C344)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SUMIFS(RAB!$F$14:$F$62,RAB!$C$14:$C$62,C345)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SUMIFS(RAB!$F$14:$F$62,RAB!$C$14:$C$62,C346)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SUMIFS(RAB!$F$14:$F$62,RAB!$C$14:$C$62,C347)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SUMIFS(RAB!$F$14:$F$62,RAB!$C$14:$C$62,C348)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SUMIFS(RAB!$F$14:$F$62,RAB!$C$14:$C$62,C349)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SUMIFS(RAB!$F$14:$F$62,RAB!$C$14:$C$62,C350)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SUMIFS(RAB!$F$14:$F$62,RAB!$C$14:$C$62,C351)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SUMIFS(RAB!$F$14:$F$62,RAB!$C$14:$C$62,C352)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SUMIFS(RAB!$F$14:$F$62,RAB!$C$14:$C$62,C353)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SUMIFS(RAB!$F$14:$F$62,RAB!$C$14:$C$62,C354)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SUMIFS(RAB!$F$14:$F$62,RAB!$C$14:$C$62,C355)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SUMIFS(RAB!$F$14:$F$62,RAB!$C$14:$C$62,C356)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SUMIFS(RAB!$F$14:$F$62,RAB!$C$14:$C$62,C357)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SUMIFS(RAB!$F$14:$F$62,RAB!$C$14:$C$62,C358)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SUMIFS(RAB!$F$14:$F$62,RAB!$C$14:$C$62,C359)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SUMIFS(RAB!$F$14:$F$62,RAB!$C$14:$C$62,C360)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SUMIFS(RAB!$F$14:$F$62,RAB!$C$14:$C$62,C361)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SUMIFS(RAB!$F$14:$F$62,RAB!$C$14:$C$62,C362)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SUMIFS(RAB!$F$14:$F$62,RAB!$C$14:$C$62,C363)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SUMIFS(RAB!$F$14:$F$62,RAB!$C$14:$C$62,C364)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SUMIFS(RAB!$F$14:$F$62,RAB!$C$14:$C$62,C365)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SUMIFS(RAB!$F$14:$F$62,RAB!$C$14:$C$62,C366)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SUMIFS(RAB!$F$14:$F$62,RAB!$C$14:$C$62,C367)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SUMIFS(RAB!$F$14:$F$62,RAB!$C$14:$C$62,C368)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SUMIFS(RAB!$F$14:$F$62,RAB!$C$14:$C$62,C369)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SUMIFS(RAB!$F$14:$F$62,RAB!$C$14:$C$62,C370)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SUMIFS(RAB!$F$14:$F$62,RAB!$C$14:$C$62,C371)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SUMIFS(RAB!$F$14:$F$62,RAB!$C$14:$C$62,C372)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SUMIFS(RAB!$F$14:$F$62,RAB!$C$14:$C$62,C373)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2" sqref="C1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1609</v>
      </c>
      <c r="G4" s="108" t="s">
        <v>1608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5" t="s">
        <v>1454</v>
      </c>
      <c r="C2" s="555"/>
      <c r="D2" s="555"/>
      <c r="E2" s="55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0" t="s">
        <v>1532</v>
      </c>
      <c r="C4" s="561"/>
      <c r="D4" s="561"/>
      <c r="E4" s="562"/>
      <c r="F4" s="440"/>
      <c r="G4" s="440"/>
      <c r="H4" s="441"/>
      <c r="I4" s="587" t="s">
        <v>1533</v>
      </c>
      <c r="J4" s="588"/>
      <c r="K4" s="588"/>
      <c r="L4" s="589"/>
    </row>
    <row r="5" spans="1:12" ht="34.5" customHeight="1">
      <c r="A5" s="204"/>
      <c r="B5" s="443" t="s">
        <v>1379</v>
      </c>
      <c r="C5" s="277" t="s">
        <v>9</v>
      </c>
      <c r="D5" s="556" t="str">
        <f>DATA!D14</f>
        <v>KEJAKSAAN NEGERI DEMAK</v>
      </c>
      <c r="E5" s="557"/>
      <c r="F5" s="208"/>
      <c r="G5" s="208"/>
      <c r="I5" s="444" t="s">
        <v>1379</v>
      </c>
      <c r="J5" s="277" t="s">
        <v>9</v>
      </c>
      <c r="K5" s="590" t="str">
        <f>D5</f>
        <v>KEJAKSAAN NEGERI DEMAK</v>
      </c>
      <c r="L5" s="591"/>
    </row>
    <row r="6" spans="1:12" ht="31.5" customHeight="1">
      <c r="A6" s="204"/>
      <c r="B6" s="443" t="s">
        <v>1529</v>
      </c>
      <c r="C6" s="277" t="s">
        <v>9</v>
      </c>
      <c r="D6" s="565">
        <f>DATA!D17*1000</f>
        <v>33000</v>
      </c>
      <c r="E6" s="566"/>
      <c r="F6" s="208"/>
      <c r="G6" s="208"/>
      <c r="I6" s="444" t="s">
        <v>1530</v>
      </c>
      <c r="J6" s="277" t="s">
        <v>9</v>
      </c>
      <c r="K6" s="592">
        <f>DATA!D20*1000</f>
        <v>41500</v>
      </c>
      <c r="L6" s="593"/>
    </row>
    <row r="7" spans="1:12" ht="30.75" customHeight="1">
      <c r="A7" s="204"/>
      <c r="B7" s="443" t="s">
        <v>1441</v>
      </c>
      <c r="C7" s="277" t="s">
        <v>9</v>
      </c>
      <c r="D7" s="563">
        <f>DATA!D18</f>
        <v>3</v>
      </c>
      <c r="E7" s="564"/>
      <c r="F7" s="442" t="s">
        <v>1453</v>
      </c>
      <c r="I7" s="444" t="s">
        <v>1441</v>
      </c>
      <c r="J7" s="277" t="s">
        <v>9</v>
      </c>
      <c r="K7" s="594">
        <f>DATA!D21</f>
        <v>3</v>
      </c>
      <c r="L7" s="595"/>
    </row>
    <row r="8" spans="1:12" ht="51" customHeight="1">
      <c r="A8" s="204"/>
      <c r="B8" s="443" t="s">
        <v>1442</v>
      </c>
      <c r="C8" s="277" t="s">
        <v>9</v>
      </c>
      <c r="D8" s="563">
        <f>DATA!D19</f>
        <v>380</v>
      </c>
      <c r="E8" s="564"/>
      <c r="F8" s="442" t="s">
        <v>1453</v>
      </c>
      <c r="G8" s="437">
        <v>220</v>
      </c>
      <c r="I8" s="444" t="s">
        <v>1442</v>
      </c>
      <c r="J8" s="277" t="s">
        <v>9</v>
      </c>
      <c r="K8" s="594">
        <f>DATA!D22</f>
        <v>380</v>
      </c>
      <c r="L8" s="595"/>
    </row>
    <row r="9" spans="1:12" ht="30" customHeight="1" thickBot="1">
      <c r="A9" s="204"/>
      <c r="B9" s="449" t="s">
        <v>1541</v>
      </c>
      <c r="C9" s="439" t="s">
        <v>9</v>
      </c>
      <c r="D9" s="558">
        <f>IF(D7=1,D6/(380/3^0.5),(D6/(380*3^0.5)))</f>
        <v>50.138312850678034</v>
      </c>
      <c r="E9" s="559"/>
      <c r="F9" s="207"/>
      <c r="G9" s="438">
        <v>380</v>
      </c>
      <c r="I9" s="450" t="s">
        <v>1541</v>
      </c>
      <c r="J9" s="439" t="s">
        <v>9</v>
      </c>
      <c r="K9" s="596">
        <f>IF(K7=1,K6/(380/3^0.5),(K6/(380*3^0.5)))</f>
        <v>63.052726766761765</v>
      </c>
      <c r="L9" s="597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67"/>
      <c r="E12" s="568"/>
      <c r="F12" s="208"/>
      <c r="G12" s="208"/>
      <c r="I12" s="466" t="s">
        <v>1534</v>
      </c>
      <c r="J12" s="467" t="s">
        <v>9</v>
      </c>
      <c r="K12" s="567"/>
      <c r="L12" s="568"/>
    </row>
    <row r="13" spans="1:12" ht="31.5" customHeight="1">
      <c r="A13" s="204"/>
      <c r="B13" s="474" t="s">
        <v>1380</v>
      </c>
      <c r="C13" s="454" t="s">
        <v>9</v>
      </c>
      <c r="D13" s="571"/>
      <c r="E13" s="572"/>
      <c r="F13" s="208"/>
      <c r="G13" s="208"/>
      <c r="I13" s="468" t="s">
        <v>1380</v>
      </c>
      <c r="J13" s="454" t="s">
        <v>9</v>
      </c>
      <c r="K13" s="571"/>
      <c r="L13" s="572"/>
    </row>
    <row r="14" spans="1:12" ht="30.75" customHeight="1">
      <c r="A14" s="204"/>
      <c r="B14" s="474" t="s">
        <v>1535</v>
      </c>
      <c r="C14" s="454" t="s">
        <v>9</v>
      </c>
      <c r="D14" s="579">
        <v>50</v>
      </c>
      <c r="E14" s="580"/>
      <c r="F14" s="442" t="s">
        <v>1453</v>
      </c>
      <c r="G14" s="446">
        <v>50</v>
      </c>
      <c r="I14" s="468" t="s">
        <v>1535</v>
      </c>
      <c r="J14" s="454" t="s">
        <v>9</v>
      </c>
      <c r="K14" s="581">
        <v>50</v>
      </c>
      <c r="L14" s="582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83">
        <f>63+10</f>
        <v>73</v>
      </c>
      <c r="E16" s="584"/>
      <c r="F16" s="442"/>
      <c r="G16" s="446">
        <v>160</v>
      </c>
      <c r="I16" s="468" t="s">
        <v>1537</v>
      </c>
      <c r="J16" s="454" t="s">
        <v>9</v>
      </c>
      <c r="K16" s="585">
        <f>K9</f>
        <v>63.052726766761765</v>
      </c>
      <c r="L16" s="586"/>
    </row>
    <row r="17" spans="1:12" ht="34.5" customHeight="1">
      <c r="A17" s="204"/>
      <c r="B17" s="474" t="s">
        <v>1538</v>
      </c>
      <c r="C17" s="454" t="s">
        <v>9</v>
      </c>
      <c r="D17" s="573">
        <f>IF(D15=1,D14/(20/3^0.5),(D14/(20*3^0.5)))</f>
        <v>1.4433756729740645</v>
      </c>
      <c r="E17" s="574"/>
      <c r="F17" s="442" t="s">
        <v>1453</v>
      </c>
      <c r="G17" s="447">
        <v>200</v>
      </c>
      <c r="I17" s="468" t="s">
        <v>1538</v>
      </c>
      <c r="J17" s="454" t="s">
        <v>9</v>
      </c>
      <c r="K17" s="577">
        <f>IF(K15=1,K14/(20/3^0.5),(K14/(20*3^0.5)))</f>
        <v>1.4433756729740645</v>
      </c>
      <c r="L17" s="578"/>
    </row>
    <row r="18" spans="1:12" ht="34.5" customHeight="1">
      <c r="A18" s="204"/>
      <c r="B18" s="474" t="s">
        <v>1539</v>
      </c>
      <c r="C18" s="454" t="s">
        <v>9</v>
      </c>
      <c r="D18" s="573">
        <f>IF(D15=1,D14/(380/3^0.5),(D14/(380*3^0.5)))*1000</f>
        <v>75.96714068284551</v>
      </c>
      <c r="E18" s="574"/>
      <c r="F18" s="442" t="s">
        <v>1453</v>
      </c>
      <c r="G18" s="447">
        <v>250</v>
      </c>
      <c r="I18" s="468" t="s">
        <v>1539</v>
      </c>
      <c r="J18" s="454" t="s">
        <v>9</v>
      </c>
      <c r="K18" s="577">
        <f>IF(K15=1,K14/(380/3^0.5),(K14/(380*3^0.5)))*1000</f>
        <v>75.96714068284551</v>
      </c>
      <c r="L18" s="578"/>
    </row>
    <row r="19" spans="1:12" ht="30" customHeight="1">
      <c r="A19" s="204"/>
      <c r="B19" s="475" t="s">
        <v>1531</v>
      </c>
      <c r="C19" s="453" t="s">
        <v>9</v>
      </c>
      <c r="D19" s="573">
        <f>IF(D15=1,D14/(380/3^0.5),(D14/(380*3^0.5)))</f>
        <v>7.5967140682845505E-2</v>
      </c>
      <c r="E19" s="574"/>
      <c r="F19" s="207"/>
      <c r="G19" s="438"/>
      <c r="I19" s="470" t="s">
        <v>1531</v>
      </c>
      <c r="J19" s="453" t="s">
        <v>9</v>
      </c>
      <c r="K19" s="577">
        <f>IF(K15=1,K14/(380/3^0.5),(K14/(380*3^0.5)))</f>
        <v>7.5967140682845505E-2</v>
      </c>
      <c r="L19" s="578"/>
    </row>
    <row r="20" spans="1:12" ht="30" customHeight="1" thickBot="1">
      <c r="A20" s="204"/>
      <c r="B20" s="476" t="s">
        <v>1540</v>
      </c>
      <c r="C20" s="472" t="s">
        <v>9</v>
      </c>
      <c r="D20" s="569">
        <f>D16/D18</f>
        <v>0.96094178803921293</v>
      </c>
      <c r="E20" s="570"/>
      <c r="F20" s="207"/>
      <c r="G20" s="438"/>
      <c r="I20" s="471" t="s">
        <v>1531</v>
      </c>
      <c r="J20" s="472" t="s">
        <v>9</v>
      </c>
      <c r="K20" s="575">
        <f>K16/K18</f>
        <v>0.82999999999999985</v>
      </c>
      <c r="L20" s="576"/>
    </row>
    <row r="21" spans="1:12" ht="9.75" customHeight="1">
      <c r="A21" s="204"/>
      <c r="B21" s="461" t="s">
        <v>1540</v>
      </c>
      <c r="C21" s="462" t="s">
        <v>9</v>
      </c>
      <c r="D21" s="554">
        <v>1</v>
      </c>
      <c r="E21" s="554"/>
      <c r="F21" s="463"/>
      <c r="G21" s="464"/>
      <c r="H21" s="465"/>
      <c r="I21" s="461" t="s">
        <v>1531</v>
      </c>
      <c r="J21" s="462" t="s">
        <v>9</v>
      </c>
      <c r="K21" s="554">
        <v>1</v>
      </c>
      <c r="L21" s="554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51"/>
      <c r="C24" s="552"/>
      <c r="D24" s="552"/>
      <c r="E24" s="553"/>
      <c r="I24" s="551"/>
      <c r="J24" s="552"/>
      <c r="K24" s="552"/>
      <c r="L24" s="553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8.5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8236500</v>
      </c>
    </row>
    <row r="10" spans="2:11" ht="20.100000000000001" customHeight="1">
      <c r="B10" s="291" t="s">
        <v>1446</v>
      </c>
      <c r="C10" s="292" t="s">
        <v>9</v>
      </c>
      <c r="D10" s="298">
        <f ca="1">RAB!K68</f>
        <v>98399746.200000003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1967994.9240000001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1626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1629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33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41.5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26" sqref="K2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0" t="s">
        <v>1357</v>
      </c>
      <c r="C3" s="600"/>
      <c r="D3" s="600"/>
      <c r="E3" s="600"/>
      <c r="F3" s="305" t="str">
        <f>DATA!D14</f>
        <v>KEJAKSAAN NEGERI DEMAK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1" t="s">
        <v>1349</v>
      </c>
      <c r="C5" s="601" t="s">
        <v>1358</v>
      </c>
      <c r="D5" s="602" t="s">
        <v>1359</v>
      </c>
      <c r="E5" s="602" t="s">
        <v>1360</v>
      </c>
      <c r="F5" s="601" t="s">
        <v>1361</v>
      </c>
      <c r="G5" s="601"/>
      <c r="H5" s="601"/>
      <c r="I5" s="601"/>
      <c r="J5" s="601"/>
      <c r="K5" s="601" t="s">
        <v>1362</v>
      </c>
      <c r="L5" s="601"/>
      <c r="M5" s="307"/>
      <c r="N5" s="605" t="s">
        <v>1363</v>
      </c>
      <c r="O5" s="602" t="s">
        <v>1364</v>
      </c>
      <c r="P5" s="602" t="s">
        <v>1365</v>
      </c>
      <c r="Q5" s="602" t="s">
        <v>1366</v>
      </c>
      <c r="R5" s="308"/>
      <c r="S5" s="309"/>
      <c r="T5" s="603" t="s">
        <v>1367</v>
      </c>
      <c r="U5" s="310"/>
    </row>
    <row r="6" spans="1:21" ht="20.100000000000001" customHeight="1">
      <c r="B6" s="601"/>
      <c r="C6" s="601"/>
      <c r="D6" s="601"/>
      <c r="E6" s="60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6"/>
      <c r="O6" s="601"/>
      <c r="P6" s="601"/>
      <c r="Q6" s="601"/>
      <c r="R6" s="308"/>
      <c r="S6" s="309"/>
      <c r="T6" s="601"/>
      <c r="U6" s="312"/>
    </row>
    <row r="7" spans="1:21" ht="20.100000000000001" customHeight="1">
      <c r="A7" s="313">
        <v>0</v>
      </c>
      <c r="B7" s="314">
        <v>2023</v>
      </c>
      <c r="C7" s="477">
        <f>DATA!D8*DATA!D26*8</f>
        <v>2720</v>
      </c>
      <c r="D7" s="316">
        <f>C7*4/24</f>
        <v>453.33333333333331</v>
      </c>
      <c r="E7" s="316">
        <f>C7-D7</f>
        <v>2266.6666666666665</v>
      </c>
      <c r="F7" s="317">
        <f ca="1">DATA!D10/1000000</f>
        <v>98.39974620000001</v>
      </c>
      <c r="G7" s="318">
        <f ca="1">DATA!$D$11/1000000</f>
        <v>1.9679949240000001</v>
      </c>
      <c r="H7" s="318">
        <f>C7*DATA!$D$5/1000000</f>
        <v>2.9488201248115087</v>
      </c>
      <c r="I7" s="318">
        <f>(C7*DATA!$D$5*DATA!$D$7)/1000000</f>
        <v>6.6348452808258934E-2</v>
      </c>
      <c r="J7" s="316">
        <f ca="1">SUM(F7:I7)</f>
        <v>103.38290970161977</v>
      </c>
      <c r="K7" s="319">
        <f>DATA!D9/1000000</f>
        <v>8.2364999999999995</v>
      </c>
      <c r="L7" s="316">
        <f>((D7*DATA!$D$23)/1000000)+((E7*DATA!$D$24)/1000000)</f>
        <v>3.9295839999999997</v>
      </c>
      <c r="M7" s="316">
        <f>K7+L7</f>
        <v>12.166084</v>
      </c>
      <c r="N7" s="316">
        <f ca="1">M7-J7</f>
        <v>-91.216825701619769</v>
      </c>
      <c r="O7" s="314">
        <v>1</v>
      </c>
      <c r="P7" s="316">
        <f ca="1">O7*N7</f>
        <v>-91.216825701619769</v>
      </c>
      <c r="Q7" s="316">
        <f ca="1">P7</f>
        <v>-91.216825701619769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4080</v>
      </c>
      <c r="D8" s="316">
        <f>C8*4/24</f>
        <v>680</v>
      </c>
      <c r="E8" s="316">
        <f t="shared" ref="E8:E32" si="0">C8-D8</f>
        <v>3400</v>
      </c>
      <c r="F8" s="314"/>
      <c r="G8" s="318">
        <f ca="1">DATA!$D$11/1000000</f>
        <v>1.9679949240000001</v>
      </c>
      <c r="H8" s="318">
        <f>C8*DATA!$D$5/1000000</f>
        <v>4.4232301872172624</v>
      </c>
      <c r="I8" s="318">
        <f>(C8*DATA!$D$5*DATA!$D$7)/1000000</f>
        <v>9.9522679212388401E-2</v>
      </c>
      <c r="J8" s="316">
        <f t="shared" ref="J8:J32" ca="1" si="1">SUM(F8:I8)</f>
        <v>6.4907477904296504</v>
      </c>
      <c r="K8" s="321"/>
      <c r="L8" s="316">
        <f>((D8*DATA!$D$23)/1000000)+((E8*DATA!$D$24)/1000000)</f>
        <v>5.8943759999999994</v>
      </c>
      <c r="M8" s="316">
        <f t="shared" ref="M8:M32" si="2">K8+L8</f>
        <v>5.8943759999999994</v>
      </c>
      <c r="N8" s="316">
        <f ca="1">M8-J8</f>
        <v>-0.59637179042965105</v>
      </c>
      <c r="O8" s="315">
        <f>1/(1+'[93]Asumsi I'!$C$3)^(KKF!A8)</f>
        <v>0.89285714285714279</v>
      </c>
      <c r="P8" s="316">
        <f ca="1">O8*N8</f>
        <v>-0.53247481288361698</v>
      </c>
      <c r="Q8" s="316">
        <f ca="1">Q7+P8</f>
        <v>-91.749300514503389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4080</v>
      </c>
      <c r="D9" s="316">
        <f t="shared" ref="D9:D32" si="5">C9*4/24</f>
        <v>680</v>
      </c>
      <c r="E9" s="316">
        <f t="shared" si="0"/>
        <v>3400</v>
      </c>
      <c r="F9" s="314"/>
      <c r="G9" s="318">
        <f ca="1">DATA!$D$11/1000000</f>
        <v>1.9679949240000001</v>
      </c>
      <c r="H9" s="318">
        <f>C9*DATA!$D$5/1000000</f>
        <v>4.4232301872172624</v>
      </c>
      <c r="I9" s="318">
        <f>(C9*DATA!$D$5*DATA!$D$7)/1000000</f>
        <v>9.9522679212388401E-2</v>
      </c>
      <c r="J9" s="316">
        <f t="shared" ca="1" si="1"/>
        <v>6.4907477904296504</v>
      </c>
      <c r="K9" s="316"/>
      <c r="L9" s="316">
        <f>((D9*DATA!$D$23)/1000000)+((E9*DATA!$D$24)/1000000)</f>
        <v>5.8943759999999994</v>
      </c>
      <c r="M9" s="316">
        <f t="shared" si="2"/>
        <v>5.8943759999999994</v>
      </c>
      <c r="N9" s="316">
        <f t="shared" ref="N9:N32" ca="1" si="6">M9-J9</f>
        <v>-0.59637179042965105</v>
      </c>
      <c r="O9" s="322">
        <f>1/(1+'[93]Asumsi I'!$C$3)^(KKF!A9)</f>
        <v>0.79719387755102034</v>
      </c>
      <c r="P9" s="316">
        <f t="shared" ref="P9:P32" ca="1" si="7">O9*N9</f>
        <v>-0.47542394007465799</v>
      </c>
      <c r="Q9" s="316">
        <f ca="1">Q8+P9</f>
        <v>-92.224724454578052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4080</v>
      </c>
      <c r="D10" s="316">
        <f t="shared" si="5"/>
        <v>680</v>
      </c>
      <c r="E10" s="316">
        <f t="shared" si="0"/>
        <v>3400</v>
      </c>
      <c r="F10" s="314"/>
      <c r="G10" s="318">
        <f ca="1">DATA!$D$11/1000000</f>
        <v>1.9679949240000001</v>
      </c>
      <c r="H10" s="318">
        <f>C10*DATA!$D$5/1000000</f>
        <v>4.4232301872172624</v>
      </c>
      <c r="I10" s="318">
        <f>(C10*DATA!$D$5*DATA!$D$7)/1000000</f>
        <v>9.9522679212388401E-2</v>
      </c>
      <c r="J10" s="316">
        <f t="shared" ca="1" si="1"/>
        <v>6.4907477904296504</v>
      </c>
      <c r="K10" s="314"/>
      <c r="L10" s="316">
        <f>((D10*DATA!$D$23)/1000000)+((E10*DATA!$D$24)/1000000)</f>
        <v>5.8943759999999994</v>
      </c>
      <c r="M10" s="316">
        <f t="shared" si="2"/>
        <v>5.8943759999999994</v>
      </c>
      <c r="N10" s="316">
        <f t="shared" ca="1" si="6"/>
        <v>-0.59637179042965105</v>
      </c>
      <c r="O10" s="315">
        <f>1/(1+'[93]Asumsi I'!$C$3)^(KKF!A10)</f>
        <v>0.71178024781341087</v>
      </c>
      <c r="P10" s="316">
        <f t="shared" ca="1" si="7"/>
        <v>-0.42448566078094457</v>
      </c>
      <c r="Q10" s="316">
        <f t="shared" ref="Q10:Q30" ca="1" si="9">Q9+P10</f>
        <v>-92.649210115358997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4080</v>
      </c>
      <c r="D11" s="316">
        <f t="shared" si="5"/>
        <v>680</v>
      </c>
      <c r="E11" s="316">
        <f t="shared" si="0"/>
        <v>3400</v>
      </c>
      <c r="F11" s="314"/>
      <c r="G11" s="318">
        <f ca="1">DATA!$D$11/1000000</f>
        <v>1.9679949240000001</v>
      </c>
      <c r="H11" s="318">
        <f>C11*DATA!$D$5/1000000</f>
        <v>4.4232301872172624</v>
      </c>
      <c r="I11" s="318">
        <f>(C11*DATA!$D$5*DATA!$D$7)/1000000</f>
        <v>9.9522679212388401E-2</v>
      </c>
      <c r="J11" s="316">
        <f t="shared" ca="1" si="1"/>
        <v>6.4907477904296504</v>
      </c>
      <c r="K11" s="314"/>
      <c r="L11" s="316">
        <f>((D11*DATA!$D$23)/1000000)+((E11*DATA!$D$24)/1000000)</f>
        <v>5.8943759999999994</v>
      </c>
      <c r="M11" s="316">
        <f t="shared" si="2"/>
        <v>5.8943759999999994</v>
      </c>
      <c r="N11" s="316">
        <f t="shared" ca="1" si="6"/>
        <v>-0.59637179042965105</v>
      </c>
      <c r="O11" s="315">
        <f>1/(1+'[93]Asumsi I'!$C$3)^(KKF!A11)</f>
        <v>0.63551807840483121</v>
      </c>
      <c r="P11" s="316">
        <f t="shared" ca="1" si="7"/>
        <v>-0.37900505426870057</v>
      </c>
      <c r="Q11" s="316">
        <f t="shared" ca="1" si="9"/>
        <v>-93.0282151696277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4080</v>
      </c>
      <c r="D12" s="316">
        <f t="shared" si="5"/>
        <v>680</v>
      </c>
      <c r="E12" s="316">
        <f t="shared" si="0"/>
        <v>3400</v>
      </c>
      <c r="F12" s="314"/>
      <c r="G12" s="318">
        <f ca="1">DATA!$D$11/1000000</f>
        <v>1.9679949240000001</v>
      </c>
      <c r="H12" s="318">
        <f>C12*DATA!$D$5/1000000</f>
        <v>4.4232301872172624</v>
      </c>
      <c r="I12" s="318">
        <f>(C12*DATA!$D$5*DATA!$D$7)/1000000</f>
        <v>9.9522679212388401E-2</v>
      </c>
      <c r="J12" s="316">
        <f t="shared" ca="1" si="1"/>
        <v>6.4907477904296504</v>
      </c>
      <c r="K12" s="314"/>
      <c r="L12" s="316">
        <f>((D12*DATA!$D$23)/1000000)+((E12*DATA!$D$24)/1000000)</f>
        <v>5.8943759999999994</v>
      </c>
      <c r="M12" s="316">
        <f t="shared" si="2"/>
        <v>5.8943759999999994</v>
      </c>
      <c r="N12" s="316">
        <f t="shared" ca="1" si="6"/>
        <v>-0.59637179042965105</v>
      </c>
      <c r="O12" s="315">
        <f>1/(1+'[93]Asumsi I'!$C$3)^(KKF!A12)</f>
        <v>0.56742685571859919</v>
      </c>
      <c r="P12" s="316">
        <f t="shared" ca="1" si="7"/>
        <v>-0.33839736988276825</v>
      </c>
      <c r="Q12" s="316">
        <f t="shared" ca="1" si="9"/>
        <v>-93.36661253951047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4080</v>
      </c>
      <c r="D13" s="316">
        <f t="shared" si="5"/>
        <v>680</v>
      </c>
      <c r="E13" s="316">
        <f t="shared" si="0"/>
        <v>3400</v>
      </c>
      <c r="F13" s="314"/>
      <c r="G13" s="318">
        <f ca="1">DATA!$D$11/1000000</f>
        <v>1.9679949240000001</v>
      </c>
      <c r="H13" s="318">
        <f>C13*DATA!$D$5/1000000</f>
        <v>4.4232301872172624</v>
      </c>
      <c r="I13" s="318">
        <f>(C13*DATA!$D$5*DATA!$D$7)/1000000</f>
        <v>9.9522679212388401E-2</v>
      </c>
      <c r="J13" s="316">
        <f t="shared" ca="1" si="1"/>
        <v>6.4907477904296504</v>
      </c>
      <c r="K13" s="314"/>
      <c r="L13" s="316">
        <f>((D13*DATA!$D$23)/1000000)+((E13*DATA!$D$24)/1000000)</f>
        <v>5.8943759999999994</v>
      </c>
      <c r="M13" s="316">
        <f t="shared" si="2"/>
        <v>5.8943759999999994</v>
      </c>
      <c r="N13" s="316">
        <f t="shared" ca="1" si="6"/>
        <v>-0.59637179042965105</v>
      </c>
      <c r="O13" s="315">
        <f>1/(1+'[93]Asumsi I'!$C$3)^(KKF!A13)</f>
        <v>0.50663112117732068</v>
      </c>
      <c r="P13" s="316">
        <f t="shared" ca="1" si="7"/>
        <v>-0.30214050882390026</v>
      </c>
      <c r="Q13" s="316">
        <f t="shared" ca="1" si="9"/>
        <v>-93.668753048334366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4080</v>
      </c>
      <c r="D14" s="316">
        <f t="shared" si="5"/>
        <v>680</v>
      </c>
      <c r="E14" s="316">
        <f t="shared" si="0"/>
        <v>3400</v>
      </c>
      <c r="F14" s="314"/>
      <c r="G14" s="318">
        <f ca="1">DATA!$D$11/1000000</f>
        <v>1.9679949240000001</v>
      </c>
      <c r="H14" s="318">
        <f>C14*DATA!$D$5/1000000</f>
        <v>4.4232301872172624</v>
      </c>
      <c r="I14" s="318">
        <f>(C14*DATA!$D$5*DATA!$D$7)/1000000</f>
        <v>9.9522679212388401E-2</v>
      </c>
      <c r="J14" s="316">
        <f t="shared" ca="1" si="1"/>
        <v>6.4907477904296504</v>
      </c>
      <c r="K14" s="314"/>
      <c r="L14" s="316">
        <f>((D14*DATA!$D$23)/1000000)+((E14*DATA!$D$24)/1000000)</f>
        <v>5.8943759999999994</v>
      </c>
      <c r="M14" s="316">
        <f t="shared" si="2"/>
        <v>5.8943759999999994</v>
      </c>
      <c r="N14" s="316">
        <f t="shared" ca="1" si="6"/>
        <v>-0.59637179042965105</v>
      </c>
      <c r="O14" s="315">
        <f>1/(1+'[93]Asumsi I'!$C$3)^(KKF!A14)</f>
        <v>0.45234921533689343</v>
      </c>
      <c r="P14" s="316">
        <f t="shared" ca="1" si="7"/>
        <v>-0.26976831144991092</v>
      </c>
      <c r="Q14" s="316">
        <f t="shared" ca="1" si="9"/>
        <v>-93.938521359784275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4080</v>
      </c>
      <c r="D15" s="316">
        <f t="shared" si="5"/>
        <v>680</v>
      </c>
      <c r="E15" s="316">
        <f t="shared" si="0"/>
        <v>3400</v>
      </c>
      <c r="F15" s="314"/>
      <c r="G15" s="318">
        <f ca="1">DATA!$D$11/1000000</f>
        <v>1.9679949240000001</v>
      </c>
      <c r="H15" s="318">
        <f>C15*DATA!$D$5/1000000</f>
        <v>4.4232301872172624</v>
      </c>
      <c r="I15" s="318">
        <f>(C15*DATA!$D$5*DATA!$D$7)/1000000</f>
        <v>9.9522679212388401E-2</v>
      </c>
      <c r="J15" s="316">
        <f t="shared" ca="1" si="1"/>
        <v>6.4907477904296504</v>
      </c>
      <c r="K15" s="314"/>
      <c r="L15" s="316">
        <f>((D15*DATA!$D$23)/1000000)+((E15*DATA!$D$24)/1000000)</f>
        <v>5.8943759999999994</v>
      </c>
      <c r="M15" s="316">
        <f t="shared" si="2"/>
        <v>5.8943759999999994</v>
      </c>
      <c r="N15" s="316">
        <f t="shared" ca="1" si="6"/>
        <v>-0.59637179042965105</v>
      </c>
      <c r="O15" s="315">
        <f>1/(1+'[93]Asumsi I'!$C$3)^(KKF!A15)</f>
        <v>0.4038832279793691</v>
      </c>
      <c r="P15" s="316">
        <f t="shared" ca="1" si="7"/>
        <v>-0.24086456379456328</v>
      </c>
      <c r="Q15" s="316">
        <f t="shared" ca="1" si="9"/>
        <v>-94.179385923578835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4080</v>
      </c>
      <c r="D16" s="316">
        <f t="shared" si="5"/>
        <v>680</v>
      </c>
      <c r="E16" s="316">
        <f t="shared" si="0"/>
        <v>3400</v>
      </c>
      <c r="F16" s="314"/>
      <c r="G16" s="318">
        <f ca="1">DATA!$D$11/1000000</f>
        <v>1.9679949240000001</v>
      </c>
      <c r="H16" s="318">
        <f>C16*DATA!$D$5/1000000</f>
        <v>4.4232301872172624</v>
      </c>
      <c r="I16" s="318">
        <f>(C16*DATA!$D$5*DATA!$D$7)/1000000</f>
        <v>9.9522679212388401E-2</v>
      </c>
      <c r="J16" s="316">
        <f t="shared" ca="1" si="1"/>
        <v>6.4907477904296504</v>
      </c>
      <c r="K16" s="314"/>
      <c r="L16" s="316">
        <f>((D16*DATA!$D$23)/1000000)+((E16*DATA!$D$24)/1000000)</f>
        <v>5.8943759999999994</v>
      </c>
      <c r="M16" s="316">
        <f t="shared" si="2"/>
        <v>5.8943759999999994</v>
      </c>
      <c r="N16" s="316">
        <f t="shared" ca="1" si="6"/>
        <v>-0.59637179042965105</v>
      </c>
      <c r="O16" s="315">
        <f>1/(1+'[93]Asumsi I'!$C$3)^(KKF!A16)</f>
        <v>0.36061002498157957</v>
      </c>
      <c r="P16" s="316">
        <f t="shared" ca="1" si="7"/>
        <v>-0.21505764624514581</v>
      </c>
      <c r="Q16" s="316">
        <f t="shared" ca="1" si="9"/>
        <v>-94.394443569823977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4080</v>
      </c>
      <c r="D17" s="316">
        <f t="shared" si="5"/>
        <v>680</v>
      </c>
      <c r="E17" s="316">
        <f t="shared" si="0"/>
        <v>3400</v>
      </c>
      <c r="F17" s="314"/>
      <c r="G17" s="318">
        <f ca="1">DATA!$D$11/1000000</f>
        <v>1.9679949240000001</v>
      </c>
      <c r="H17" s="318">
        <f>C17*DATA!$D$5/1000000</f>
        <v>4.4232301872172624</v>
      </c>
      <c r="I17" s="318">
        <f>(C17*DATA!$D$5*DATA!$D$7)/1000000</f>
        <v>9.9522679212388401E-2</v>
      </c>
      <c r="J17" s="316">
        <f t="shared" ca="1" si="1"/>
        <v>6.4907477904296504</v>
      </c>
      <c r="K17" s="314"/>
      <c r="L17" s="316">
        <f>((D17*DATA!$D$23)/1000000)+((E17*DATA!$D$24)/1000000)</f>
        <v>5.8943759999999994</v>
      </c>
      <c r="M17" s="316">
        <f t="shared" si="2"/>
        <v>5.8943759999999994</v>
      </c>
      <c r="N17" s="316">
        <f t="shared" ca="1" si="6"/>
        <v>-0.59637179042965105</v>
      </c>
      <c r="O17" s="315">
        <f>1/(1+'[93]Asumsi I'!$C$3)^(KKF!A17)</f>
        <v>0.32197323659069599</v>
      </c>
      <c r="P17" s="316">
        <f t="shared" ca="1" si="7"/>
        <v>-0.19201575557602299</v>
      </c>
      <c r="Q17" s="316">
        <f t="shared" ca="1" si="9"/>
        <v>-94.5864593254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4080</v>
      </c>
      <c r="D18" s="316">
        <f t="shared" si="5"/>
        <v>680</v>
      </c>
      <c r="E18" s="316">
        <f t="shared" si="0"/>
        <v>3400</v>
      </c>
      <c r="F18" s="314"/>
      <c r="G18" s="318">
        <f ca="1">DATA!$D$11/1000000</f>
        <v>1.9679949240000001</v>
      </c>
      <c r="H18" s="318">
        <f>C18*DATA!$D$5/1000000</f>
        <v>4.4232301872172624</v>
      </c>
      <c r="I18" s="318">
        <f>(C18*DATA!$D$5*DATA!$D$7)/1000000</f>
        <v>9.9522679212388401E-2</v>
      </c>
      <c r="J18" s="316">
        <f t="shared" ca="1" si="1"/>
        <v>6.4907477904296504</v>
      </c>
      <c r="K18" s="314"/>
      <c r="L18" s="316">
        <f>((D18*DATA!$D$23)/1000000)+((E18*DATA!$D$24)/1000000)</f>
        <v>5.8943759999999994</v>
      </c>
      <c r="M18" s="316">
        <f t="shared" si="2"/>
        <v>5.8943759999999994</v>
      </c>
      <c r="N18" s="316">
        <f t="shared" ca="1" si="6"/>
        <v>-0.59637179042965105</v>
      </c>
      <c r="O18" s="315">
        <f>1/(1+'[93]Asumsi I'!$C$3)^(KKF!A18)</f>
        <v>0.28747610409883567</v>
      </c>
      <c r="P18" s="316">
        <f t="shared" ca="1" si="7"/>
        <v>-0.17144263890716338</v>
      </c>
      <c r="Q18" s="316">
        <f t="shared" ca="1" si="9"/>
        <v>-94.757901964307166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4080</v>
      </c>
      <c r="D19" s="316">
        <f t="shared" si="5"/>
        <v>680</v>
      </c>
      <c r="E19" s="316">
        <f t="shared" si="0"/>
        <v>3400</v>
      </c>
      <c r="F19" s="314"/>
      <c r="G19" s="318">
        <f ca="1">DATA!$D$11/1000000</f>
        <v>1.9679949240000001</v>
      </c>
      <c r="H19" s="318">
        <f>C19*DATA!$D$5/1000000</f>
        <v>4.4232301872172624</v>
      </c>
      <c r="I19" s="318">
        <f>(C19*DATA!$D$5*DATA!$D$7)/1000000</f>
        <v>9.9522679212388401E-2</v>
      </c>
      <c r="J19" s="316">
        <f t="shared" ca="1" si="1"/>
        <v>6.4907477904296504</v>
      </c>
      <c r="K19" s="314"/>
      <c r="L19" s="316">
        <f>((D19*DATA!$D$23)/1000000)+((E19*DATA!$D$24)/1000000)</f>
        <v>5.8943759999999994</v>
      </c>
      <c r="M19" s="316">
        <f t="shared" si="2"/>
        <v>5.8943759999999994</v>
      </c>
      <c r="N19" s="316">
        <f t="shared" ca="1" si="6"/>
        <v>-0.59637179042965105</v>
      </c>
      <c r="O19" s="315">
        <f>1/(1+'[93]Asumsi I'!$C$3)^(KKF!A19)</f>
        <v>0.25667509294538904</v>
      </c>
      <c r="P19" s="316">
        <f t="shared" ca="1" si="7"/>
        <v>-0.15307378473853875</v>
      </c>
      <c r="Q19" s="316">
        <f t="shared" ca="1" si="9"/>
        <v>-94.910975749045704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4080</v>
      </c>
      <c r="D20" s="316">
        <f t="shared" si="5"/>
        <v>680</v>
      </c>
      <c r="E20" s="316">
        <f t="shared" si="0"/>
        <v>3400</v>
      </c>
      <c r="F20" s="314"/>
      <c r="G20" s="318">
        <f ca="1">DATA!$D$11/1000000</f>
        <v>1.9679949240000001</v>
      </c>
      <c r="H20" s="318">
        <f>C20*DATA!$D$5/1000000</f>
        <v>4.4232301872172624</v>
      </c>
      <c r="I20" s="318">
        <f>(C20*DATA!$D$5*DATA!$D$7)/1000000</f>
        <v>9.9522679212388401E-2</v>
      </c>
      <c r="J20" s="316">
        <f t="shared" ca="1" si="1"/>
        <v>6.4907477904296504</v>
      </c>
      <c r="K20" s="314"/>
      <c r="L20" s="316">
        <f>((D20*DATA!$D$23)/1000000)+((E20*DATA!$D$24)/1000000)</f>
        <v>5.8943759999999994</v>
      </c>
      <c r="M20" s="316">
        <f t="shared" si="2"/>
        <v>5.8943759999999994</v>
      </c>
      <c r="N20" s="316">
        <f t="shared" ca="1" si="6"/>
        <v>-0.59637179042965105</v>
      </c>
      <c r="O20" s="315">
        <f>1/(1+'[93]Asumsi I'!$C$3)^(KKF!A20)</f>
        <v>0.22917419012981158</v>
      </c>
      <c r="P20" s="316">
        <f t="shared" ca="1" si="7"/>
        <v>-0.13667302208798099</v>
      </c>
      <c r="Q20" s="316">
        <f t="shared" ca="1" si="9"/>
        <v>-95.04764877113368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4080</v>
      </c>
      <c r="D21" s="316">
        <f t="shared" si="5"/>
        <v>680</v>
      </c>
      <c r="E21" s="316">
        <f t="shared" si="0"/>
        <v>3400</v>
      </c>
      <c r="F21" s="314"/>
      <c r="G21" s="318">
        <f ca="1">DATA!$D$11/1000000</f>
        <v>1.9679949240000001</v>
      </c>
      <c r="H21" s="318">
        <f>C21*DATA!$D$5/1000000</f>
        <v>4.4232301872172624</v>
      </c>
      <c r="I21" s="318">
        <f>(C21*DATA!$D$5*DATA!$D$7)/1000000</f>
        <v>9.9522679212388401E-2</v>
      </c>
      <c r="J21" s="316">
        <f t="shared" ca="1" si="1"/>
        <v>6.4907477904296504</v>
      </c>
      <c r="K21" s="314"/>
      <c r="L21" s="316">
        <f>((D21*DATA!$D$23)/1000000)+((E21*DATA!$D$24)/1000000)</f>
        <v>5.8943759999999994</v>
      </c>
      <c r="M21" s="316">
        <f t="shared" si="2"/>
        <v>5.8943759999999994</v>
      </c>
      <c r="N21" s="316">
        <f t="shared" ca="1" si="6"/>
        <v>-0.59637179042965105</v>
      </c>
      <c r="O21" s="315">
        <f>1/(1+'[93]Asumsi I'!$C$3)^(KKF!A21)</f>
        <v>0.20461981261590317</v>
      </c>
      <c r="P21" s="316">
        <f t="shared" ca="1" si="7"/>
        <v>-0.12202948400712588</v>
      </c>
      <c r="Q21" s="316">
        <f t="shared" ca="1" si="9"/>
        <v>-95.169678255140809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4080</v>
      </c>
      <c r="D22" s="316">
        <f t="shared" si="5"/>
        <v>680</v>
      </c>
      <c r="E22" s="316">
        <f t="shared" si="0"/>
        <v>3400</v>
      </c>
      <c r="F22" s="314"/>
      <c r="G22" s="318">
        <f ca="1">DATA!$D$11/1000000</f>
        <v>1.9679949240000001</v>
      </c>
      <c r="H22" s="318">
        <f>C22*DATA!$D$5/1000000</f>
        <v>4.4232301872172624</v>
      </c>
      <c r="I22" s="318">
        <f>(C22*DATA!$D$5*DATA!$D$7)/1000000</f>
        <v>9.9522679212388401E-2</v>
      </c>
      <c r="J22" s="316">
        <f t="shared" ca="1" si="1"/>
        <v>6.4907477904296504</v>
      </c>
      <c r="K22" s="314"/>
      <c r="L22" s="316">
        <f>((D22*DATA!$D$23)/1000000)+((E22*DATA!$D$24)/1000000)</f>
        <v>5.8943759999999994</v>
      </c>
      <c r="M22" s="316">
        <f t="shared" si="2"/>
        <v>5.8943759999999994</v>
      </c>
      <c r="N22" s="316">
        <f t="shared" ca="1" si="6"/>
        <v>-0.59637179042965105</v>
      </c>
      <c r="O22" s="315">
        <f>1/(1+'[93]Asumsi I'!$C$3)^(KKF!A22)</f>
        <v>0.18269626126419927</v>
      </c>
      <c r="P22" s="316">
        <f t="shared" ca="1" si="7"/>
        <v>-0.10895489643493382</v>
      </c>
      <c r="Q22" s="316">
        <f t="shared" ca="1" si="9"/>
        <v>-95.278633151575747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4080</v>
      </c>
      <c r="D23" s="316">
        <f t="shared" si="5"/>
        <v>680</v>
      </c>
      <c r="E23" s="316">
        <f t="shared" si="0"/>
        <v>3400</v>
      </c>
      <c r="F23" s="314"/>
      <c r="G23" s="318">
        <f ca="1">DATA!$D$11/1000000</f>
        <v>1.9679949240000001</v>
      </c>
      <c r="H23" s="318">
        <f>C23*DATA!$D$5/1000000</f>
        <v>4.4232301872172624</v>
      </c>
      <c r="I23" s="318">
        <f>(C23*DATA!$D$5*DATA!$D$7)/1000000</f>
        <v>9.9522679212388401E-2</v>
      </c>
      <c r="J23" s="316">
        <f t="shared" ca="1" si="1"/>
        <v>6.4907477904296504</v>
      </c>
      <c r="K23" s="314"/>
      <c r="L23" s="316">
        <f>((D23*DATA!$D$23)/1000000)+((E23*DATA!$D$24)/1000000)</f>
        <v>5.8943759999999994</v>
      </c>
      <c r="M23" s="316">
        <f t="shared" si="2"/>
        <v>5.8943759999999994</v>
      </c>
      <c r="N23" s="316">
        <f t="shared" ca="1" si="6"/>
        <v>-0.59637179042965105</v>
      </c>
      <c r="O23" s="315">
        <f>1/(1+'[93]Asumsi I'!$C$3)^(KKF!A23)</f>
        <v>0.16312166184303503</v>
      </c>
      <c r="P23" s="316">
        <f t="shared" ca="1" si="7"/>
        <v>-9.728115753119089E-2</v>
      </c>
      <c r="Q23" s="316">
        <f t="shared" ca="1" si="9"/>
        <v>-95.375914309106932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4080</v>
      </c>
      <c r="D24" s="316">
        <f t="shared" si="5"/>
        <v>680</v>
      </c>
      <c r="E24" s="316">
        <f t="shared" si="0"/>
        <v>3400</v>
      </c>
      <c r="F24" s="314"/>
      <c r="G24" s="318">
        <f ca="1">DATA!$D$11/1000000</f>
        <v>1.9679949240000001</v>
      </c>
      <c r="H24" s="318">
        <f>C24*DATA!$D$5/1000000</f>
        <v>4.4232301872172624</v>
      </c>
      <c r="I24" s="318">
        <f>(C24*DATA!$D$5*DATA!$D$7)/1000000</f>
        <v>9.9522679212388401E-2</v>
      </c>
      <c r="J24" s="316">
        <f t="shared" ca="1" si="1"/>
        <v>6.4907477904296504</v>
      </c>
      <c r="K24" s="314"/>
      <c r="L24" s="316">
        <f>((D24*DATA!$D$23)/1000000)+((E24*DATA!$D$24)/1000000)</f>
        <v>5.8943759999999994</v>
      </c>
      <c r="M24" s="316">
        <f t="shared" si="2"/>
        <v>5.8943759999999994</v>
      </c>
      <c r="N24" s="316">
        <f t="shared" ca="1" si="6"/>
        <v>-0.59637179042965105</v>
      </c>
      <c r="O24" s="315">
        <f>1/(1+'[93]Asumsi I'!$C$3)^(KKF!A24)</f>
        <v>0.14564434093128129</v>
      </c>
      <c r="P24" s="316">
        <f t="shared" ca="1" si="7"/>
        <v>-8.6858176367134735E-2</v>
      </c>
      <c r="Q24" s="316">
        <f t="shared" ca="1" si="9"/>
        <v>-95.462772485474062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4080</v>
      </c>
      <c r="D25" s="316">
        <f t="shared" si="5"/>
        <v>680</v>
      </c>
      <c r="E25" s="316">
        <f t="shared" si="0"/>
        <v>3400</v>
      </c>
      <c r="F25" s="314"/>
      <c r="G25" s="318">
        <f ca="1">DATA!$D$11/1000000</f>
        <v>1.9679949240000001</v>
      </c>
      <c r="H25" s="318">
        <f>C25*DATA!$D$5/1000000</f>
        <v>4.4232301872172624</v>
      </c>
      <c r="I25" s="318">
        <f>(C25*DATA!$D$5*DATA!$D$7)/1000000</f>
        <v>9.9522679212388401E-2</v>
      </c>
      <c r="J25" s="316">
        <f t="shared" ca="1" si="1"/>
        <v>6.4907477904296504</v>
      </c>
      <c r="K25" s="314"/>
      <c r="L25" s="316">
        <f>((D25*DATA!$D$23)/1000000)+((E25*DATA!$D$24)/1000000)</f>
        <v>5.8943759999999994</v>
      </c>
      <c r="M25" s="316">
        <f t="shared" si="2"/>
        <v>5.8943759999999994</v>
      </c>
      <c r="N25" s="316">
        <f t="shared" ca="1" si="6"/>
        <v>-0.59637179042965105</v>
      </c>
      <c r="O25" s="315">
        <f>1/(1+'[93]Asumsi I'!$C$3)^(KKF!A25)</f>
        <v>0.13003959011721541</v>
      </c>
      <c r="P25" s="316">
        <f t="shared" ca="1" si="7"/>
        <v>-7.7551943184941713E-2</v>
      </c>
      <c r="Q25" s="316">
        <f t="shared" ca="1" si="9"/>
        <v>-95.540324428659005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4080</v>
      </c>
      <c r="D26" s="316">
        <f t="shared" si="5"/>
        <v>680</v>
      </c>
      <c r="E26" s="316">
        <f t="shared" si="0"/>
        <v>3400</v>
      </c>
      <c r="F26" s="314"/>
      <c r="G26" s="318">
        <f ca="1">DATA!$D$11/1000000</f>
        <v>1.9679949240000001</v>
      </c>
      <c r="H26" s="318">
        <f>C26*DATA!$D$5/1000000</f>
        <v>4.4232301872172624</v>
      </c>
      <c r="I26" s="318">
        <f>(C26*DATA!$D$5*DATA!$D$7)/1000000</f>
        <v>9.9522679212388401E-2</v>
      </c>
      <c r="J26" s="316">
        <f t="shared" ca="1" si="1"/>
        <v>6.4907477904296504</v>
      </c>
      <c r="K26" s="314"/>
      <c r="L26" s="316">
        <f>((D26*DATA!$D$23)/1000000)+((E26*DATA!$D$24)/1000000)</f>
        <v>5.8943759999999994</v>
      </c>
      <c r="M26" s="316">
        <f t="shared" si="2"/>
        <v>5.8943759999999994</v>
      </c>
      <c r="N26" s="316">
        <f t="shared" ca="1" si="6"/>
        <v>-0.59637179042965105</v>
      </c>
      <c r="O26" s="315">
        <f>1/(1+'[93]Asumsi I'!$C$3)^(KKF!A26)</f>
        <v>0.1161067768903709</v>
      </c>
      <c r="P26" s="316">
        <f t="shared" ca="1" si="7"/>
        <v>-6.924280641512652E-2</v>
      </c>
      <c r="Q26" s="316">
        <f t="shared" ca="1" si="9"/>
        <v>-95.609567235074138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4080</v>
      </c>
      <c r="D27" s="316">
        <f t="shared" si="5"/>
        <v>680</v>
      </c>
      <c r="E27" s="316">
        <f t="shared" si="0"/>
        <v>3400</v>
      </c>
      <c r="F27" s="314"/>
      <c r="G27" s="318">
        <f ca="1">DATA!$D$11/1000000</f>
        <v>1.9679949240000001</v>
      </c>
      <c r="H27" s="318">
        <f>C27*DATA!$D$5/1000000</f>
        <v>4.4232301872172624</v>
      </c>
      <c r="I27" s="318">
        <f>(C27*DATA!$D$5*DATA!$D$7)/1000000</f>
        <v>9.9522679212388401E-2</v>
      </c>
      <c r="J27" s="316">
        <f t="shared" ca="1" si="1"/>
        <v>6.4907477904296504</v>
      </c>
      <c r="K27" s="314"/>
      <c r="L27" s="316">
        <f>((D27*DATA!$D$23)/1000000)+((E27*DATA!$D$24)/1000000)</f>
        <v>5.8943759999999994</v>
      </c>
      <c r="M27" s="316">
        <f t="shared" si="2"/>
        <v>5.8943759999999994</v>
      </c>
      <c r="N27" s="316">
        <f t="shared" ca="1" si="6"/>
        <v>-0.59637179042965105</v>
      </c>
      <c r="O27" s="315">
        <f>1/(1+'[93]Asumsi I'!$C$3)^(KKF!A27)</f>
        <v>0.1036667650806883</v>
      </c>
      <c r="P27" s="316">
        <f t="shared" ca="1" si="7"/>
        <v>-6.1823934299220111E-2</v>
      </c>
      <c r="Q27" s="316">
        <f t="shared" ca="1" si="9"/>
        <v>-95.671391169373365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4080</v>
      </c>
      <c r="D28" s="316">
        <f t="shared" si="5"/>
        <v>680</v>
      </c>
      <c r="E28" s="316">
        <f t="shared" si="0"/>
        <v>3400</v>
      </c>
      <c r="F28" s="314"/>
      <c r="G28" s="318">
        <f ca="1">DATA!$D$11/1000000</f>
        <v>1.9679949240000001</v>
      </c>
      <c r="H28" s="318">
        <f>C28*DATA!$D$5/1000000</f>
        <v>4.4232301872172624</v>
      </c>
      <c r="I28" s="318">
        <f>(C28*DATA!$D$5*DATA!$D$7)/1000000</f>
        <v>9.9522679212388401E-2</v>
      </c>
      <c r="J28" s="316">
        <f t="shared" ca="1" si="1"/>
        <v>6.4907477904296504</v>
      </c>
      <c r="K28" s="314"/>
      <c r="L28" s="316">
        <f>((D28*DATA!$D$23)/1000000)+((E28*DATA!$D$24)/1000000)</f>
        <v>5.8943759999999994</v>
      </c>
      <c r="M28" s="316">
        <f t="shared" si="2"/>
        <v>5.8943759999999994</v>
      </c>
      <c r="N28" s="316">
        <f t="shared" ca="1" si="6"/>
        <v>-0.59637179042965105</v>
      </c>
      <c r="O28" s="315">
        <f>1/(1+'[93]Asumsi I'!$C$3)^(KKF!A28)</f>
        <v>9.2559611679185971E-2</v>
      </c>
      <c r="P28" s="316">
        <f t="shared" ca="1" si="7"/>
        <v>-5.5199941338589381E-2</v>
      </c>
      <c r="Q28" s="316">
        <f t="shared" ca="1" si="9"/>
        <v>-95.726591110711951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4080</v>
      </c>
      <c r="D29" s="316">
        <f t="shared" si="5"/>
        <v>680</v>
      </c>
      <c r="E29" s="316">
        <f t="shared" si="0"/>
        <v>3400</v>
      </c>
      <c r="F29" s="314"/>
      <c r="G29" s="318">
        <f ca="1">DATA!$D$11/1000000</f>
        <v>1.9679949240000001</v>
      </c>
      <c r="H29" s="318">
        <f>C29*DATA!$D$5/1000000</f>
        <v>4.4232301872172624</v>
      </c>
      <c r="I29" s="318">
        <f>(C29*DATA!$D$5*DATA!$D$7)/1000000</f>
        <v>9.9522679212388401E-2</v>
      </c>
      <c r="J29" s="316">
        <f t="shared" ca="1" si="1"/>
        <v>6.4907477904296504</v>
      </c>
      <c r="K29" s="314"/>
      <c r="L29" s="316">
        <f>((D29*DATA!$D$23)/1000000)+((E29*DATA!$D$24)/1000000)</f>
        <v>5.8943759999999994</v>
      </c>
      <c r="M29" s="316">
        <f t="shared" si="2"/>
        <v>5.8943759999999994</v>
      </c>
      <c r="N29" s="316">
        <f t="shared" ca="1" si="6"/>
        <v>-0.59637179042965105</v>
      </c>
      <c r="O29" s="315">
        <f>1/(1+'[93]Asumsi I'!$C$3)^(KKF!A29)</f>
        <v>8.2642510427844609E-2</v>
      </c>
      <c r="P29" s="316">
        <f t="shared" ca="1" si="7"/>
        <v>-4.9285661909454798E-2</v>
      </c>
      <c r="Q29" s="316">
        <f t="shared" ca="1" si="9"/>
        <v>-95.775876772621402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4080</v>
      </c>
      <c r="D30" s="316">
        <f t="shared" si="5"/>
        <v>680</v>
      </c>
      <c r="E30" s="316">
        <f t="shared" si="0"/>
        <v>3400</v>
      </c>
      <c r="F30" s="314"/>
      <c r="G30" s="318">
        <f ca="1">DATA!$D$11/1000000</f>
        <v>1.9679949240000001</v>
      </c>
      <c r="H30" s="318">
        <f>C30*DATA!$D$5/1000000</f>
        <v>4.4232301872172624</v>
      </c>
      <c r="I30" s="318">
        <f>(C30*DATA!$D$5*DATA!$D$7)/1000000</f>
        <v>9.9522679212388401E-2</v>
      </c>
      <c r="J30" s="316">
        <f t="shared" ca="1" si="1"/>
        <v>6.4907477904296504</v>
      </c>
      <c r="K30" s="314"/>
      <c r="L30" s="316">
        <f>((D30*DATA!$D$23)/1000000)+((E30*DATA!$D$24)/1000000)</f>
        <v>5.8943759999999994</v>
      </c>
      <c r="M30" s="316">
        <f t="shared" si="2"/>
        <v>5.8943759999999994</v>
      </c>
      <c r="N30" s="316">
        <f t="shared" ca="1" si="6"/>
        <v>-0.59637179042965105</v>
      </c>
      <c r="O30" s="315">
        <f>1/(1+'[93]Asumsi I'!$C$3)^(KKF!A30)</f>
        <v>7.3787955739146982E-2</v>
      </c>
      <c r="P30" s="316">
        <f t="shared" ca="1" si="7"/>
        <v>-4.4005055276298929E-2</v>
      </c>
      <c r="Q30" s="316">
        <f t="shared" ca="1" si="9"/>
        <v>-95.819881827897703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4080</v>
      </c>
      <c r="D31" s="316">
        <f t="shared" si="5"/>
        <v>680</v>
      </c>
      <c r="E31" s="316">
        <f t="shared" si="0"/>
        <v>3400</v>
      </c>
      <c r="F31" s="314"/>
      <c r="G31" s="318">
        <f ca="1">DATA!$D$11/1000000</f>
        <v>1.9679949240000001</v>
      </c>
      <c r="H31" s="318">
        <f>C31*DATA!$D$5/1000000</f>
        <v>4.4232301872172624</v>
      </c>
      <c r="I31" s="318">
        <f>(C31*DATA!$D$5*DATA!$D$7)/1000000</f>
        <v>9.9522679212388401E-2</v>
      </c>
      <c r="J31" s="316">
        <f t="shared" ca="1" si="1"/>
        <v>6.4907477904296504</v>
      </c>
      <c r="K31" s="314"/>
      <c r="L31" s="316">
        <f>((D31*DATA!$D$23)/1000000)+((E31*DATA!$D$24)/1000000)</f>
        <v>5.8943759999999994</v>
      </c>
      <c r="M31" s="316">
        <f t="shared" si="2"/>
        <v>5.8943759999999994</v>
      </c>
      <c r="N31" s="316">
        <f t="shared" ca="1" si="6"/>
        <v>-0.59637179042965105</v>
      </c>
      <c r="O31" s="315">
        <f>1/(1+'[93]Asumsi I'!$C$3)^(KKF!A31)</f>
        <v>6.5882103338524081E-2</v>
      </c>
      <c r="P31" s="316">
        <f t="shared" ca="1" si="7"/>
        <v>-3.9290227925266895E-2</v>
      </c>
      <c r="Q31" s="316">
        <f ca="1">Q30+P31</f>
        <v>-95.859172055822967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4080</v>
      </c>
      <c r="D32" s="316">
        <f t="shared" si="5"/>
        <v>680</v>
      </c>
      <c r="E32" s="316">
        <f t="shared" si="0"/>
        <v>3400</v>
      </c>
      <c r="F32" s="314"/>
      <c r="G32" s="318">
        <f ca="1">DATA!$D$11/1000000</f>
        <v>1.9679949240000001</v>
      </c>
      <c r="H32" s="318">
        <f>C32*DATA!$D$5/1000000</f>
        <v>4.4232301872172624</v>
      </c>
      <c r="I32" s="318">
        <f>(C32*DATA!$D$5*DATA!$D$7)/1000000</f>
        <v>9.9522679212388401E-2</v>
      </c>
      <c r="J32" s="316">
        <f t="shared" ca="1" si="1"/>
        <v>6.4907477904296504</v>
      </c>
      <c r="K32" s="314"/>
      <c r="L32" s="316">
        <f>((D32*DATA!$D$23)/1000000)+((E32*DATA!$D$24)/1000000)</f>
        <v>5.8943759999999994</v>
      </c>
      <c r="M32" s="316">
        <f t="shared" si="2"/>
        <v>5.8943759999999994</v>
      </c>
      <c r="N32" s="316">
        <f t="shared" ca="1" si="6"/>
        <v>-0.59637179042965105</v>
      </c>
      <c r="O32" s="315">
        <f>1/(1+'[93]Asumsi I'!$C$3)^(KKF!A32)</f>
        <v>5.8823306552253637E-2</v>
      </c>
      <c r="P32" s="316">
        <f t="shared" ca="1" si="7"/>
        <v>-3.5080560647559725E-2</v>
      </c>
      <c r="Q32" s="316">
        <f ca="1">Q31+P32</f>
        <v>-95.894252616470524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4" t="s">
        <v>1374</v>
      </c>
      <c r="G33" s="604"/>
      <c r="H33" s="604"/>
      <c r="I33" s="324"/>
      <c r="J33" s="325">
        <f ca="1">SUM(J7:J32)</f>
        <v>265.65160446236098</v>
      </c>
      <c r="K33" s="604" t="s">
        <v>1375</v>
      </c>
      <c r="L33" s="604"/>
      <c r="M33" s="325">
        <f>SUM(M7:M32)</f>
        <v>159.52548399999992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-173.35311857581061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0.60050638249618549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-85.619868407562961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3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F47" sqref="F4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7" t="s">
        <v>1036</v>
      </c>
      <c r="P3" s="607"/>
      <c r="Q3" s="346"/>
      <c r="T3" s="344"/>
      <c r="U3" s="345" t="s">
        <v>1041</v>
      </c>
      <c r="V3" s="344"/>
    </row>
    <row r="4" spans="1:22" ht="15.75" customHeight="1">
      <c r="B4" s="608" t="s">
        <v>1023</v>
      </c>
      <c r="C4" s="608"/>
      <c r="D4" s="608"/>
      <c r="E4" s="608"/>
      <c r="F4" s="608"/>
      <c r="G4" s="608"/>
      <c r="H4" s="608"/>
      <c r="I4" s="608"/>
      <c r="J4" s="608"/>
      <c r="K4" s="608"/>
      <c r="O4" s="607"/>
      <c r="P4" s="60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">
        <v>1626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0" t="s">
        <v>0</v>
      </c>
      <c r="C11" s="612" t="s">
        <v>1</v>
      </c>
      <c r="D11" s="615" t="s">
        <v>42</v>
      </c>
      <c r="E11" s="615" t="s">
        <v>43</v>
      </c>
      <c r="F11" s="615" t="s">
        <v>2</v>
      </c>
      <c r="G11" s="617" t="s">
        <v>41</v>
      </c>
      <c r="H11" s="615" t="s">
        <v>3</v>
      </c>
      <c r="I11" s="615"/>
      <c r="J11" s="615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1"/>
      <c r="C12" s="613"/>
      <c r="D12" s="616"/>
      <c r="E12" s="616"/>
      <c r="F12" s="616"/>
      <c r="G12" s="618"/>
      <c r="H12" s="620" t="s">
        <v>46</v>
      </c>
      <c r="I12" s="620" t="s">
        <v>5</v>
      </c>
      <c r="J12" s="616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1"/>
      <c r="C13" s="614"/>
      <c r="D13" s="616"/>
      <c r="E13" s="616"/>
      <c r="F13" s="616"/>
      <c r="G13" s="619"/>
      <c r="H13" s="621"/>
      <c r="I13" s="621"/>
      <c r="J13" s="616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9" ca="1" si="4">IF(OR(D15="MDU",D15="MDU-KD"),(IF($O$3="RAB NON MDU","PLN KD",G15*F15)),0)</f>
        <v>0</v>
      </c>
      <c r="I15" s="361">
        <f t="shared" ref="I15:I19" ca="1" si="5">IF(D15="HDW",G15*F15,0)</f>
        <v>0</v>
      </c>
      <c r="J15" s="361">
        <f t="shared" ref="J15:J19" ca="1" si="6">IF(D15="JASA",G15*F15,0)</f>
        <v>0</v>
      </c>
      <c r="K15" s="362">
        <f t="shared" ref="K15:K19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1"/>
      <c r="C18" s="494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</row>
    <row r="19" spans="1:22">
      <c r="B19" s="366" t="s">
        <v>1614</v>
      </c>
      <c r="C19" s="367" t="s">
        <v>1619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7" ca="1" si="8">IF(OR(D20="MDU",D20="MDU-KD"),(IF($O$3="RAB NON MDU","PLN KD",G20*F20)),0)</f>
        <v>0</v>
      </c>
      <c r="I20" s="361">
        <f t="shared" ref="I20:I35" ca="1" si="9">IF(D20="HDW",G20*F20,0)</f>
        <v>0</v>
      </c>
      <c r="J20" s="361">
        <f t="shared" ref="J20:J27" ca="1" si="10">IF(D20="JASA",G20*F20,0)</f>
        <v>0</v>
      </c>
      <c r="K20" s="362">
        <f t="shared" ref="K20:K27" ca="1" si="11">SUM(H20:J20)</f>
        <v>0</v>
      </c>
    </row>
    <row r="21" spans="1:22">
      <c r="B21" s="366" t="s">
        <v>1035</v>
      </c>
      <c r="C21" s="367" t="s">
        <v>1628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368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7">
        <v>1</v>
      </c>
      <c r="C22" s="109" t="s">
        <v>1458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368">
        <f>F21*1</f>
        <v>1</v>
      </c>
      <c r="G22" s="360">
        <f ca="1">IF(ISERROR(OFFSET('HARGA SATUAN'!$I$6,MATCH(RAB!C22,'HARGA SATUAN'!$C$7:$C$1492,0),0)),0,OFFSET('HARGA SATUAN'!$I$6,MATCH(RAB!C22,'HARGA SATUAN'!$C$7:$C$1492,0),0))</f>
        <v>63057400</v>
      </c>
      <c r="H22" s="361">
        <f t="shared" ca="1" si="8"/>
        <v>63057400</v>
      </c>
      <c r="I22" s="361">
        <f t="shared" ca="1" si="9"/>
        <v>0</v>
      </c>
      <c r="J22" s="361">
        <f t="shared" ca="1" si="10"/>
        <v>0</v>
      </c>
      <c r="K22" s="362">
        <f t="shared" ca="1" si="11"/>
        <v>63057400</v>
      </c>
    </row>
    <row r="23" spans="1:22">
      <c r="B23" s="507">
        <v>2</v>
      </c>
      <c r="C23" s="508" t="s">
        <v>1620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</row>
    <row r="24" spans="1:22">
      <c r="B24" s="507"/>
      <c r="C24" s="508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368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8"/>
        <v>127800</v>
      </c>
      <c r="I24" s="361">
        <f t="shared" ca="1" si="9"/>
        <v>0</v>
      </c>
      <c r="J24" s="361">
        <f t="shared" ca="1" si="10"/>
        <v>0</v>
      </c>
      <c r="K24" s="362">
        <f t="shared" ca="1" si="11"/>
        <v>127800</v>
      </c>
    </row>
    <row r="25" spans="1:22">
      <c r="B25" s="507"/>
      <c r="C25" s="109" t="s">
        <v>1459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368">
        <f>F21*3</f>
        <v>3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ca="1" si="8"/>
        <v>163500</v>
      </c>
      <c r="I25" s="361">
        <f t="shared" ca="1" si="9"/>
        <v>0</v>
      </c>
      <c r="J25" s="361">
        <f t="shared" ca="1" si="10"/>
        <v>0</v>
      </c>
      <c r="K25" s="362">
        <f t="shared" ca="1" si="11"/>
        <v>163500</v>
      </c>
    </row>
    <row r="26" spans="1:22">
      <c r="B26" s="507">
        <v>3</v>
      </c>
      <c r="C26" s="508" t="s">
        <v>559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368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ca="1" si="8"/>
        <v>2177700</v>
      </c>
      <c r="I26" s="361">
        <f t="shared" ca="1" si="9"/>
        <v>0</v>
      </c>
      <c r="J26" s="361">
        <f t="shared" ca="1" si="10"/>
        <v>0</v>
      </c>
      <c r="K26" s="362">
        <f t="shared" ca="1" si="11"/>
        <v>2177700</v>
      </c>
    </row>
    <row r="27" spans="1:22">
      <c r="B27" s="507">
        <v>4</v>
      </c>
      <c r="C27" s="508" t="s">
        <v>535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368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ca="1" si="8"/>
        <v>2544750</v>
      </c>
      <c r="I27" s="361">
        <f t="shared" ca="1" si="9"/>
        <v>0</v>
      </c>
      <c r="J27" s="361">
        <f t="shared" ca="1" si="10"/>
        <v>0</v>
      </c>
      <c r="K27" s="362">
        <f t="shared" ca="1" si="11"/>
        <v>2544750</v>
      </c>
    </row>
    <row r="28" spans="1:22">
      <c r="B28" s="507">
        <v>5</v>
      </c>
      <c r="C28" s="508" t="s">
        <v>55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368">
        <f>F21*3</f>
        <v>3</v>
      </c>
      <c r="G28" s="360">
        <f ca="1">IF(ISERROR(OFFSET('HARGA SATUAN'!$I$6,MATCH(RAB!C28,'HARGA SATUAN'!$C$7:$C$1492,0),0)),0,OFFSET('HARGA SATUAN'!$I$6,MATCH(RAB!C28,'HARGA SATUAN'!$C$7:$C$1492,0),0))</f>
        <v>18000</v>
      </c>
      <c r="H28" s="361">
        <f t="shared" ref="H28:H35" ca="1" si="12">IF(OR(D28="MDU",D28="MDU-KD"),(IF($O$3="RAB NON MDU","PLN KD",G28*F28)),0)</f>
        <v>0</v>
      </c>
      <c r="I28" s="361">
        <f t="shared" ca="1" si="9"/>
        <v>54000</v>
      </c>
      <c r="J28" s="361">
        <f t="shared" ref="J28:J35" ca="1" si="13">IF(D28="JASA",G28*F28,0)</f>
        <v>0</v>
      </c>
      <c r="K28" s="362">
        <f t="shared" ref="K28:K35" ca="1" si="14">SUM(H28:J28)</f>
        <v>54000</v>
      </c>
    </row>
    <row r="29" spans="1:22">
      <c r="B29" s="507">
        <v>6</v>
      </c>
      <c r="C29" s="109" t="s">
        <v>1578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368">
        <f>F21*13</f>
        <v>13</v>
      </c>
      <c r="G29" s="360">
        <f ca="1">IF(ISERROR(OFFSET('HARGA SATUAN'!$I$6,MATCH(RAB!C29,'HARGA SATUAN'!$C$7:$C$1492,0),0)),0,OFFSET('HARGA SATUAN'!$I$6,MATCH(RAB!C29,'HARGA SATUAN'!$C$7:$C$1492,0),0))</f>
        <v>73300</v>
      </c>
      <c r="H29" s="361">
        <f t="shared" ca="1" si="12"/>
        <v>0</v>
      </c>
      <c r="I29" s="361">
        <f t="shared" ca="1" si="9"/>
        <v>952900</v>
      </c>
      <c r="J29" s="361">
        <f t="shared" ca="1" si="13"/>
        <v>0</v>
      </c>
      <c r="K29" s="362">
        <f t="shared" ca="1" si="14"/>
        <v>952900</v>
      </c>
    </row>
    <row r="30" spans="1:22">
      <c r="B30" s="507">
        <v>7</v>
      </c>
      <c r="C30" s="508" t="s">
        <v>163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368">
        <f>F21*28</f>
        <v>28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ca="1" si="12"/>
        <v>0</v>
      </c>
      <c r="I30" s="361">
        <f t="shared" ca="1" si="9"/>
        <v>222264</v>
      </c>
      <c r="J30" s="361">
        <f t="shared" ca="1" si="13"/>
        <v>0</v>
      </c>
      <c r="K30" s="362">
        <f t="shared" ca="1" si="14"/>
        <v>222264</v>
      </c>
    </row>
    <row r="31" spans="1:22">
      <c r="B31" s="507">
        <v>8</v>
      </c>
      <c r="C31" s="508" t="s">
        <v>176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368">
        <f>F21*2</f>
        <v>2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ca="1" si="12"/>
        <v>0</v>
      </c>
      <c r="I31" s="361">
        <f t="shared" ca="1" si="9"/>
        <v>809200</v>
      </c>
      <c r="J31" s="361">
        <f t="shared" ca="1" si="13"/>
        <v>0</v>
      </c>
      <c r="K31" s="362">
        <f t="shared" ca="1" si="14"/>
        <v>809200</v>
      </c>
    </row>
    <row r="32" spans="1:22">
      <c r="B32" s="507">
        <v>9</v>
      </c>
      <c r="C32" s="508" t="s">
        <v>184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368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ca="1" si="12"/>
        <v>0</v>
      </c>
      <c r="I32" s="361">
        <f t="shared" ca="1" si="9"/>
        <v>47700</v>
      </c>
      <c r="J32" s="361">
        <f t="shared" ca="1" si="13"/>
        <v>0</v>
      </c>
      <c r="K32" s="362">
        <f t="shared" ca="1" si="14"/>
        <v>47700</v>
      </c>
    </row>
    <row r="33" spans="2:11">
      <c r="B33" s="507">
        <v>10</v>
      </c>
      <c r="C33" s="508" t="s">
        <v>593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368">
        <f>F21*5</f>
        <v>5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ca="1" si="12"/>
        <v>0</v>
      </c>
      <c r="I33" s="361">
        <f t="shared" ca="1" si="9"/>
        <v>1902500</v>
      </c>
      <c r="J33" s="361">
        <f t="shared" ca="1" si="13"/>
        <v>0</v>
      </c>
      <c r="K33" s="362">
        <f t="shared" ca="1" si="14"/>
        <v>1902500</v>
      </c>
    </row>
    <row r="34" spans="2:11">
      <c r="B34" s="507">
        <v>11</v>
      </c>
      <c r="C34" s="508" t="s">
        <v>594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368">
        <f>F21*4</f>
        <v>4</v>
      </c>
      <c r="G34" s="360">
        <f ca="1">IF(ISERROR(OFFSET('HARGA SATUAN'!$I$6,MATCH(RAB!C34,'HARGA SATUAN'!$C$7:$C$1492,0),0)),0,OFFSET('HARGA SATUAN'!$I$6,MATCH(RAB!C34,'HARGA SATUAN'!$C$7:$C$1492,0),0))</f>
        <v>559200</v>
      </c>
      <c r="H34" s="361">
        <f t="shared" ca="1" si="12"/>
        <v>0</v>
      </c>
      <c r="I34" s="361">
        <f t="shared" ca="1" si="9"/>
        <v>2236800</v>
      </c>
      <c r="J34" s="361">
        <f t="shared" ca="1" si="13"/>
        <v>0</v>
      </c>
      <c r="K34" s="362">
        <f t="shared" ca="1" si="14"/>
        <v>2236800</v>
      </c>
    </row>
    <row r="35" spans="2:11">
      <c r="B35" s="507">
        <v>12</v>
      </c>
      <c r="C35" s="508" t="s">
        <v>208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368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ca="1" si="12"/>
        <v>0</v>
      </c>
      <c r="I35" s="361">
        <f t="shared" ca="1" si="9"/>
        <v>520200</v>
      </c>
      <c r="J35" s="361">
        <f t="shared" ca="1" si="13"/>
        <v>0</v>
      </c>
      <c r="K35" s="362">
        <f t="shared" ca="1" si="14"/>
        <v>520200</v>
      </c>
    </row>
    <row r="36" spans="2:11">
      <c r="B36" s="507">
        <v>13</v>
      </c>
      <c r="C36" s="508" t="s">
        <v>247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368">
        <f>F21*2</f>
        <v>2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ref="H36:H41" ca="1" si="15">IF(OR(D36="MDU",D36="MDU-KD"),(IF($O$3="RAB NON MDU","PLN KD",G36*F36)),0)</f>
        <v>0</v>
      </c>
      <c r="I36" s="361">
        <f t="shared" ref="I36:I41" ca="1" si="16">IF(D36="HDW",G36*F36,0)</f>
        <v>115380</v>
      </c>
      <c r="J36" s="361">
        <f t="shared" ref="J36:J41" ca="1" si="17">IF(D36="JASA",G36*F36,0)</f>
        <v>0</v>
      </c>
      <c r="K36" s="362">
        <f t="shared" ref="K36:K41" ca="1" si="18">SUM(H36:J36)</f>
        <v>115380</v>
      </c>
    </row>
    <row r="37" spans="2:11">
      <c r="B37" s="507">
        <v>14</v>
      </c>
      <c r="C37" s="508" t="s">
        <v>248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368">
        <f>F21*2</f>
        <v>2</v>
      </c>
      <c r="G37" s="360">
        <f ca="1">IF(ISERROR(OFFSET('HARGA SATUAN'!$I$6,MATCH(RAB!C37,'HARGA SATUAN'!$C$7:$C$1492,0),0)),0,OFFSET('HARGA SATUAN'!$I$6,MATCH(RAB!C37,'HARGA SATUAN'!$C$7:$C$1492,0),0))</f>
        <v>60300</v>
      </c>
      <c r="H37" s="361">
        <f t="shared" ca="1" si="15"/>
        <v>0</v>
      </c>
      <c r="I37" s="361">
        <f t="shared" ca="1" si="16"/>
        <v>120600</v>
      </c>
      <c r="J37" s="361">
        <f t="shared" ca="1" si="17"/>
        <v>0</v>
      </c>
      <c r="K37" s="362">
        <f t="shared" ca="1" si="18"/>
        <v>120600</v>
      </c>
    </row>
    <row r="38" spans="2:11">
      <c r="B38" s="507">
        <v>15</v>
      </c>
      <c r="C38" s="508" t="s">
        <v>267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368">
        <f>F21*4</f>
        <v>4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ca="1" si="15"/>
        <v>0</v>
      </c>
      <c r="I38" s="361">
        <f t="shared" ca="1" si="16"/>
        <v>516000</v>
      </c>
      <c r="J38" s="361">
        <f t="shared" ca="1" si="17"/>
        <v>0</v>
      </c>
      <c r="K38" s="362">
        <f t="shared" ca="1" si="18"/>
        <v>516000</v>
      </c>
    </row>
    <row r="39" spans="2:11" ht="30">
      <c r="B39" s="500">
        <v>16</v>
      </c>
      <c r="C39" s="506" t="s">
        <v>1623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>
        <f>F21*1</f>
        <v>1</v>
      </c>
      <c r="G39" s="498">
        <v>398500</v>
      </c>
      <c r="H39" s="361">
        <f t="shared" ca="1" si="15"/>
        <v>0</v>
      </c>
      <c r="I39" s="361">
        <f>F39*G39</f>
        <v>398500</v>
      </c>
      <c r="J39" s="361">
        <f t="shared" ca="1" si="17"/>
        <v>0</v>
      </c>
      <c r="K39" s="362">
        <f t="shared" ca="1" si="18"/>
        <v>398500</v>
      </c>
    </row>
    <row r="40" spans="2:11" ht="30">
      <c r="B40" s="507">
        <v>17</v>
      </c>
      <c r="C40" s="508" t="s">
        <v>1624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>
        <v>1</v>
      </c>
      <c r="G40" s="360">
        <v>560800</v>
      </c>
      <c r="H40" s="361">
        <f t="shared" ca="1" si="15"/>
        <v>0</v>
      </c>
      <c r="I40" s="361">
        <f>F40*G40</f>
        <v>560800</v>
      </c>
      <c r="J40" s="361">
        <f t="shared" ca="1" si="17"/>
        <v>0</v>
      </c>
      <c r="K40" s="362">
        <f t="shared" ca="1" si="18"/>
        <v>560800</v>
      </c>
    </row>
    <row r="41" spans="2:11">
      <c r="B41" s="366"/>
      <c r="C41" s="36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5"/>
        <v>0</v>
      </c>
      <c r="I41" s="361">
        <f t="shared" ca="1" si="16"/>
        <v>0</v>
      </c>
      <c r="J41" s="361">
        <f t="shared" ca="1" si="17"/>
        <v>0</v>
      </c>
      <c r="K41" s="362">
        <f t="shared" ca="1" si="18"/>
        <v>0</v>
      </c>
    </row>
    <row r="42" spans="2:11">
      <c r="B42" s="492" t="s">
        <v>1615</v>
      </c>
      <c r="C42" s="495" t="s">
        <v>1617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" ca="1" si="19">IF(OR(D42="MDU",D42="MDU-KD"),(IF($O$3="RAB NON MDU","PLN KD",G42*F42)),0)</f>
        <v>0</v>
      </c>
      <c r="I42" s="361">
        <f t="shared" ref="I42" ca="1" si="20">IF(D42="HDW",G42*F42,0)</f>
        <v>0</v>
      </c>
      <c r="J42" s="361">
        <f t="shared" ref="J42" ca="1" si="21">IF(D42="JASA",G42*F42,0)</f>
        <v>0</v>
      </c>
      <c r="K42" s="362">
        <f t="shared" ref="K42" ca="1" si="22">SUM(H42:J42)</f>
        <v>0</v>
      </c>
    </row>
    <row r="43" spans="2:11">
      <c r="B43" s="492" t="s">
        <v>1035</v>
      </c>
      <c r="C43" s="493" t="s">
        <v>1630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48" ca="1" si="23">IF(OR(D43="MDU",D43="MDU-KD"),(IF($O$3="RAB NON MDU","PLN KD",G43*F43)),0)</f>
        <v>0</v>
      </c>
      <c r="I43" s="361">
        <f t="shared" ref="I43:I48" ca="1" si="24">IF(D43="HDW",G43*F43,0)</f>
        <v>0</v>
      </c>
      <c r="J43" s="361">
        <f t="shared" ref="J43:J48" ca="1" si="25">IF(D43="JASA",G43*F43,0)</f>
        <v>0</v>
      </c>
      <c r="K43" s="362">
        <f t="shared" ref="K43:K48" ca="1" si="26">SUM(H43:J43)</f>
        <v>0</v>
      </c>
    </row>
    <row r="44" spans="2:11" ht="30">
      <c r="B44" s="502">
        <v>1</v>
      </c>
      <c r="C44" s="109" t="s">
        <v>1197</v>
      </c>
      <c r="D44" s="358" t="s">
        <v>1618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F43*1</f>
        <v>1</v>
      </c>
      <c r="G44" s="360">
        <f ca="1">IF(ISERROR(OFFSET('HARGA SATUAN'!$I$6,MATCH(RAB!C44,'HARGA SATUAN'!$C$7:$C$1492,0),0)),0,OFFSET('HARGA SATUAN'!$I$6,MATCH(RAB!C44,'HARGA SATUAN'!$C$7:$C$1492,0),0))</f>
        <v>1427400</v>
      </c>
      <c r="H44" s="361">
        <f t="shared" si="23"/>
        <v>0</v>
      </c>
      <c r="I44" s="361">
        <f t="shared" si="24"/>
        <v>0</v>
      </c>
      <c r="J44" s="361">
        <f t="shared" si="25"/>
        <v>0</v>
      </c>
      <c r="K44" s="362">
        <f t="shared" si="26"/>
        <v>0</v>
      </c>
    </row>
    <row r="45" spans="2:11">
      <c r="B45" s="502">
        <v>2</v>
      </c>
      <c r="C45" s="503" t="s">
        <v>514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f>F43*1</f>
        <v>1</v>
      </c>
      <c r="G45" s="360">
        <f ca="1">IF(ISERROR(OFFSET('HARGA SATUAN'!$I$6,MATCH(RAB!C45,'HARGA SATUAN'!$C$7:$C$1492,0),0)),0,OFFSET('HARGA SATUAN'!$I$6,MATCH(RAB!C45,'HARGA SATUAN'!$C$7:$C$1492,0),0))</f>
        <v>3564900</v>
      </c>
      <c r="H45" s="361">
        <f t="shared" ca="1" si="23"/>
        <v>3564900</v>
      </c>
      <c r="I45" s="361">
        <f t="shared" ca="1" si="24"/>
        <v>0</v>
      </c>
      <c r="J45" s="361">
        <f t="shared" ca="1" si="25"/>
        <v>0</v>
      </c>
      <c r="K45" s="362">
        <f t="shared" ca="1" si="26"/>
        <v>3564900</v>
      </c>
    </row>
    <row r="46" spans="2:11">
      <c r="B46" s="502">
        <v>3</v>
      </c>
      <c r="C46" s="503" t="s">
        <v>1142</v>
      </c>
      <c r="D46" s="358" t="s">
        <v>1618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01">
        <f>F43*1</f>
        <v>1</v>
      </c>
      <c r="G46" s="360">
        <f ca="1">IF(ISERROR(OFFSET('HARGA SATUAN'!$I$6,MATCH(RAB!C46,'HARGA SATUAN'!$C$7:$C$1492,0),0)),0,OFFSET('HARGA SATUAN'!$I$6,MATCH(RAB!C46,'HARGA SATUAN'!$C$7:$C$1492,0),0))</f>
        <v>1113900</v>
      </c>
      <c r="H46" s="361">
        <f t="shared" si="23"/>
        <v>0</v>
      </c>
      <c r="I46" s="361">
        <f t="shared" si="24"/>
        <v>0</v>
      </c>
      <c r="J46" s="361">
        <f t="shared" si="25"/>
        <v>0</v>
      </c>
      <c r="K46" s="362">
        <f t="shared" si="26"/>
        <v>0</v>
      </c>
    </row>
    <row r="47" spans="2:11">
      <c r="B47" s="502">
        <v>4</v>
      </c>
      <c r="C47" s="109" t="s">
        <v>573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1">
        <v>50</v>
      </c>
      <c r="G47" s="360">
        <f ca="1">IF(ISERROR(OFFSET('HARGA SATUAN'!$I$6,MATCH(RAB!C47,'HARGA SATUAN'!$C$7:$C$1492,0),0)),0,OFFSET('HARGA SATUAN'!$I$6,MATCH(RAB!C47,'HARGA SATUAN'!$C$7:$C$1492,0),0))</f>
        <v>164883</v>
      </c>
      <c r="H47" s="361">
        <f t="shared" ca="1" si="23"/>
        <v>0</v>
      </c>
      <c r="I47" s="361">
        <f t="shared" ca="1" si="24"/>
        <v>8244150</v>
      </c>
      <c r="J47" s="361">
        <f t="shared" ca="1" si="25"/>
        <v>0</v>
      </c>
      <c r="K47" s="362">
        <f t="shared" ca="1" si="26"/>
        <v>8244150</v>
      </c>
    </row>
    <row r="48" spans="2:11">
      <c r="B48" s="502">
        <v>5</v>
      </c>
      <c r="C48" s="503" t="s">
        <v>799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f>F43*1</f>
        <v>1</v>
      </c>
      <c r="G48" s="360">
        <f ca="1">IF(ISERROR(OFFSET('HARGA SATUAN'!$I$6,MATCH(RAB!C48,'HARGA SATUAN'!$C$7:$C$1492,0),0)),0,OFFSET('HARGA SATUAN'!$I$6,MATCH(RAB!C48,'HARGA SATUAN'!$C$7:$C$1492,0),0))</f>
        <v>106400</v>
      </c>
      <c r="H48" s="361">
        <f t="shared" ca="1" si="23"/>
        <v>0</v>
      </c>
      <c r="I48" s="361">
        <f t="shared" ca="1" si="24"/>
        <v>0</v>
      </c>
      <c r="J48" s="361">
        <f t="shared" ca="1" si="25"/>
        <v>106400</v>
      </c>
      <c r="K48" s="362">
        <f t="shared" ca="1" si="26"/>
        <v>106400</v>
      </c>
    </row>
    <row r="49" spans="2:11">
      <c r="B49" s="500">
        <v>6</v>
      </c>
      <c r="C49" s="109" t="s">
        <v>460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368">
        <v>1</v>
      </c>
      <c r="G49" s="360">
        <f ca="1">IF(ISERROR(OFFSET('HARGA SATUAN'!$I$6,MATCH(RAB!C49,'HARGA SATUAN'!$C$7:$C$1492,0),0)),0,OFFSET('HARGA SATUAN'!$I$6,MATCH(RAB!C49,'HARGA SATUAN'!$C$7:$C$1492,0),0))</f>
        <v>36180</v>
      </c>
      <c r="H49" s="361">
        <f t="shared" ref="H49" ca="1" si="27">IF(OR(D49="MDU",D49="MDU-KD"),(IF($O$3="RAB NON MDU","PLN KD",G49*F49)),0)</f>
        <v>0</v>
      </c>
      <c r="I49" s="361">
        <f t="shared" ref="I49" ca="1" si="28">IF(D49="HDW",G49*F49,0)</f>
        <v>0</v>
      </c>
      <c r="J49" s="361">
        <f t="shared" ref="J49" ca="1" si="29">IF(D49="JASA",G49*F49,0)</f>
        <v>36180</v>
      </c>
      <c r="K49" s="362">
        <f t="shared" ref="K49" ca="1" si="30">SUM(H49:J49)</f>
        <v>36180</v>
      </c>
    </row>
    <row r="50" spans="2:11">
      <c r="B50" s="500"/>
      <c r="C50" s="503"/>
      <c r="D50" s="358"/>
      <c r="E50" s="359"/>
      <c r="F50" s="368"/>
      <c r="G50" s="360"/>
      <c r="H50" s="361"/>
      <c r="I50" s="361"/>
      <c r="J50" s="361"/>
      <c r="K50" s="362"/>
    </row>
    <row r="51" spans="2:11">
      <c r="B51" s="502" t="s">
        <v>1035</v>
      </c>
      <c r="C51" s="503" t="s">
        <v>1621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4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:H54" ca="1" si="31">IF(OR(D51="MDU",D51="MDU-KD"),(IF($O$3="RAB NON MDU","PLN KD",G51*F51)),0)</f>
        <v>0</v>
      </c>
      <c r="I51" s="361">
        <f t="shared" ref="I51:I54" ca="1" si="32">IF(D51="HDW",G51*F51,0)</f>
        <v>0</v>
      </c>
      <c r="J51" s="361">
        <f t="shared" ref="J51:J54" ca="1" si="33">IF(D51="JASA",G51*F51,0)</f>
        <v>0</v>
      </c>
      <c r="K51" s="362">
        <f t="shared" ref="K51:K54" ca="1" si="34">SUM(H51:J51)</f>
        <v>0</v>
      </c>
    </row>
    <row r="52" spans="2:11">
      <c r="B52" s="502">
        <v>1</v>
      </c>
      <c r="C52" s="503" t="s">
        <v>115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Set</v>
      </c>
      <c r="F52" s="504">
        <f>F51*1</f>
        <v>1</v>
      </c>
      <c r="G52" s="360">
        <f ca="1">IF(ISERROR(OFFSET('HARGA SATUAN'!$I$6,MATCH(RAB!C52,'HARGA SATUAN'!$C$7:$C$1492,0),0)),0,OFFSET('HARGA SATUAN'!$I$6,MATCH(RAB!C52,'HARGA SATUAN'!$C$7:$C$1492,0),0))</f>
        <v>11500</v>
      </c>
      <c r="H52" s="361">
        <f t="shared" ca="1" si="31"/>
        <v>0</v>
      </c>
      <c r="I52" s="361">
        <f t="shared" ca="1" si="32"/>
        <v>11500</v>
      </c>
      <c r="J52" s="361">
        <f t="shared" ca="1" si="33"/>
        <v>0</v>
      </c>
      <c r="K52" s="362">
        <f t="shared" ca="1" si="34"/>
        <v>11500</v>
      </c>
    </row>
    <row r="53" spans="2:11">
      <c r="B53" s="502">
        <v>2</v>
      </c>
      <c r="C53" s="503" t="s">
        <v>145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Set</v>
      </c>
      <c r="F53" s="504">
        <f>F51*1</f>
        <v>1</v>
      </c>
      <c r="G53" s="360">
        <f ca="1">IF(ISERROR(OFFSET('HARGA SATUAN'!$I$6,MATCH(RAB!C53,'HARGA SATUAN'!$C$7:$C$1492,0),0)),0,OFFSET('HARGA SATUAN'!$I$6,MATCH(RAB!C53,'HARGA SATUAN'!$C$7:$C$1492,0),0))</f>
        <v>6200</v>
      </c>
      <c r="H53" s="361">
        <f t="shared" ca="1" si="31"/>
        <v>0</v>
      </c>
      <c r="I53" s="361">
        <f t="shared" ca="1" si="32"/>
        <v>6200</v>
      </c>
      <c r="J53" s="361">
        <f t="shared" ca="1" si="33"/>
        <v>0</v>
      </c>
      <c r="K53" s="362">
        <f t="shared" ca="1" si="34"/>
        <v>6200</v>
      </c>
    </row>
    <row r="54" spans="2:11">
      <c r="B54" s="502">
        <v>3</v>
      </c>
      <c r="C54" s="503" t="s">
        <v>587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Btg</v>
      </c>
      <c r="F54" s="504">
        <f>F51*1</f>
        <v>1</v>
      </c>
      <c r="G54" s="360">
        <f ca="1">IF(ISERROR(OFFSET('HARGA SATUAN'!$I$6,MATCH(RAB!C54,'HARGA SATUAN'!$C$7:$C$1492,0),0)),0,OFFSET('HARGA SATUAN'!$I$6,MATCH(RAB!C54,'HARGA SATUAN'!$C$7:$C$1492,0),0))</f>
        <v>45796</v>
      </c>
      <c r="H54" s="361">
        <f t="shared" ca="1" si="31"/>
        <v>0</v>
      </c>
      <c r="I54" s="361">
        <f t="shared" ca="1" si="32"/>
        <v>45796</v>
      </c>
      <c r="J54" s="361">
        <f t="shared" ca="1" si="33"/>
        <v>0</v>
      </c>
      <c r="K54" s="362">
        <f t="shared" ca="1" si="34"/>
        <v>45796</v>
      </c>
    </row>
    <row r="55" spans="2:11">
      <c r="B55" s="502">
        <v>4</v>
      </c>
      <c r="C55" s="503" t="s">
        <v>118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Set</v>
      </c>
      <c r="F55" s="504">
        <f>F51*1</f>
        <v>1</v>
      </c>
      <c r="G55" s="360">
        <f ca="1">IF(ISERROR(OFFSET('HARGA SATUAN'!$I$6,MATCH(RAB!C55,'HARGA SATUAN'!$C$7:$C$1492,0),0)),0,OFFSET('HARGA SATUAN'!$I$6,MATCH(RAB!C55,'HARGA SATUAN'!$C$7:$C$1492,0),0))</f>
        <v>5300</v>
      </c>
      <c r="H55" s="361">
        <f t="shared" ref="H55:H61" ca="1" si="35">IF(OR(D55="MDU",D55="MDU-KD"),(IF($O$3="RAB NON MDU","PLN KD",G55*F55)),0)</f>
        <v>0</v>
      </c>
      <c r="I55" s="361">
        <f t="shared" ref="I55:I61" ca="1" si="36">IF(D55="HDW",G55*F55,0)</f>
        <v>5300</v>
      </c>
      <c r="J55" s="361">
        <f t="shared" ref="J55:J61" ca="1" si="37">IF(D55="JASA",G55*F55,0)</f>
        <v>0</v>
      </c>
      <c r="K55" s="362">
        <f t="shared" ref="K55:K61" ca="1" si="38">SUM(H55:J55)</f>
        <v>5300</v>
      </c>
    </row>
    <row r="56" spans="2:11">
      <c r="B56" s="502">
        <v>5</v>
      </c>
      <c r="C56" s="503" t="s">
        <v>117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4">
        <f>F51*1</f>
        <v>1</v>
      </c>
      <c r="G56" s="360">
        <f ca="1">IF(ISERROR(OFFSET('HARGA SATUAN'!$I$6,MATCH(RAB!C56,'HARGA SATUAN'!$C$7:$C$1492,0),0)),0,OFFSET('HARGA SATUAN'!$I$6,MATCH(RAB!C56,'HARGA SATUAN'!$C$7:$C$1492,0),0))</f>
        <v>58600</v>
      </c>
      <c r="H56" s="361">
        <f t="shared" ca="1" si="35"/>
        <v>0</v>
      </c>
      <c r="I56" s="361">
        <f t="shared" ca="1" si="36"/>
        <v>58600</v>
      </c>
      <c r="J56" s="361">
        <f t="shared" ca="1" si="37"/>
        <v>0</v>
      </c>
      <c r="K56" s="362">
        <f t="shared" ca="1" si="38"/>
        <v>58600</v>
      </c>
    </row>
    <row r="57" spans="2:11">
      <c r="B57" s="502">
        <v>6</v>
      </c>
      <c r="C57" s="109" t="s">
        <v>1155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Set</v>
      </c>
      <c r="F57" s="504">
        <f>F51*2</f>
        <v>2</v>
      </c>
      <c r="G57" s="360">
        <f ca="1">IF(ISERROR(OFFSET('HARGA SATUAN'!$I$6,MATCH(RAB!C57,'HARGA SATUAN'!$C$7:$C$1492,0),0)),0,OFFSET('HARGA SATUAN'!$I$6,MATCH(RAB!C57,'HARGA SATUAN'!$C$7:$C$1492,0),0))</f>
        <v>2900</v>
      </c>
      <c r="H57" s="361">
        <f t="shared" ca="1" si="35"/>
        <v>0</v>
      </c>
      <c r="I57" s="361">
        <f t="shared" ca="1" si="36"/>
        <v>5800</v>
      </c>
      <c r="J57" s="361">
        <f t="shared" ca="1" si="37"/>
        <v>0</v>
      </c>
      <c r="K57" s="362">
        <f t="shared" ca="1" si="38"/>
        <v>5800</v>
      </c>
    </row>
    <row r="58" spans="2:11">
      <c r="B58" s="502">
        <v>7</v>
      </c>
      <c r="C58" s="503" t="s">
        <v>119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Set</v>
      </c>
      <c r="F58" s="504">
        <f>F51*4</f>
        <v>4</v>
      </c>
      <c r="G58" s="360">
        <f ca="1">IF(ISERROR(OFFSET('HARGA SATUAN'!$I$6,MATCH(RAB!C58,'HARGA SATUAN'!$C$7:$C$1492,0),0)),0,OFFSET('HARGA SATUAN'!$I$6,MATCH(RAB!C58,'HARGA SATUAN'!$C$7:$C$1492,0),0))</f>
        <v>8900</v>
      </c>
      <c r="H58" s="361">
        <f t="shared" ca="1" si="35"/>
        <v>0</v>
      </c>
      <c r="I58" s="361">
        <f t="shared" ca="1" si="36"/>
        <v>35600</v>
      </c>
      <c r="J58" s="361">
        <f t="shared" ca="1" si="37"/>
        <v>0</v>
      </c>
      <c r="K58" s="362">
        <f t="shared" ca="1" si="38"/>
        <v>35600</v>
      </c>
    </row>
    <row r="59" spans="2:11">
      <c r="B59" s="496"/>
      <c r="C59" s="497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35"/>
        <v>0</v>
      </c>
      <c r="I59" s="361">
        <f t="shared" ca="1" si="36"/>
        <v>0</v>
      </c>
      <c r="J59" s="361">
        <f t="shared" ca="1" si="37"/>
        <v>0</v>
      </c>
      <c r="K59" s="362">
        <f t="shared" ca="1" si="38"/>
        <v>0</v>
      </c>
    </row>
    <row r="60" spans="2:11">
      <c r="B60" s="366" t="s">
        <v>22</v>
      </c>
      <c r="C60" s="367" t="s">
        <v>1616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35"/>
        <v>0</v>
      </c>
      <c r="I60" s="361">
        <f t="shared" ca="1" si="36"/>
        <v>0</v>
      </c>
      <c r="J60" s="361">
        <f t="shared" ca="1" si="37"/>
        <v>0</v>
      </c>
      <c r="K60" s="362">
        <f t="shared" ca="1" si="38"/>
        <v>0</v>
      </c>
    </row>
    <row r="61" spans="2:11">
      <c r="B61" s="373"/>
      <c r="C61" s="372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5"/>
        <v>0</v>
      </c>
      <c r="I61" s="361">
        <f t="shared" ca="1" si="36"/>
        <v>0</v>
      </c>
      <c r="J61" s="361">
        <f t="shared" ca="1" si="37"/>
        <v>0</v>
      </c>
      <c r="K61" s="362">
        <f t="shared" ca="1" si="38"/>
        <v>0</v>
      </c>
    </row>
    <row r="62" spans="2:11">
      <c r="B62" s="374"/>
      <c r="C62" s="375" t="s">
        <v>475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" ca="1" si="39">IF(OR(D62="MDU",D62="MDU-KD"),(IF($O$3="RAB NON MDU","PLN KD",G62*F62)),0)</f>
        <v>0</v>
      </c>
      <c r="I62" s="361">
        <f t="shared" ref="I62" ca="1" si="40">IF(D62="HDW",G62*F62,0)</f>
        <v>0</v>
      </c>
      <c r="J62" s="361">
        <f t="shared" ref="J62" ca="1" si="41">IF(D62="JASA",G62*F62,0)</f>
        <v>0</v>
      </c>
      <c r="K62" s="362">
        <f t="shared" ref="K62" ca="1" si="42">SUM(H62:J62)</f>
        <v>0</v>
      </c>
    </row>
    <row r="63" spans="2:11">
      <c r="B63" s="377">
        <v>1</v>
      </c>
      <c r="C63" s="378" t="s">
        <v>1091</v>
      </c>
      <c r="D63" s="379" t="str">
        <f ca="1">IF(ISERROR(OFFSET('HARGA SATUAN'!$D$6,MATCH(RAB!C63,'HARGA SATUAN'!$C$7:$C$1492,0),0)),"",OFFSET('HARGA SATUAN'!$D$6,MATCH(RAB!C63,'HARGA SATUAN'!$C$7:$C$1492,0),0))</f>
        <v>JASA</v>
      </c>
      <c r="E63" s="380" t="str">
        <f ca="1">IF(ISERROR(OFFSET('HARGA SATUAN'!$E$6,MATCH(RAB!C63,'HARGA SATUAN'!$C$7:$C$1492,0),0)),"",OFFSET('HARGA SATUAN'!$E$6,MATCH(RAB!C63,'HARGA SATUAN'!$C$7:$C$1492,0),0))</f>
        <v>Lot</v>
      </c>
      <c r="F63" s="381">
        <v>1</v>
      </c>
      <c r="G63" s="382">
        <f ca="1">IF(ISERROR(OFFSET('HARGA SATUAN'!$I$6,MATCH(RAB!C63,'HARGA SATUAN'!$C$7:$C$1492,0),0)),0,OFFSET('HARGA SATUAN'!$I$6,MATCH(RAB!C63,'HARGA SATUAN'!$C$7:$C$1492,0),0))</f>
        <v>2.5000000000000001E-2</v>
      </c>
      <c r="H63" s="383"/>
      <c r="I63" s="383"/>
      <c r="J63" s="383">
        <f ca="1">SUM(K15:K17)*G63</f>
        <v>0</v>
      </c>
      <c r="K63" s="384">
        <f ca="1">SUM(H63:J63)</f>
        <v>0</v>
      </c>
    </row>
    <row r="64" spans="2:11">
      <c r="B64" s="385"/>
      <c r="C64" s="386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IF(ISERROR(OFFSET('HARGA SATUAN'!$E$6,MATCH(RAB!C64,'HARGA SATUAN'!$C$7:$C$1492,0),0)),"",OFFSET('HARGA SATUAN'!$E$6,MATCH(RAB!C64,'HARGA SATUAN'!$C$7:$C$1492,0),0))</f>
        <v/>
      </c>
      <c r="F64" s="376"/>
      <c r="G64" s="360" t="str">
        <f ca="1">IF(ISERROR(OFFSET('HARGA SATUAN'!$I$6,MATCH(RAB!C64,'HARGA SATUAN'!$C$7:$C$1492,0),0)),"",OFFSET('HARGA SATUAN'!$I$6,MATCH(RAB!C64,'HARGA SATUAN'!$C$7:$C$1492,0),0))</f>
        <v/>
      </c>
      <c r="H64" s="361">
        <f ca="1">IF(OR(D64="MDU",D64="MDU-KD"),IF(G64="PLN",0,G64*F64),0)</f>
        <v>0</v>
      </c>
      <c r="I64" s="361">
        <f ca="1">IF(D64="HDW",IF(G64="PLN",0,G64*F64),0)</f>
        <v>0</v>
      </c>
      <c r="J64" s="361">
        <f ca="1">IF(D64="JASA",IF(G64="PLN",0,G64*F64),0)</f>
        <v>0</v>
      </c>
      <c r="K64" s="362">
        <f ca="1">SUM(H64:J64)</f>
        <v>0</v>
      </c>
    </row>
    <row r="65" spans="2:13" ht="15.75" thickBot="1">
      <c r="B65" s="387"/>
      <c r="C65" s="388"/>
      <c r="D65" s="389"/>
      <c r="E65" s="390"/>
      <c r="F65" s="390"/>
      <c r="G65" s="390"/>
      <c r="H65" s="391"/>
      <c r="I65" s="391"/>
      <c r="J65" s="391"/>
      <c r="K65" s="392"/>
    </row>
    <row r="66" spans="2:13">
      <c r="B66" s="393"/>
      <c r="C66" s="609" t="s">
        <v>1008</v>
      </c>
      <c r="D66" s="609"/>
      <c r="E66" s="609"/>
      <c r="F66" s="609"/>
      <c r="G66" s="394" t="s">
        <v>9</v>
      </c>
      <c r="H66" s="395">
        <f ca="1">SUM(H14:H64)</f>
        <v>71636050</v>
      </c>
      <c r="I66" s="395">
        <f ca="1">SUM(I14:I64)</f>
        <v>16869790</v>
      </c>
      <c r="J66" s="395">
        <f ca="1">SUM(J14:J64)</f>
        <v>142580</v>
      </c>
      <c r="K66" s="395">
        <f ca="1">SUM(K14:K64)</f>
        <v>88648420</v>
      </c>
    </row>
    <row r="67" spans="2:13">
      <c r="B67" s="396"/>
      <c r="C67" s="625" t="s">
        <v>1457</v>
      </c>
      <c r="D67" s="625"/>
      <c r="E67" s="625"/>
      <c r="F67" s="625"/>
      <c r="G67" s="397" t="s">
        <v>9</v>
      </c>
      <c r="H67" s="398">
        <f ca="1">H66*0.11</f>
        <v>7879965.5</v>
      </c>
      <c r="I67" s="398">
        <f ca="1">I66*0.11</f>
        <v>1855676.9</v>
      </c>
      <c r="J67" s="398">
        <f ca="1">J66*0.11</f>
        <v>15683.8</v>
      </c>
      <c r="K67" s="398">
        <f ca="1">K66*0.11</f>
        <v>9751326.1999999993</v>
      </c>
    </row>
    <row r="68" spans="2:13" ht="15.75" thickBot="1">
      <c r="B68" s="396"/>
      <c r="C68" s="623" t="s">
        <v>463</v>
      </c>
      <c r="D68" s="623"/>
      <c r="E68" s="623"/>
      <c r="F68" s="623"/>
      <c r="G68" s="399" t="s">
        <v>9</v>
      </c>
      <c r="H68" s="400">
        <f ca="1">SUM(H66:H67)</f>
        <v>79516015.5</v>
      </c>
      <c r="I68" s="400">
        <f ca="1">SUM(I66:I67)</f>
        <v>18725466.899999999</v>
      </c>
      <c r="J68" s="399">
        <f ca="1">SUM(J66:J67)</f>
        <v>158263.79999999999</v>
      </c>
      <c r="K68" s="399">
        <f ca="1">SUM(K66:K67)</f>
        <v>98399746.200000003</v>
      </c>
      <c r="M68" s="482"/>
    </row>
    <row r="69" spans="2:13">
      <c r="B69" s="626" t="str">
        <f ca="1">"Terbilang : "&amp;PROPER(IF(K68=0,"nol",IF(K68&lt;0,"minus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IF(--MID(TEXT(ABS(K68),"000000000000000"),1,3)=0,"",MID(TEXT(ABS(K68),"000000000000000"),1,1)&amp;" ratus "&amp;MID(TEXT(ABS(K68),"000000000000000"),2,1)&amp;" puluh "&amp;MID(TEXT(ABS(K68),"000000000000000"),3,1)&amp;" trilyun ")&amp; IF(--MID(TEXT(ABS(K68),"000000000000000"),4,3)=0,"",MID(TEXT(ABS(K68),"000000000000000"),4,1)&amp;" ratus "&amp;MID(TEXT(ABS(K68),"000000000000000"),5,1)&amp;" puluh "&amp;MID(TEXT(ABS(K68),"000000000000000"),6,1)&amp;" milyar ")&amp; IF(--MID(TEXT(ABS(K68),"000000000000000"),7,3)=0,"",MID(TEXT(ABS(K68),"000000000000000"),7,1)&amp;" ratus "&amp;MID(TEXT(ABS(K68),"000000000000000"),8,1)&amp;" puluh "&amp;MID(TEXT(ABS(K68),"000000000000000"),9,1)&amp;" juta ")&amp; IF(--MID(TEXT(ABS(K68),"000000000000000"),10,3)=0,"",IF(--MID(TEXT(ABS(K68),"000000000000000"),10,3)=1,"*",MID(TEXT(ABS(K68),"000000000000000"),10,1)&amp;" ratus "&amp;MID(TEXT(ABS(K68),"000000000000000"),11,1)&amp;" puluh ")&amp;MID(TEXT(ABS(K68),"000000000000000"),12,1)&amp;" ribu ")&amp; IF(--MID(TEXT(ABS(K68),"000000000000000"),13,3)=0,"",MID(TEXT(ABS(K68),"000000000000000"),13,1)&amp;" ratus "&amp;MID(TEXT(ABS(K68),"000000000000000"),14,1)&amp;" puluh "&amp;MID(TEXT(ABS(K68),"000000000000000"),15,1)),1,"satu"),2,"dua"),3,"tiga"),4,"empat"),5,"lima"),6,"enam"),7,"tujuh"),8,"delapan"),9,"sembilan"),"0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Delapan Juta Tiga Ratus Sembilan Puluh Sembilan Ribu Tujuh Ratus Empat Puluh Enam Rupiah</v>
      </c>
      <c r="C69" s="627"/>
      <c r="D69" s="627"/>
      <c r="E69" s="627"/>
      <c r="F69" s="627"/>
      <c r="G69" s="627"/>
      <c r="H69" s="627"/>
      <c r="I69" s="627"/>
      <c r="J69" s="627"/>
      <c r="K69" s="628"/>
    </row>
    <row r="70" spans="2:13">
      <c r="B70" s="629"/>
      <c r="C70" s="630"/>
      <c r="D70" s="630"/>
      <c r="E70" s="630"/>
      <c r="F70" s="630"/>
      <c r="G70" s="630"/>
      <c r="H70" s="630"/>
      <c r="I70" s="630"/>
      <c r="J70" s="630"/>
      <c r="K70" s="631"/>
    </row>
    <row r="71" spans="2:13" ht="15.75" thickBot="1">
      <c r="B71" s="401" t="str">
        <f>"Harga yang dipakai adalah "&amp;'HARGA SATUAN'!I5&amp;""</f>
        <v>Harga yang dipakai adalah RAB HSS 2023</v>
      </c>
      <c r="C71" s="402"/>
      <c r="D71" s="403"/>
      <c r="E71" s="403"/>
      <c r="F71" s="403"/>
      <c r="G71" s="404"/>
      <c r="H71" s="404"/>
      <c r="I71" s="404"/>
      <c r="J71" s="404"/>
      <c r="K71" s="405"/>
    </row>
    <row r="72" spans="2:13">
      <c r="C72" s="406"/>
      <c r="E72" s="408"/>
      <c r="F72" s="408"/>
      <c r="G72" s="408"/>
    </row>
    <row r="73" spans="2:13">
      <c r="C73" s="337"/>
      <c r="E73" s="408"/>
      <c r="F73" s="408"/>
      <c r="G73" s="408"/>
      <c r="H73" s="632"/>
      <c r="I73" s="632"/>
      <c r="J73" s="633"/>
      <c r="K73" s="633"/>
    </row>
    <row r="74" spans="2:13">
      <c r="C74" s="337"/>
      <c r="E74" s="408"/>
      <c r="F74" s="408"/>
      <c r="G74" s="408"/>
      <c r="H74" s="409"/>
      <c r="I74" s="622" t="s">
        <v>1610</v>
      </c>
      <c r="J74" s="622"/>
      <c r="K74" s="622"/>
    </row>
    <row r="75" spans="2:13">
      <c r="C75" s="337"/>
      <c r="E75" s="408"/>
      <c r="F75" s="408"/>
      <c r="G75" s="408"/>
      <c r="H75" s="409"/>
      <c r="I75" s="622" t="s">
        <v>1546</v>
      </c>
      <c r="J75" s="622"/>
      <c r="K75" s="622"/>
    </row>
    <row r="76" spans="2:13">
      <c r="C76" s="337"/>
      <c r="E76" s="408"/>
      <c r="F76" s="408"/>
      <c r="G76" s="408"/>
      <c r="H76" s="410"/>
      <c r="I76" s="411"/>
      <c r="J76" s="411"/>
      <c r="K76" s="411"/>
    </row>
    <row r="77" spans="2:13">
      <c r="C77" s="337"/>
      <c r="E77" s="408"/>
      <c r="F77" s="408"/>
      <c r="G77" s="408"/>
      <c r="H77" s="410"/>
      <c r="I77" s="410"/>
      <c r="J77" s="410"/>
      <c r="K77" s="410"/>
    </row>
    <row r="78" spans="2:13">
      <c r="C78" s="337"/>
      <c r="E78" s="408"/>
      <c r="F78" s="408"/>
      <c r="G78" s="408"/>
      <c r="H78" s="410"/>
      <c r="I78" s="410"/>
      <c r="J78" s="410"/>
      <c r="K78" s="410"/>
    </row>
    <row r="79" spans="2:13">
      <c r="C79" s="337"/>
      <c r="E79" s="408"/>
      <c r="F79" s="408"/>
      <c r="G79" s="408"/>
      <c r="H79" s="410"/>
      <c r="I79" s="410"/>
      <c r="J79" s="410"/>
      <c r="K79" s="410"/>
    </row>
    <row r="80" spans="2:13">
      <c r="C80" s="337"/>
      <c r="E80" s="408"/>
      <c r="F80" s="408"/>
      <c r="G80" s="408"/>
      <c r="H80" s="412"/>
      <c r="I80" s="622" t="s">
        <v>1547</v>
      </c>
      <c r="J80" s="622"/>
      <c r="K80" s="622"/>
    </row>
    <row r="81" spans="3:11">
      <c r="C81" s="406"/>
      <c r="E81" s="408"/>
      <c r="F81" s="408"/>
      <c r="G81" s="408"/>
      <c r="H81" s="410"/>
      <c r="I81" s="410"/>
      <c r="J81" s="410"/>
      <c r="K81" s="410"/>
    </row>
    <row r="82" spans="3:11">
      <c r="C82" s="406"/>
      <c r="E82" s="408"/>
      <c r="F82" s="408"/>
      <c r="G82" s="408"/>
      <c r="H82" s="410"/>
      <c r="I82" s="410"/>
      <c r="J82" s="410"/>
      <c r="K82" s="410"/>
    </row>
    <row r="83" spans="3:11">
      <c r="C83" s="406"/>
      <c r="E83" s="408"/>
      <c r="F83" s="408"/>
      <c r="G83" s="408"/>
      <c r="H83" s="410"/>
      <c r="I83" s="410"/>
      <c r="J83" s="410"/>
      <c r="K83" s="410"/>
    </row>
  </sheetData>
  <sheetProtection sort="0" autoFilter="0"/>
  <protectedRanges>
    <protectedRange sqref="B61 B43:B59" name="Range1_1"/>
    <protectedRange sqref="F14:F62" name="Range1_1_2_2"/>
    <protectedRange sqref="C61 C43:C46" name="Range1_1_1"/>
    <protectedRange sqref="C48 C50:C59" name="Range1_1_3_2"/>
    <protectedRange sqref="C16" name="Range1_1_3"/>
    <protectedRange sqref="C47" name="Range1_1_3_8"/>
    <protectedRange sqref="C25" name="Range1_1_3_3"/>
    <protectedRange sqref="C29" name="Range1_1_3_4"/>
    <protectedRange sqref="C49" name="Range1_1_3_7"/>
    <protectedRange sqref="C22" name="Range1_1_3_5"/>
  </protectedRanges>
  <mergeCells count="22">
    <mergeCell ref="I75:K75"/>
    <mergeCell ref="I80:K80"/>
    <mergeCell ref="C68:F68"/>
    <mergeCell ref="G6:K6"/>
    <mergeCell ref="I74:K74"/>
    <mergeCell ref="C67:F67"/>
    <mergeCell ref="B69:K70"/>
    <mergeCell ref="H73:K73"/>
    <mergeCell ref="H11:K11"/>
    <mergeCell ref="H12:H13"/>
    <mergeCell ref="J12:J13"/>
    <mergeCell ref="K12:K13"/>
    <mergeCell ref="O3:P4"/>
    <mergeCell ref="B4:K4"/>
    <mergeCell ref="C66:F66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:C17">
    <cfRule type="cellIs" dxfId="15" priority="44" operator="equal">
      <formula>0</formula>
    </cfRule>
  </conditionalFormatting>
  <conditionalFormatting sqref="C19:C38">
    <cfRule type="cellIs" dxfId="14" priority="5" operator="equal">
      <formula>0</formula>
    </cfRule>
  </conditionalFormatting>
  <conditionalFormatting sqref="C40:C41">
    <cfRule type="cellIs" dxfId="13" priority="179" operator="equal">
      <formula>0</formula>
    </cfRule>
  </conditionalFormatting>
  <conditionalFormatting sqref="C44">
    <cfRule type="cellIs" dxfId="12" priority="51" operator="equal">
      <formula>0</formula>
    </cfRule>
  </conditionalFormatting>
  <conditionalFormatting sqref="C47">
    <cfRule type="cellIs" dxfId="11" priority="50" operator="equal">
      <formula>0</formula>
    </cfRule>
  </conditionalFormatting>
  <conditionalFormatting sqref="C49">
    <cfRule type="cellIs" dxfId="10" priority="41" operator="equal">
      <formula>0</formula>
    </cfRule>
  </conditionalFormatting>
  <conditionalFormatting sqref="C57">
    <cfRule type="cellIs" dxfId="9" priority="49" operator="equal">
      <formula>0</formula>
    </cfRule>
  </conditionalFormatting>
  <conditionalFormatting sqref="C60">
    <cfRule type="cellIs" dxfId="8" priority="85" operator="equal">
      <formula>0</formula>
    </cfRule>
  </conditionalFormatting>
  <conditionalFormatting sqref="E1:E3 G1:G13 E5:E13 H12:I12 O13 S14:V17 E63:G63 H63:K65 E64:H64 E65:F65">
    <cfRule type="cellIs" dxfId="7" priority="1134" stopIfTrue="1" operator="equal">
      <formula>0</formula>
    </cfRule>
  </conditionalFormatting>
  <conditionalFormatting sqref="E39:F40">
    <cfRule type="cellIs" dxfId="6" priority="27" stopIfTrue="1" operator="equal">
      <formula>0</formula>
    </cfRule>
  </conditionalFormatting>
  <conditionalFormatting sqref="E14:K38">
    <cfRule type="cellIs" dxfId="5" priority="8" stopIfTrue="1" operator="equal">
      <formula>0</formula>
    </cfRule>
  </conditionalFormatting>
  <conditionalFormatting sqref="E41:K62">
    <cfRule type="cellIs" dxfId="4" priority="29" stopIfTrue="1" operator="equal">
      <formula>0</formula>
    </cfRule>
  </conditionalFormatting>
  <conditionalFormatting sqref="G39">
    <cfRule type="cellIs" dxfId="3" priority="4" operator="equal">
      <formula>0</formula>
    </cfRule>
  </conditionalFormatting>
  <conditionalFormatting sqref="G40">
    <cfRule type="cellIs" dxfId="2" priority="3" stopIfTrue="1" operator="equal">
      <formula>0</formula>
    </cfRule>
  </conditionalFormatting>
  <conditionalFormatting sqref="G64:G65530 E69:E65530">
    <cfRule type="cellIs" dxfId="1" priority="268" stopIfTrue="1" operator="equal">
      <formula>0</formula>
    </cfRule>
  </conditionalFormatting>
  <conditionalFormatting sqref="H39:K4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6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E22" zoomScale="175" zoomScaleNormal="115" zoomScaleSheetLayoutView="175" workbookViewId="0">
      <selection activeCell="T34" sqref="T3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6" t="s">
        <v>1439</v>
      </c>
      <c r="X2" s="637"/>
      <c r="Y2" s="637"/>
      <c r="Z2" s="637"/>
      <c r="AA2" s="637"/>
      <c r="AB2" s="637"/>
      <c r="AC2" s="637"/>
      <c r="AD2" s="638"/>
    </row>
    <row r="3" spans="3:30">
      <c r="C3" s="238"/>
      <c r="W3" s="639"/>
      <c r="X3" s="640"/>
      <c r="Y3" s="640"/>
      <c r="Z3" s="640"/>
      <c r="AA3" s="640"/>
      <c r="AB3" s="640"/>
      <c r="AC3" s="640"/>
      <c r="AD3" s="64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8" t="s">
        <v>1625</v>
      </c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1455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59"/>
      <c r="Y19" s="659"/>
      <c r="Z19" s="659"/>
      <c r="AA19" s="659"/>
      <c r="AB19" s="659"/>
      <c r="AC19" s="659"/>
      <c r="AD19" s="660"/>
    </row>
    <row r="20" spans="3:30">
      <c r="C20" s="238"/>
      <c r="W20" s="644" t="s">
        <v>992</v>
      </c>
      <c r="X20" s="645"/>
      <c r="Y20" s="645"/>
      <c r="Z20" s="645"/>
      <c r="AA20" s="645"/>
      <c r="AB20" s="645"/>
      <c r="AC20" s="645"/>
      <c r="AD20" s="646"/>
    </row>
    <row r="21" spans="3:30">
      <c r="C21" s="238"/>
      <c r="W21" s="647" t="s">
        <v>985</v>
      </c>
      <c r="X21" s="648"/>
      <c r="Y21" s="648"/>
      <c r="Z21" s="649"/>
      <c r="AA21" s="650" t="s">
        <v>986</v>
      </c>
      <c r="AB21" s="651"/>
      <c r="AC21" s="651"/>
      <c r="AD21" s="652"/>
    </row>
    <row r="22" spans="3:30">
      <c r="C22" s="238"/>
      <c r="W22" s="653"/>
      <c r="X22" s="654"/>
      <c r="Y22" s="505"/>
      <c r="Z22" s="490"/>
      <c r="AA22" s="655"/>
      <c r="AB22" s="656"/>
      <c r="AC22" s="248"/>
      <c r="AD22" s="249"/>
    </row>
    <row r="23" spans="3:30">
      <c r="C23" s="238"/>
      <c r="W23" s="653"/>
      <c r="X23" s="654"/>
      <c r="Y23" s="505"/>
      <c r="Z23" s="490"/>
      <c r="AA23" s="657"/>
      <c r="AB23" s="658"/>
      <c r="AC23" s="248"/>
      <c r="AD23" s="249"/>
    </row>
    <row r="24" spans="3:30">
      <c r="C24" s="238"/>
      <c r="W24" s="663"/>
      <c r="X24" s="664"/>
      <c r="Y24" s="246"/>
      <c r="Z24" s="247"/>
      <c r="AA24" s="665"/>
      <c r="AB24" s="666"/>
      <c r="AC24" s="248"/>
      <c r="AD24" s="249"/>
    </row>
    <row r="25" spans="3:30">
      <c r="C25" s="238"/>
      <c r="W25" s="663"/>
      <c r="X25" s="664"/>
      <c r="Y25" s="246"/>
      <c r="Z25" s="247"/>
      <c r="AA25" s="657"/>
      <c r="AB25" s="658"/>
      <c r="AC25" s="248"/>
      <c r="AD25" s="249"/>
    </row>
    <row r="26" spans="3:30">
      <c r="C26" s="238"/>
      <c r="W26" s="478"/>
      <c r="X26" s="479"/>
      <c r="Y26" s="246"/>
      <c r="Z26" s="247"/>
      <c r="AA26" s="657"/>
      <c r="AB26" s="658"/>
      <c r="AC26" s="248"/>
      <c r="AD26" s="249"/>
    </row>
    <row r="27" spans="3:30">
      <c r="C27" s="238"/>
      <c r="W27" s="478"/>
      <c r="X27" s="479"/>
      <c r="Y27" s="246"/>
      <c r="Z27" s="247"/>
      <c r="AA27" s="661"/>
      <c r="AB27" s="662"/>
      <c r="AC27" s="248"/>
      <c r="AD27" s="249"/>
    </row>
    <row r="28" spans="3:30">
      <c r="C28" s="238"/>
      <c r="W28" s="478"/>
      <c r="X28" s="479"/>
      <c r="Y28" s="246"/>
      <c r="Z28" s="247"/>
      <c r="AA28" s="661"/>
      <c r="AB28" s="662"/>
      <c r="AC28" s="248"/>
      <c r="AD28" s="249"/>
    </row>
    <row r="29" spans="3:30">
      <c r="C29" s="238"/>
      <c r="W29" s="478"/>
      <c r="X29" s="479"/>
      <c r="Y29" s="246"/>
      <c r="Z29" s="247"/>
      <c r="AA29" s="661"/>
      <c r="AB29" s="662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1"/>
      <c r="AB30" s="662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1"/>
      <c r="AB31" s="662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1"/>
      <c r="AB32" s="662"/>
      <c r="AC32" s="248"/>
      <c r="AD32" s="249"/>
    </row>
    <row r="33" spans="3:30">
      <c r="C33" s="238"/>
      <c r="W33" s="478"/>
      <c r="X33" s="479"/>
      <c r="Y33" s="246"/>
      <c r="Z33" s="247"/>
      <c r="AA33" s="661"/>
      <c r="AB33" s="662"/>
      <c r="AC33" s="248"/>
      <c r="AD33" s="249"/>
    </row>
    <row r="34" spans="3:30">
      <c r="C34" s="238"/>
      <c r="W34" s="478"/>
      <c r="X34" s="479"/>
      <c r="Y34" s="246"/>
      <c r="Z34" s="247"/>
      <c r="AA34" s="661"/>
      <c r="AB34" s="662"/>
      <c r="AC34" s="248"/>
      <c r="AD34" s="249"/>
    </row>
    <row r="35" spans="3:30">
      <c r="C35" s="238"/>
      <c r="W35" s="663"/>
      <c r="X35" s="676"/>
      <c r="Y35" s="246"/>
      <c r="Z35" s="247"/>
      <c r="AA35" s="661"/>
      <c r="AB35" s="662"/>
      <c r="AC35" s="248"/>
      <c r="AD35" s="249"/>
    </row>
    <row r="36" spans="3:30">
      <c r="C36" s="238"/>
      <c r="J36" s="499"/>
      <c r="W36" s="667"/>
      <c r="X36" s="668"/>
      <c r="Y36" s="246"/>
      <c r="Z36" s="251"/>
      <c r="AA36" s="669"/>
      <c r="AB36" s="662"/>
      <c r="AC36" s="248"/>
      <c r="AD36" s="249"/>
    </row>
    <row r="37" spans="3:30" ht="12.75" customHeight="1">
      <c r="C37" s="238"/>
      <c r="J37" s="499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J38" s="499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499"/>
      <c r="W39" s="670"/>
      <c r="X39" s="671"/>
      <c r="Y39" s="254"/>
      <c r="Z39" s="257"/>
      <c r="AA39" s="674"/>
      <c r="AB39" s="675"/>
      <c r="AC39" s="252"/>
      <c r="AD39" s="253"/>
    </row>
    <row r="40" spans="3:30" ht="12" customHeight="1">
      <c r="C40" s="238"/>
      <c r="J40" s="499"/>
      <c r="W40" s="680"/>
      <c r="X40" s="68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2"/>
      <c r="X41" s="683"/>
      <c r="Y41" s="260"/>
      <c r="Z41" s="261"/>
      <c r="AA41" s="674"/>
      <c r="AB41" s="675"/>
      <c r="AC41" s="252"/>
      <c r="AD41" s="253"/>
    </row>
    <row r="42" spans="3:30" ht="12" customHeight="1">
      <c r="C42" s="238"/>
      <c r="W42" s="684" t="s">
        <v>1456</v>
      </c>
      <c r="X42" s="685"/>
      <c r="Y42" s="685"/>
      <c r="Z42" s="68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7" t="s">
        <v>11</v>
      </c>
      <c r="X44" s="678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7" t="s">
        <v>984</v>
      </c>
      <c r="X45" s="678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7" t="s">
        <v>15</v>
      </c>
      <c r="X46" s="678"/>
      <c r="Y46" s="679"/>
      <c r="Z46" s="679"/>
      <c r="AA46" s="679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0" t="s">
        <v>17</v>
      </c>
      <c r="X47" s="690"/>
      <c r="Y47" s="690"/>
      <c r="Z47" s="690"/>
      <c r="AA47" s="690"/>
      <c r="AB47" s="690"/>
      <c r="AC47" s="690"/>
      <c r="AD47" s="69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2" t="str">
        <f>RAB!G6</f>
        <v>KEJAKSAAN NEGERI DEMAK</v>
      </c>
      <c r="X48" s="692"/>
      <c r="Y48" s="692"/>
      <c r="Z48" s="692"/>
      <c r="AA48" s="692"/>
      <c r="AB48" s="692"/>
      <c r="AC48" s="692"/>
      <c r="AD48" s="69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2"/>
      <c r="X49" s="692"/>
      <c r="Y49" s="692"/>
      <c r="Z49" s="692"/>
      <c r="AA49" s="692"/>
      <c r="AB49" s="692"/>
      <c r="AC49" s="692"/>
      <c r="AD49" s="69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2"/>
      <c r="X50" s="692"/>
      <c r="Y50" s="692"/>
      <c r="Z50" s="692"/>
      <c r="AA50" s="692"/>
      <c r="AB50" s="692"/>
      <c r="AC50" s="692"/>
      <c r="AD50" s="69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4"/>
      <c r="X51" s="694"/>
      <c r="Y51" s="694"/>
      <c r="Z51" s="694"/>
      <c r="AA51" s="694"/>
      <c r="AB51" s="694"/>
      <c r="AC51" s="694"/>
      <c r="AD51" s="69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7" t="s">
        <v>18</v>
      </c>
      <c r="X52" s="678"/>
      <c r="Y52" s="642" t="s">
        <v>1549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7" t="s">
        <v>19</v>
      </c>
      <c r="X53" s="678"/>
      <c r="Y53" s="642" t="s">
        <v>1549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7" t="s">
        <v>20</v>
      </c>
      <c r="X54" s="678"/>
      <c r="Y54" s="686" t="s">
        <v>1550</v>
      </c>
      <c r="Z54" s="686"/>
      <c r="AA54" s="686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7" t="s">
        <v>21</v>
      </c>
      <c r="X55" s="688"/>
      <c r="Y55" s="686" t="s">
        <v>1551</v>
      </c>
      <c r="Z55" s="686"/>
      <c r="AA55" s="686"/>
      <c r="AB55" s="686"/>
      <c r="AC55" s="686"/>
      <c r="AD55" s="68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6" sqref="C6:M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5" t="str">
        <f>GAMBAR!E7</f>
        <v>KOORDINAT : -6.8959318, 110.6377775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6"/>
      <c r="Z6" s="426"/>
      <c r="AA6" s="426"/>
      <c r="AB6" s="427"/>
      <c r="AC6" s="427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2024-08-08T09:12:31Z</dcterms:modified>
</cp:coreProperties>
</file>