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5E47655A-4CC8-4325-9499-6ED64C834F6A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G16" i="11"/>
  <c r="G17" i="11"/>
  <c r="E17" i="11"/>
  <c r="D17" i="11"/>
  <c r="E16" i="11"/>
  <c r="D16" i="11"/>
  <c r="H16" i="11" s="1"/>
  <c r="F49" i="11"/>
  <c r="F48" i="11"/>
  <c r="F47" i="11"/>
  <c r="F46" i="11"/>
  <c r="F45" i="11"/>
  <c r="F42" i="11"/>
  <c r="F41" i="11"/>
  <c r="F40" i="11"/>
  <c r="F39" i="11"/>
  <c r="F38" i="11"/>
  <c r="G43" i="11"/>
  <c r="E43" i="11"/>
  <c r="D43" i="11"/>
  <c r="J43" i="11" s="1"/>
  <c r="G42" i="11"/>
  <c r="E42" i="11"/>
  <c r="D42" i="11"/>
  <c r="G41" i="11"/>
  <c r="E41" i="11"/>
  <c r="D41" i="11"/>
  <c r="G40" i="11"/>
  <c r="E40" i="11"/>
  <c r="D40" i="11"/>
  <c r="H40" i="11" s="1"/>
  <c r="G39" i="11"/>
  <c r="E39" i="11"/>
  <c r="D39" i="11"/>
  <c r="H39" i="11" s="1"/>
  <c r="G38" i="11"/>
  <c r="E38" i="11"/>
  <c r="D38" i="11"/>
  <c r="J38" i="11" s="1"/>
  <c r="G37" i="11"/>
  <c r="E37" i="11"/>
  <c r="D37" i="11"/>
  <c r="I37" i="11" s="1"/>
  <c r="G36" i="11"/>
  <c r="E36" i="11"/>
  <c r="D36" i="11"/>
  <c r="H36" i="11" s="1"/>
  <c r="G47" i="11"/>
  <c r="E47" i="11"/>
  <c r="D47" i="11"/>
  <c r="J47" i="11" s="1"/>
  <c r="G46" i="11"/>
  <c r="E46" i="11"/>
  <c r="D46" i="11"/>
  <c r="J46" i="11" s="1"/>
  <c r="G45" i="11"/>
  <c r="E45" i="11"/>
  <c r="D45" i="11"/>
  <c r="G44" i="11"/>
  <c r="E44" i="11"/>
  <c r="D44" i="11"/>
  <c r="H44" i="11" s="1"/>
  <c r="G49" i="11"/>
  <c r="E49" i="11"/>
  <c r="D49" i="11"/>
  <c r="G48" i="11"/>
  <c r="E48" i="11"/>
  <c r="D48" i="11"/>
  <c r="J48" i="11" s="1"/>
  <c r="F32" i="11"/>
  <c r="F31" i="11"/>
  <c r="F30" i="11"/>
  <c r="F33" i="11" s="1"/>
  <c r="F29" i="11"/>
  <c r="F26" i="11"/>
  <c r="F25" i="11"/>
  <c r="F24" i="11"/>
  <c r="F23" i="11"/>
  <c r="F67" i="11"/>
  <c r="G6" i="11"/>
  <c r="F63" i="11"/>
  <c r="F62" i="11"/>
  <c r="F61" i="11"/>
  <c r="F60" i="11"/>
  <c r="F57" i="11"/>
  <c r="F56" i="11"/>
  <c r="F55" i="11"/>
  <c r="F54" i="11"/>
  <c r="F53" i="11"/>
  <c r="F52" i="11"/>
  <c r="E18" i="11"/>
  <c r="D18" i="11"/>
  <c r="G20" i="11"/>
  <c r="E20" i="11"/>
  <c r="D20" i="11"/>
  <c r="J20" i="11" s="1"/>
  <c r="G21" i="11"/>
  <c r="E21" i="11"/>
  <c r="D21" i="11"/>
  <c r="I21" i="11" s="1"/>
  <c r="G56" i="11"/>
  <c r="E56" i="11"/>
  <c r="D56" i="11"/>
  <c r="J56" i="11" s="1"/>
  <c r="G55" i="11"/>
  <c r="E55" i="11"/>
  <c r="D55" i="11"/>
  <c r="J55" i="11" s="1"/>
  <c r="G54" i="11"/>
  <c r="E54" i="11"/>
  <c r="D54" i="11"/>
  <c r="G53" i="11"/>
  <c r="E53" i="11"/>
  <c r="D53" i="11"/>
  <c r="H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G35" i="11"/>
  <c r="E35" i="11"/>
  <c r="D35" i="11"/>
  <c r="H35" i="11" s="1"/>
  <c r="G34" i="11"/>
  <c r="E34" i="11"/>
  <c r="D34" i="11"/>
  <c r="J34" i="11" s="1"/>
  <c r="G33" i="11"/>
  <c r="E33" i="11"/>
  <c r="D33" i="11"/>
  <c r="G32" i="11"/>
  <c r="E32" i="11"/>
  <c r="D32" i="11"/>
  <c r="G31" i="11"/>
  <c r="E31" i="11"/>
  <c r="D31" i="11"/>
  <c r="H31" i="11" s="1"/>
  <c r="G30" i="11"/>
  <c r="E30" i="11"/>
  <c r="D30" i="11"/>
  <c r="J30" i="11" s="1"/>
  <c r="G29" i="11"/>
  <c r="E29" i="11"/>
  <c r="D29" i="11"/>
  <c r="G28" i="11"/>
  <c r="E28" i="11"/>
  <c r="D28" i="11"/>
  <c r="I28" i="11" s="1"/>
  <c r="G27" i="11"/>
  <c r="E27" i="11"/>
  <c r="D27" i="11"/>
  <c r="H27" i="11" s="1"/>
  <c r="G26" i="11"/>
  <c r="E26" i="11"/>
  <c r="D26" i="11"/>
  <c r="G25" i="11"/>
  <c r="E25" i="11"/>
  <c r="D25" i="11"/>
  <c r="G24" i="11"/>
  <c r="E24" i="11"/>
  <c r="D24" i="11"/>
  <c r="G23" i="11"/>
  <c r="E23" i="11"/>
  <c r="D23" i="11"/>
  <c r="H23" i="11" s="1"/>
  <c r="G22" i="11"/>
  <c r="E22" i="11"/>
  <c r="D22" i="11"/>
  <c r="J22" i="11" s="1"/>
  <c r="G65" i="11"/>
  <c r="E65" i="11"/>
  <c r="D65" i="11"/>
  <c r="I65" i="11" s="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G60" i="11"/>
  <c r="E60" i="11"/>
  <c r="D60" i="11"/>
  <c r="H60" i="11" s="1"/>
  <c r="G59" i="11"/>
  <c r="E59" i="11"/>
  <c r="D59" i="11"/>
  <c r="G58" i="11"/>
  <c r="E58" i="11"/>
  <c r="D58" i="11"/>
  <c r="J58" i="11" s="1"/>
  <c r="G57" i="11"/>
  <c r="E57" i="11"/>
  <c r="D57" i="11"/>
  <c r="W50" i="64"/>
  <c r="F76" i="11"/>
  <c r="D70" i="11"/>
  <c r="J70" i="11" s="1"/>
  <c r="E70" i="11"/>
  <c r="G70" i="11"/>
  <c r="D71" i="11"/>
  <c r="H71" i="11" s="1"/>
  <c r="E71" i="11"/>
  <c r="G71" i="11"/>
  <c r="D72" i="11"/>
  <c r="J72" i="11" s="1"/>
  <c r="E72" i="11"/>
  <c r="G72" i="11"/>
  <c r="D69" i="11"/>
  <c r="J69" i="11" s="1"/>
  <c r="E69" i="11"/>
  <c r="G69" i="11"/>
  <c r="F34" i="11" l="1"/>
  <c r="H17" i="11"/>
  <c r="I17" i="11"/>
  <c r="J17" i="11"/>
  <c r="F35" i="11"/>
  <c r="I16" i="11"/>
  <c r="J16" i="11"/>
  <c r="J42" i="11"/>
  <c r="I41" i="11"/>
  <c r="J37" i="11"/>
  <c r="H38" i="11"/>
  <c r="I45" i="11"/>
  <c r="I39" i="11"/>
  <c r="J49" i="11"/>
  <c r="J41" i="11"/>
  <c r="H42" i="11"/>
  <c r="H43" i="11"/>
  <c r="J36" i="11"/>
  <c r="I43" i="11"/>
  <c r="H37" i="11"/>
  <c r="I38" i="11"/>
  <c r="J39" i="11"/>
  <c r="H41" i="11"/>
  <c r="I42" i="11"/>
  <c r="K42" i="11" s="1"/>
  <c r="I36" i="11"/>
  <c r="I40" i="11"/>
  <c r="J40" i="11"/>
  <c r="J45" i="11"/>
  <c r="H46" i="11"/>
  <c r="H47" i="11"/>
  <c r="I44" i="11"/>
  <c r="J44" i="11"/>
  <c r="I47" i="11"/>
  <c r="H45" i="11"/>
  <c r="I46" i="11"/>
  <c r="H48" i="11"/>
  <c r="H49" i="11"/>
  <c r="I49" i="11"/>
  <c r="I48" i="11"/>
  <c r="I54" i="11"/>
  <c r="I29" i="11"/>
  <c r="J33" i="11"/>
  <c r="I57" i="11"/>
  <c r="I61" i="11"/>
  <c r="I59" i="11"/>
  <c r="I63" i="11"/>
  <c r="I50" i="11"/>
  <c r="I32" i="11"/>
  <c r="I24" i="11"/>
  <c r="J26" i="11"/>
  <c r="I25" i="11"/>
  <c r="H20" i="11"/>
  <c r="H26" i="11"/>
  <c r="J21" i="11"/>
  <c r="H30" i="11"/>
  <c r="J54" i="11"/>
  <c r="H55" i="11"/>
  <c r="H56" i="11"/>
  <c r="I20" i="11"/>
  <c r="H22" i="11"/>
  <c r="H51" i="11"/>
  <c r="H52" i="11"/>
  <c r="J25" i="11"/>
  <c r="J29" i="11"/>
  <c r="J50" i="11"/>
  <c r="H21" i="11"/>
  <c r="J65" i="11"/>
  <c r="J24" i="11"/>
  <c r="H25" i="11"/>
  <c r="J28" i="11"/>
  <c r="H29" i="11"/>
  <c r="J32" i="11"/>
  <c r="H33" i="11"/>
  <c r="H34" i="11"/>
  <c r="I23" i="11"/>
  <c r="I27" i="11"/>
  <c r="I31" i="11"/>
  <c r="I35" i="11"/>
  <c r="I53" i="11"/>
  <c r="I22" i="11"/>
  <c r="J23" i="11"/>
  <c r="I26" i="11"/>
  <c r="J27" i="11"/>
  <c r="I30" i="11"/>
  <c r="J31" i="11"/>
  <c r="I34" i="11"/>
  <c r="J35" i="11"/>
  <c r="I52" i="11"/>
  <c r="J53" i="11"/>
  <c r="I56" i="11"/>
  <c r="J61" i="11"/>
  <c r="H62" i="11"/>
  <c r="H63" i="11"/>
  <c r="H24" i="11"/>
  <c r="H28" i="11"/>
  <c r="H32" i="11"/>
  <c r="I33" i="11"/>
  <c r="H50" i="11"/>
  <c r="I51" i="11"/>
  <c r="H54" i="11"/>
  <c r="I55" i="11"/>
  <c r="J57" i="11"/>
  <c r="H58" i="11"/>
  <c r="H59" i="11"/>
  <c r="I60" i="11"/>
  <c r="I64" i="11"/>
  <c r="J60" i="11"/>
  <c r="H57" i="11"/>
  <c r="I58" i="11"/>
  <c r="J59" i="11"/>
  <c r="H61" i="11"/>
  <c r="I62" i="11"/>
  <c r="J63" i="11"/>
  <c r="H65" i="11"/>
  <c r="J64" i="11"/>
  <c r="I72" i="11"/>
  <c r="J71" i="11"/>
  <c r="H72" i="11"/>
  <c r="I71" i="11"/>
  <c r="I70" i="11"/>
  <c r="H70" i="11"/>
  <c r="I69" i="11"/>
  <c r="H69" i="11"/>
  <c r="K71" i="11" l="1"/>
  <c r="K16" i="11"/>
  <c r="K17" i="11"/>
  <c r="K41" i="11"/>
  <c r="K38" i="11"/>
  <c r="K37" i="11"/>
  <c r="K49" i="11"/>
  <c r="K40" i="11"/>
  <c r="K47" i="11"/>
  <c r="K39" i="11"/>
  <c r="K36" i="11"/>
  <c r="K43" i="11"/>
  <c r="K48" i="11"/>
  <c r="K46" i="11"/>
  <c r="K44" i="11"/>
  <c r="K45" i="11"/>
  <c r="K62" i="11"/>
  <c r="K55" i="11"/>
  <c r="K56" i="11"/>
  <c r="K32" i="11"/>
  <c r="K29" i="11"/>
  <c r="K33" i="11"/>
  <c r="K61" i="11"/>
  <c r="K63" i="11"/>
  <c r="K26" i="11"/>
  <c r="K25" i="11"/>
  <c r="K20" i="11"/>
  <c r="K30" i="11"/>
  <c r="K21" i="11"/>
  <c r="K52" i="11"/>
  <c r="K27" i="11"/>
  <c r="K50" i="11"/>
  <c r="K54" i="11"/>
  <c r="K51" i="11"/>
  <c r="K22" i="11"/>
  <c r="K35" i="11"/>
  <c r="K31" i="11"/>
  <c r="K60" i="11"/>
  <c r="K28" i="11"/>
  <c r="K53" i="11"/>
  <c r="K23" i="11"/>
  <c r="K65" i="11"/>
  <c r="K59" i="11"/>
  <c r="K64" i="11"/>
  <c r="K24" i="11"/>
  <c r="K34" i="11"/>
  <c r="K58" i="11"/>
  <c r="K57" i="11"/>
  <c r="K72" i="11"/>
  <c r="K70" i="11"/>
  <c r="K69" i="11"/>
  <c r="D66" i="11" l="1"/>
  <c r="J66" i="11" s="1"/>
  <c r="E66" i="11"/>
  <c r="G66" i="11"/>
  <c r="F77" i="11"/>
  <c r="F75" i="11"/>
  <c r="F74" i="11"/>
  <c r="I66" i="11" l="1"/>
  <c r="H66" i="11"/>
  <c r="K66" i="11" l="1"/>
  <c r="G78" i="11" l="1"/>
  <c r="G79" i="11"/>
  <c r="G80" i="11"/>
  <c r="G81" i="11"/>
  <c r="D78" i="11"/>
  <c r="H78" i="11" s="1"/>
  <c r="E78" i="11"/>
  <c r="D79" i="11"/>
  <c r="J79" i="11" s="1"/>
  <c r="E79" i="11"/>
  <c r="D80" i="11"/>
  <c r="I80" i="11" s="1"/>
  <c r="E80" i="11"/>
  <c r="D81" i="11"/>
  <c r="H81" i="11" s="1"/>
  <c r="E81" i="11"/>
  <c r="D67" i="11"/>
  <c r="H67" i="11" s="1"/>
  <c r="E67" i="11"/>
  <c r="G67" i="11"/>
  <c r="D68" i="11"/>
  <c r="J68" i="11" s="1"/>
  <c r="E68" i="11"/>
  <c r="G68" i="11"/>
  <c r="J78" i="11" l="1"/>
  <c r="H80" i="11"/>
  <c r="I78" i="11"/>
  <c r="I79" i="11"/>
  <c r="J81" i="11"/>
  <c r="H79" i="11"/>
  <c r="I81" i="11"/>
  <c r="J80" i="11"/>
  <c r="I68" i="11"/>
  <c r="H68" i="11"/>
  <c r="J67" i="11"/>
  <c r="I67" i="11"/>
  <c r="K81" i="11" l="1"/>
  <c r="K79" i="11"/>
  <c r="K78" i="11"/>
  <c r="K80" i="11"/>
  <c r="K67" i="11"/>
  <c r="K68" i="11"/>
  <c r="D73" i="11" l="1"/>
  <c r="D74" i="11"/>
  <c r="D75" i="11"/>
  <c r="D76" i="11"/>
  <c r="D77" i="11"/>
  <c r="D19" i="11"/>
  <c r="H19" i="11" s="1"/>
  <c r="E19" i="11"/>
  <c r="G19" i="11"/>
  <c r="E7" i="64"/>
  <c r="D15" i="11"/>
  <c r="J15" i="11" s="1"/>
  <c r="E15" i="11"/>
  <c r="G15" i="11"/>
  <c r="J19" i="11" l="1"/>
  <c r="I19" i="11"/>
  <c r="I15" i="11"/>
  <c r="H15" i="11"/>
  <c r="K15" i="11" s="1"/>
  <c r="K19" i="11" l="1"/>
  <c r="W49" i="64" l="1"/>
  <c r="E73" i="11"/>
  <c r="G73" i="11"/>
  <c r="J74" i="11"/>
  <c r="E74" i="11"/>
  <c r="G74" i="11"/>
  <c r="J75" i="11"/>
  <c r="E75" i="11"/>
  <c r="G75" i="11"/>
  <c r="E76" i="11"/>
  <c r="G76" i="11"/>
  <c r="H77" i="11"/>
  <c r="E77" i="11"/>
  <c r="G77" i="11"/>
  <c r="D20" i="60"/>
  <c r="H73" i="11" l="1"/>
  <c r="H76" i="11"/>
  <c r="J77" i="11"/>
  <c r="J76" i="11"/>
  <c r="I74" i="11"/>
  <c r="H74" i="11"/>
  <c r="J73" i="11"/>
  <c r="I76" i="11"/>
  <c r="H75" i="11"/>
  <c r="I75" i="11"/>
  <c r="I77" i="11"/>
  <c r="I73" i="11"/>
  <c r="D14" i="11"/>
  <c r="J14" i="11" s="1"/>
  <c r="E14" i="11"/>
  <c r="G14" i="11"/>
  <c r="K19" i="60"/>
  <c r="D19" i="60"/>
  <c r="K74" i="11" l="1"/>
  <c r="K76" i="11"/>
  <c r="K77" i="11"/>
  <c r="K73" i="11"/>
  <c r="K75" i="11"/>
  <c r="H14" i="11"/>
  <c r="I14" i="11"/>
  <c r="K14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2" i="11"/>
  <c r="D83" i="11"/>
  <c r="H83" i="11" s="1"/>
  <c r="E8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3" i="11"/>
  <c r="I8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5" i="11"/>
  <c r="H86" i="11" s="1"/>
  <c r="I85" i="11"/>
  <c r="I86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7" i="11"/>
  <c r="I87" i="11"/>
  <c r="F364" i="29"/>
  <c r="F69" i="39"/>
  <c r="F72" i="39"/>
  <c r="F367" i="29"/>
  <c r="J82" i="11"/>
  <c r="K8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5" i="11" l="1"/>
  <c r="K86" i="11" s="1"/>
  <c r="K87" i="11" s="1"/>
  <c r="B8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5" i="11"/>
  <c r="J8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<sst xmlns="http://schemas.openxmlformats.org/spreadsheetml/2006/main" count="4759" uniqueCount="1635">
  <si>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</si>
  <si>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</si>
  <si>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</si>
  <si>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</si>
  <si>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</si>
  <si>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</si>
  <si>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</si>
  <si>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</si>
  <si>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</si>
  <si>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</si>
  <si>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</si>
  <si>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</si>
  <si>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</si>
  <si>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</si>
  <si>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</si>
  <si>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</si>
  <si>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</si>
  <si>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</si>
  <si>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</si>
  <si>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</si>
  <si>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</si>
  <si>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</si>
  <si>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</si>
  <si>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</si>
  <si>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</si>
  <si>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</si>
  <si>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</si>
  <si>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</si>
  <si>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</si>
  <si>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</si>
  <si>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</si>
  <si>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</si>
  <si>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</si>
  <si>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</si>
  <si>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</si>
  <si>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</si>
  <si>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</si>
  <si>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</si>
  <si>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</si>
  <si>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</si>
  <si>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</si>
  <si>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</si>
  <si>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</si>
  <si>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</si>
  <si>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</si>
  <si>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</si>
  <si>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</si>
  <si>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</si>
  <si>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</si>
  <si>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</si>
  <si>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</si>
  <si>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</si>
  <si>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</si>
  <si>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</si>
  <si>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</si>
  <si>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</si>
  <si>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</si>
  <si>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</si>
  <si>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</si>
  <si>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</si>
  <si>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</si>
  <si>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</si>
  <si>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</si>
  <si>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</si>
  <si>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</si>
  <si>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</si>
  <si>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</si>
  <si>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</si>
  <si>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</si>
  <si>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</si>
  <si>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</si>
  <si>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</si>
  <si>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</si>
  <si>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</si>
  <si>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</si>
  <si>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</si>
  <si>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</si>
  <si>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</si>
  <si>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</si>
  <si>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</si>
  <si>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</si>
  <si>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</si>
  <si>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</si>
  <si>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</si>
  <si>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</si>
  <si>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</si>
  <si>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</si>
  <si>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</si>
  <si>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</si>
  <si>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</si>
  <si>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</si>
  <si>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</si>
  <si>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</si>
  <si>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</si>
  <si>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</si>
  <si>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</si>
  <si>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</si>
  <si>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</si>
  <si>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</si>
  <si>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</si>
  <si>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</si>
  <si>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</si>
  <si>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</si>
  <si>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</si>
  <si>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</si>
  <si>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</si>
  <si>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</si>
  <si>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</si>
  <si>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</si>
  <si>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</si>
  <si>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</si>
  <si>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</si>
  <si>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</si>
  <si>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</si>
  <si>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</si>
  <si>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</si>
  <si>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</si>
  <si>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</si>
  <si>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</si>
  <si>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</si>
  <si>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</si>
  <si>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</si>
  <si>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</si>
  <si>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</si>
  <si>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</si>
  <si>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</si>
  <si>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</si>
  <si>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</si>
  <si>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</si>
  <si>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</si>
  <si>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</si>
  <si>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</si>
  <si>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</si>
  <si>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</si>
  <si>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</si>
  <si>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</si>
  <si>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</si>
  <si>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</si>
  <si>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</si>
  <si>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</si>
  <si>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</si>
  <si>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</si>
  <si>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</si>
  <si>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</si>
  <si>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</si>
  <si>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</si>
  <si>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</si>
  <si>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</si>
  <si>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</si>
  <si>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</si>
  <si>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</si>
  <si>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</si>
  <si>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</si>
  <si>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</si>
  <si>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</si>
  <si>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</si>
  <si>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</si>
  <si>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</si>
  <si>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</si>
  <si>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</si>
  <si>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</si>
  <si>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</si>
  <si>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</si>
  <si>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</si>
  <si>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</si>
  <si>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</si>
  <si>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</si>
  <si>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</si>
  <si>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</si>
  <si>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</si>
  <si>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</si>
  <si>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</si>
  <si>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</si>
  <si>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</si>
  <si>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</si>
  <si>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</si>
  <si>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</si>
  <si>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</si>
  <si>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</si>
  <si>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</si>
  <si>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</si>
  <si>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</si>
  <si>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</si>
  <si>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</si>
  <si>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</si>
  <si>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</si>
  <si>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</si>
  <si>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</si>
  <si>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</si>
  <si>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</si>
  <si>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</si>
  <si>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</si>
  <si>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</si>
  <si>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</si>
  <si>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</si>
  <si>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</si>
  <si>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</si>
  <si>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</si>
  <si>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</si>
  <si>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</si>
  <si>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</si>
  <si>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</si>
  <si>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</si>
  <si>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</si>
  <si>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</si>
  <si>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</si>
  <si>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</si>
  <si>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</si>
  <si>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</si>
  <si>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</si>
  <si>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</si>
  <si>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</si>
  <si>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</si>
  <si>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</si>
  <si>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</si>
  <si>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</si>
  <si>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</si>
  <si>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</si>
  <si>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</si>
  <si>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</si>
  <si>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</si>
  <si>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</si>
  <si>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</si>
  <si>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</si>
  <si>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</si>
  <si>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</si>
  <si>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</si>
  <si>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</si>
  <si>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</si>
  <si>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</si>
  <si>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</si>
  <si>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</si>
  <si>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</si>
  <si>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</si>
  <si>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</si>
  <si>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</si>
  <si>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</si>
  <si>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</si>
  <si>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</si>
  <si>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</si>
  <si>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</si>
  <si>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</si>
  <si>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</si>
  <si>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</si>
  <si>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</si>
  <si>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</si>
  <si>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</si>
  <si>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</si>
  <si>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</si>
  <si>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</si>
  <si>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</si>
  <si>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</si>
  <si>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</si>
  <si>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</si>
  <si>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</si>
  <si>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</si>
  <si>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</si>
  <si>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</si>
  <si>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</si>
  <si>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</si>
  <si>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</si>
  <si>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</si>
  <si>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</si>
  <si>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</si>
  <si>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</si>
  <si>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</si>
  <si>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</si>
  <si>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</si>
  <si>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</si>
  <si>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</si>
  <si>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</si>
  <si>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</si>
  <si>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</si>
  <si>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</si>
  <si>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</si>
  <si>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</si>
  <si>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</si>
  <si>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</si>
  <si>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</si>
  <si>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</si>
  <si>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</si>
  <si>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</si>
  <si>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</si>
  <si>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</si>
  <si>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</si>
  <si>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</si>
  <si>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</si>
  <si>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</si>
  <si>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</si>
  <si>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</si>
  <si>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</si>
  <si>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</si>
  <si>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</si>
  <si>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</si>
  <si>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</si>
  <si>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</si>
  <si>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</si>
  <si>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</si>
  <si>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</si>
  <si>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</si>
  <si>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</si>
  <si>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</si>
  <si>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</si>
  <si>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</si>
  <si>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</si>
  <si>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</si>
  <si>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</si>
  <si>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</si>
  <si>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</si>
  <si>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</si>
  <si>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</si>
  <si>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</si>
  <si>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</si>
  <si>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</si>
  <si>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</si>
  <si>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</si>
  <si>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</si>
  <si>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</si>
  <si>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</si>
  <si>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</si>
  <si>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</si>
  <si>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</si>
  <si>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</si>
  <si>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</si>
  <si>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</si>
  <si>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</si>
  <si>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</si>
  <si>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</si>
  <si>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</si>
  <si>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</si>
  <si>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</si>
  <si>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</si>
  <si>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</si>
  <si>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</si>
  <si>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</si>
  <si>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</si>
  <si>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</si>
  <si>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</si>
  <si>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</si>
  <si>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</si>
  <si>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</si>
  <si>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</si>
  <si>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</si>
  <si>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</si>
  <si>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</si>
  <si>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</si>
  <si>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</si>
  <si>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</si>
  <si>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</si>
  <si>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</si>
  <si>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</si>
  <si>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</si>
  <si>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</si>
  <si>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</si>
  <si>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</si>
  <si>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</si>
  <si>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</si>
  <si>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</si>
  <si>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</si>
  <si>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</si>
  <si>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</si>
  <si>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</si>
  <si>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</si>
  <si>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</si>
  <si>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</si>
  <si>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</si>
  <si>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</si>
  <si>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</si>
  <si>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</si>
  <si>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</si>
  <si>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</si>
  <si>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</si>
  <si>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</si>
  <si>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</si>
  <si>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</si>
  <si>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</si>
  <si>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</si>
  <si>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</si>
  <si>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</si>
  <si>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</si>
  <si>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</si>
  <si>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</si>
  <si>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</si>
  <si>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</si>
  <si>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</si>
  <si>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</si>
  <si>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</si>
  <si>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</si>
  <si>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</si>
  <si>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</si>
  <si>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</si>
  <si>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</si>
  <si>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</si>
  <si>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</si>
  <si>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</si>
  <si>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</si>
  <si>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</si>
  <si>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</si>
  <si>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</si>
  <si>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</si>
  <si>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</si>
  <si>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</si>
  <si>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</si>
  <si>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</si>
  <si>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</si>
  <si>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</si>
  <si>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</si>
  <si>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</si>
  <si>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</si>
  <si>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</si>
  <si>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</si>
  <si>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</si>
  <si>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</si>
  <si>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</si>
  <si>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</si>
  <si>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</si>
  <si>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</si>
  <si>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</si>
  <si>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</si>
  <si>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</si>
  <si>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</si>
  <si>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</si>
  <si>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</si>
  <si>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</si>
  <si>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</si>
  <si>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</si>
  <si>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</si>
  <si>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</si>
  <si>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</si>
  <si>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</si>
  <si>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</si>
  <si>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</si>
  <si>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</si>
  <si>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</si>
  <si>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</si>
  <si>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</si>
  <si>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</si>
  <si>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</si>
  <si>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</si>
  <si>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</si>
  <si>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</si>
  <si>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</si>
  <si>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</si>
  <si>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</si>
  <si>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</si>
  <si>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</si>
  <si>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</si>
  <si>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</si>
  <si>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</si>
  <si>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</si>
  <si>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</si>
  <si>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</si>
  <si>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</si>
  <si>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</si>
  <si>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</si>
  <si>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</si>
  <si>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</si>
  <si>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</si>
  <si>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</si>
  <si>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</si>
  <si>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</si>
  <si>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</si>
  <si>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</si>
  <si>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</si>
  <si>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</si>
  <si>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</si>
  <si>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</si>
  <si>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</si>
  <si>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</si>
  <si>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</si>
  <si>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</si>
  <si>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</si>
  <si>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</si>
  <si>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</si>
  <si>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</si>
  <si>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</si>
  <si>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</si>
  <si>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</si>
  <si>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</si>
  <si>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</si>
  <si>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</si>
  <si>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</si>
  <si>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</si>
  <si>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</si>
  <si>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</si>
  <si>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</si>
  <si>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</si>
  <si>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</si>
  <si>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</si>
  <si>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</si>
  <si>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</si>
  <si>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</si>
  <si>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</si>
  <si>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</si>
  <si>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</si>
  <si>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</si>
  <si>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</si>
  <si>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</si>
  <si>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</si>
  <si>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</si>
  <si>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</si>
  <si>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</si>
  <si>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</si>
  <si>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</si>
  <si>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</si>
  <si>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</si>
  <si>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</si>
  <si>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</si>
  <si>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</si>
  <si>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</si>
  <si>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</si>
  <si>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</si>
  <si>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</si>
  <si>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</si>
  <si>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</si>
  <si>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</si>
  <si>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</si>
  <si>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</si>
  <si>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</si>
  <si>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</si>
  <si>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</si>
  <si>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</si>
  <si>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</si>
  <si>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</si>
  <si>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</si>
  <si>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</si>
  <si>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</si>
  <si>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</si>
  <si>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</si>
  <si>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</si>
  <si>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</si>
  <si>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</si>
  <si>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</si>
  <si>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</si>
  <si>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</si>
  <si>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</si>
  <si>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</si>
  <si>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</si>
  <si>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</si>
  <si>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</si>
  <si>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</si>
  <si>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</si>
  <si>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</si>
  <si>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</si>
  <si>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</si>
  <si>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</si>
  <si>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</si>
  <si>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</si>
  <si>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</si>
  <si>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</si>
  <si>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</si>
  <si>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</si>
  <si>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</si>
  <si>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</si>
  <si>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</si>
  <si>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</si>
  <si>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</si>
  <si>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</si>
  <si>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</si>
  <si>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</si>
  <si>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</si>
  <si>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</si>
  <si>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</si>
  <si>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</si>
  <si>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</si>
  <si>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</si>
  <si>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</si>
  <si>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</si>
  <si>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</si>
  <si>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</si>
  <si>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</si>
  <si>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</si>
  <si>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</si>
  <si>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</si>
  <si>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</si>
  <si>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</si>
  <si>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</si>
  <si>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</si>
  <si>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</si>
  <si>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</si>
  <si>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</si>
  <si>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</si>
  <si>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</si>
  <si>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</si>
  <si>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</si>
  <si>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</si>
  <si>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</si>
  <si>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</si>
  <si>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</si>
  <si>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</si>
  <si>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</si>
  <si>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</si>
  <si>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</si>
  <si>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</si>
  <si>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</si>
  <si>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</si>
  <si>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</si>
  <si>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</si>
  <si>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</si>
  <si>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</si>
  <si>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</si>
  <si>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</si>
  <si>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</si>
  <si>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</si>
  <si>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</si>
  <si>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</si>
  <si>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</si>
  <si>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</si>
  <si>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</si>
  <si>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</si>
  <si>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</si>
  <si>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</si>
  <si>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</si>
  <si>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</si>
  <si>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</si>
  <si>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</si>
  <si>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</si>
  <si>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</si>
  <si>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</si>
  <si>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</si>
  <si>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</si>
  <si>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</si>
  <si>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</si>
  <si>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</si>
  <si>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</si>
  <si>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</si>
  <si>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</si>
  <si>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</si>
  <si>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</si>
  <si>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</si>
  <si>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</si>
  <si>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</si>
  <si>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</si>
  <si>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</si>
  <si>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</si>
  <si>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</si>
  <si>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</si>
  <si>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</si>
  <si>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</si>
  <si>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</si>
  <si>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</si>
  <si>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</si>
  <si>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</si>
  <si>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</si>
  <si>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</si>
  <si>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</si>
  <si>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</si>
  <si>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</si>
  <si>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</si>
  <si>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</si>
  <si>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</si>
  <si>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</si>
  <si>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</si>
  <si>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</si>
  <si>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</si>
  <si>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</si>
  <si>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</si>
  <si>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</si>
  <si>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</si>
  <si>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</si>
  <si>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</si>
  <si>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</si>
  <si>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</si>
  <si>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</si>
  <si>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</si>
  <si>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</si>
  <si>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</si>
  <si>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</si>
  <si>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</si>
  <si>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</si>
  <si>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</si>
  <si>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</si>
  <si>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</si>
  <si>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</si>
  <si>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</si>
  <si>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</si>
  <si>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</si>
  <si>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</si>
  <si>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</si>
  <si>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</si>
  <si>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</si>
  <si>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</si>
  <si>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</si>
  <si>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</si>
  <si>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</si>
  <si>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</si>
  <si>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</si>
  <si>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</si>
  <si>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</si>
  <si>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</si>
  <si>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</si>
  <si>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</si>
  <si>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</si>
  <si>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</si>
  <si>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</si>
  <si>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</si>
  <si>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</si>
  <si>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</si>
  <si>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</si>
  <si>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</si>
  <si>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</si>
  <si>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</si>
  <si>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</si>
  <si>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</si>
  <si>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</si>
  <si>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</si>
  <si>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</si>
  <si>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</si>
  <si>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</si>
  <si>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</si>
  <si>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</si>
  <si>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</si>
  <si>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</si>
  <si>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</si>
  <si>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</si>
  <si>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</si>
  <si>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</si>
  <si>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</si>
  <si>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</si>
  <si>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</si>
  <si>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</si>
  <si>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</si>
  <si>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</si>
  <si>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</si>
  <si>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</si>
  <si>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</si>
  <si>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</si>
  <si>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</si>
  <si>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</si>
  <si>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</si>
  <si>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</si>
  <si>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</si>
  <si>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</si>
  <si>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</si>
  <si>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</si>
  <si>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</si>
  <si>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</si>
  <si>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</si>
  <si>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</si>
  <si>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</si>
  <si>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</si>
  <si>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</si>
  <si>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</si>
  <si>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</si>
  <si>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</si>
  <si>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</si>
  <si>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</si>
  <si>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</si>
  <si>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</si>
  <si>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</si>
  <si>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</si>
  <si>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</si>
  <si>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</si>
  <si>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</si>
  <si>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</si>
  <si>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</si>
  <si>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</si>
  <si>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</si>
  <si>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</si>
  <si>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</si>
  <si>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</si>
  <si>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</si>
  <si>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</si>
  <si>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</si>
  <si>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</si>
  <si>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</si>
  <si>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</si>
  <si>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</si>
  <si>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</si>
  <si>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</si>
  <si>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</si>
  <si>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</si>
  <si>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</si>
  <si>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</si>
  <si>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</si>
  <si>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</si>
  <si>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</si>
  <si>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</si>
  <si>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</si>
  <si>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</si>
  <si>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</si>
  <si>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</si>
  <si>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</si>
  <si>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</si>
  <si>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</si>
  <si>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</si>
  <si>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</si>
  <si>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</si>
  <si>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</si>
  <si>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</si>
  <si>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</si>
  <si>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</si>
  <si>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</si>
  <si>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</si>
  <si>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</si>
  <si>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</si>
  <si>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</si>
  <si>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</si>
  <si>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</si>
  <si>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</si>
  <si>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</si>
  <si>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</si>
  <si>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</si>
  <si>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</si>
  <si>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</si>
  <si>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</si>
  <si>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</si>
  <si>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</si>
  <si>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</si>
  <si>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</si>
  <si>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</si>
  <si>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</si>
  <si>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</si>
  <si>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</si>
  <si>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</si>
  <si>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</si>
  <si>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</si>
  <si>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</si>
  <si>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</si>
  <si>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</si>
  <si>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</si>
  <si>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</si>
  <si>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</si>
  <si>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</si>
  <si>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</si>
  <si>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</si>
  <si>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</si>
  <si>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</si>
  <si>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</si>
  <si>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</si>
  <si>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</si>
  <si>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</si>
  <si>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</si>
  <si>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</si>
  <si>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</si>
  <si>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</si>
  <si>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</si>
  <si>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</si>
  <si>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</si>
  <si>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</si>
  <si>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</si>
  <si>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</si>
  <si>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</si>
  <si>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</si>
  <si>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</si>
  <si>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</si>
  <si>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</si>
  <si>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</si>
  <si>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</si>
  <si>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</si>
  <si>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</si>
  <si>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</si>
  <si>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</si>
  <si>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</si>
  <si>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</si>
  <si>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</si>
  <si>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</si>
  <si>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</si>
  <si>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</si>
  <si>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</si>
  <si>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</si>
  <si>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</si>
  <si>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</si>
  <si>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</si>
  <si>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</si>
  <si>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</si>
  <si>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</si>
  <si>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</si>
  <si>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</si>
  <si>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</si>
  <si>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</si>
  <si>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</si>
  <si>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</si>
  <si>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</si>
  <si>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</si>
  <si>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</si>
  <si>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</si>
  <si>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</si>
  <si>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</si>
  <si>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</si>
  <si>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</si>
  <si>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</si>
  <si>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</si>
  <si>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</si>
  <si>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</si>
  <si>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</si>
  <si>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</si>
  <si>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</si>
  <si>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</si>
  <si>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</si>
  <si>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</si>
  <si>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</si>
  <si>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</si>
  <si>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</si>
  <si>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</si>
  <si>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</si>
  <si>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</si>
  <si>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</si>
  <si>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</si>
  <si>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</si>
  <si>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</si>
  <si>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</si>
  <si>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</si>
  <si>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</si>
  <si>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</si>
  <si>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</si>
  <si>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</si>
  <si>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</si>
  <si>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</si>
  <si>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</si>
  <si>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</si>
  <si>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</si>
  <si>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</si>
  <si>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</si>
  <si>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</si>
  <si>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</si>
  <si>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</si>
  <si>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</si>
  <si>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</si>
  <si>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</si>
  <si>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</si>
  <si>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</si>
  <si>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</si>
  <si>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</si>
  <si>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</si>
  <si>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</si>
  <si>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</si>
  <si>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</si>
  <si>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</si>
  <si>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</si>
  <si>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</si>
  <si>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</si>
  <si>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</si>
  <si>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</si>
  <si>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</si>
  <si>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</si>
  <si>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</si>
  <si>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</si>
  <si>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</si>
  <si>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</si>
  <si>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</si>
  <si>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</si>
  <si>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</si>
  <si>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</si>
  <si>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</si>
  <si>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</si>
  <si>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</si>
  <si>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</si>
  <si>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</si>
  <si>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</si>
  <si>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</si>
  <si>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</si>
  <si>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</si>
  <si>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</si>
  <si>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</si>
  <si>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</si>
  <si>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</si>
  <si>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</si>
  <si>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</si>
  <si>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</si>
  <si>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</si>
  <si>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</si>
  <si>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</si>
  <si>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</si>
  <si>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</si>
  <si>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</si>
  <si>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</si>
  <si>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</si>
  <si>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</si>
  <si>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</si>
  <si>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</si>
  <si>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</si>
  <si>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</si>
  <si>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</si>
  <si>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</si>
  <si>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</si>
  <si>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</si>
  <si>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</si>
  <si>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</si>
  <si>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</si>
  <si>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</si>
  <si>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</si>
  <si>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</si>
  <si>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</si>
  <si>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</si>
  <si>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</si>
  <si>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</si>
  <si>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</si>
  <si>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</si>
  <si>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</si>
  <si>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</si>
  <si>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</si>
  <si>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</si>
  <si>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</si>
  <si>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</si>
  <si>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</si>
  <si>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</si>
  <si>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</si>
  <si>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</si>
  <si>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</si>
  <si>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</si>
  <si>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</si>
  <si>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</si>
  <si>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</si>
  <si>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</si>
  <si>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</si>
  <si>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</si>
  <si>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</si>
  <si>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</si>
  <si>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</si>
  <si>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</si>
  <si>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</si>
  <si>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</si>
  <si>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</si>
  <si>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</si>
  <si>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</si>
  <si>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</si>
  <si>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</si>
  <si>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</si>
  <si>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</si>
  <si>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</si>
  <si>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</si>
  <si>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</si>
  <si>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</si>
  <si>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</si>
  <si>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</si>
  <si>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</si>
  <si>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</si>
  <si>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</si>
  <si>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</si>
  <si>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</si>
  <si>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</si>
  <si>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</si>
  <si>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</si>
  <si>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</si>
  <si>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</si>
  <si>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</si>
  <si>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</si>
  <si>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</si>
  <si>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</si>
  <si>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</si>
  <si>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</si>
  <si>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</si>
  <si>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</si>
  <si>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</si>
  <si>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</si>
  <si>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</si>
  <si>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</si>
  <si>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</si>
  <si>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</si>
  <si>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</si>
  <si>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</si>
  <si>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</si>
  <si>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</si>
  <si>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</si>
  <si>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</si>
  <si>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</si>
  <si>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</si>
  <si>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</si>
  <si>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</si>
  <si>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</si>
  <si>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</si>
  <si>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</si>
  <si>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</si>
  <si>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</si>
  <si>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</si>
  <si>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</si>
  <si>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</si>
  <si>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</si>
  <si>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</si>
  <si>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</si>
  <si>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</si>
  <si>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</si>
  <si>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</si>
  <si>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</si>
  <si>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</si>
  <si>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</si>
  <si>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</si>
  <si>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</si>
  <si>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</si>
  <si>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</si>
  <si>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</si>
  <si>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</si>
  <si>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</si>
  <si>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</si>
  <si>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</si>
  <si>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</si>
  <si>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</si>
  <si>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</si>
  <si>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</si>
  <si>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</si>
  <si>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</si>
  <si>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</si>
  <si>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</si>
  <si>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</si>
  <si>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</si>
  <si>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</si>
  <si>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</si>
  <si>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</si>
  <si>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</si>
  <si>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</si>
  <si>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</si>
  <si>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</si>
  <si>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</si>
  <si>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</si>
  <si>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</si>
  <si>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</si>
  <si>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</si>
  <si>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</si>
  <si>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</si>
  <si>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</si>
  <si>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</si>
  <si>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</si>
  <si>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</si>
  <si>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</si>
  <si>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</si>
  <si>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</si>
  <si>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</si>
  <si>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</si>
  <si>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</si>
  <si>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</si>
  <si>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</si>
  <si>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</si>
  <si>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</si>
  <si>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</si>
  <si>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</si>
  <si>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</si>
  <si>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</si>
  <si>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</si>
  <si>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</si>
  <si>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</si>
  <si>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</si>
  <si>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</si>
  <si>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</si>
  <si>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</si>
  <si>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</si>
  <si>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</si>
  <si>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</si>
  <si>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</si>
  <si>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</si>
  <si>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</si>
  <si>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</si>
  <si>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</si>
  <si>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</si>
  <si>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</si>
  <si>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</si>
  <si>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</si>
  <si>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</si>
  <si>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</si>
  <si>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</si>
  <si>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</si>
  <si>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</si>
  <si>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</si>
  <si>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</si>
  <si>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</si>
  <si>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</si>
  <si>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</si>
  <si>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</si>
  <si>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</si>
  <si>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</si>
  <si>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</si>
  <si>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</si>
  <si>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</si>
  <si>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</si>
  <si>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</si>
  <si>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</si>
  <si>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</si>
  <si>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</si>
  <si>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</si>
  <si>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</si>
  <si>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</si>
  <si>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</si>
  <si>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</si>
  <si>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</si>
  <si>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</si>
  <si>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</si>
  <si>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</si>
  <si>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</si>
  <si>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</si>
  <si>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</si>
  <si>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</si>
  <si>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</si>
  <si>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</si>
  <si>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</si>
  <si>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</si>
  <si>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</si>
  <si>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</si>
  <si>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</si>
  <si>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</si>
  <si>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</si>
  <si>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</si>
  <si>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</si>
  <si>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</si>
  <si>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</si>
  <si>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</si>
  <si>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</si>
  <si>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</si>
  <si>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</si>
  <si>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</si>
  <si>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</si>
  <si>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</si>
  <si>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</si>
  <si>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</si>
  <si>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</si>
  <si>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</si>
  <si>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</si>
  <si>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</si>
  <si>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</si>
  <si>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</si>
  <si>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</si>
  <si>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</si>
  <si>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</si>
  <si>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</si>
  <si>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</si>
  <si>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</si>
  <si>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</si>
  <si>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</si>
  <si>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</si>
  <si>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</si>
  <si>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</si>
  <si>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</si>
  <si>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</si>
  <si>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</si>
  <si>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</si>
  <si>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</si>
  <si>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</si>
  <si>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</si>
  <si>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</si>
  <si>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</si>
  <si>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</si>
  <si>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</si>
  <si>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</si>
  <si>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</si>
  <si>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</si>
  <si>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</si>
  <si>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</si>
  <si>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</si>
  <si>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</si>
  <si>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</si>
  <si>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</si>
  <si>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</si>
  <si>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</si>
  <si>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</si>
  <si>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</si>
  <si>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</si>
  <si>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</si>
  <si>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</si>
  <si>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</si>
  <si>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</si>
  <si>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</si>
  <si>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</si>
  <si>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</si>
  <si>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</si>
  <si>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</si>
  <si>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</si>
  <si>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</si>
  <si>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</si>
  <si>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</si>
  <si>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</si>
  <si>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</si>
  <si>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</si>
  <si>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</si>
  <si>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</si>
  <si>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</si>
  <si>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</si>
  <si>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</si>
  <si>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</si>
  <si>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</si>
  <si>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</si>
  <si>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</si>
  <si>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</si>
  <si>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</si>
  <si>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</si>
  <si>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</si>
  <si>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</si>
  <si>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</si>
  <si>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</si>
  <si>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</si>
  <si>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</si>
  <si>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</si>
  <si>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</si>
  <si>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</si>
  <si>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</si>
  <si>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</si>
  <si>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</si>
  <si>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</si>
  <si>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</si>
  <si>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</si>
  <si>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</si>
  <si>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</si>
  <si>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</si>
  <si>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</si>
  <si>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</si>
  <si>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</si>
  <si>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</si>
  <si>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</si>
  <si>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</si>
  <si>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</si>
  <si>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</si>
  <si>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</si>
  <si>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</si>
  <si>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</si>
  <si>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</si>
  <si>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</si>
  <si>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</si>
  <si>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</si>
  <si>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</si>
  <si>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</si>
  <si>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</si>
  <si>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</si>
  <si>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</si>
  <si>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</si>
  <si>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</si>
  <si>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</si>
  <si>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</si>
  <si>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</si>
  <si>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</si>
  <si>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</si>
  <si>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</si>
  <si>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</si>
  <si>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</si>
  <si>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</si>
  <si>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</si>
  <si>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</si>
  <si>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</si>
  <si>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</si>
  <si>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</si>
  <si>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</si>
  <si>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</si>
  <si>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</si>
  <si>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</si>
  <si>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</si>
  <si>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</si>
  <si>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</si>
  <si>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</si>
  <si>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</si>
  <si>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</si>
  <si>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</si>
  <si>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</si>
  <si>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</si>
  <si>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</si>
  <si>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</si>
  <si>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</si>
  <si>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</si>
  <si>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</si>
  <si>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</si>
  <si>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</si>
  <si>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</si>
  <si>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</si>
  <si>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</si>
  <si>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</si>
  <si>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</si>
  <si>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</si>
  <si>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</si>
  <si>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</si>
  <si>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</si>
  <si>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</si>
  <si>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</si>
  <si>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</si>
  <si>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</si>
  <si>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</si>
  <si>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</si>
  <si>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</si>
  <si>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</si>
  <si>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</si>
  <si>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</si>
  <si>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</si>
  <si>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</si>
  <si>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</si>
  <si>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</si>
  <si>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</si>
  <si>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</si>
  <si>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</si>
  <si>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</si>
  <si>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</si>
  <si>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</si>
  <si>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</si>
  <si>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</si>
  <si>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</si>
  <si>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</si>
  <si>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</si>
  <si>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</si>
  <si>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</si>
  <si>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</si>
  <si>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</si>
  <si>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</si>
  <si>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</si>
  <si>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</si>
  <si>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</si>
  <si>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</si>
  <si>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</si>
  <si>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</si>
  <si>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</si>
  <si>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</si>
  <si>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</si>
  <si>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</si>
  <si>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</si>
  <si>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</si>
  <si>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</si>
  <si>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</si>
  <si>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</si>
  <si>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</si>
  <si>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</si>
  <si>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</si>
  <si>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</si>
  <si>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</si>
  <si>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</si>
  <si>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</si>
  <si>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</si>
  <si>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</si>
  <si>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</si>
  <si>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</si>
  <si>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</si>
  <si>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</si>
  <si>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</si>
  <si>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</si>
  <si>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</si>
  <si>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</si>
  <si>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</si>
  <si>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</si>
  <si>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</si>
  <si>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</si>
  <si>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</si>
  <si>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</si>
  <si>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</si>
  <si>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</si>
  <si>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</si>
  <si>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</si>
  <si>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</si>
  <si>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</si>
  <si>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</si>
  <si>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</si>
  <si>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</si>
  <si>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</si>
  <si>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</si>
  <si>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</si>
  <si>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</si>
  <si>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</si>
  <si>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</si>
  <si>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</si>
  <si>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</si>
  <si>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</si>
  <si>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</si>
  <si>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</si>
  <si>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</si>
  <si>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</si>
  <si>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</si>
  <si>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</si>
  <si>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</si>
  <si>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</si>
  <si>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</si>
  <si>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</si>
  <si>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</si>
  <si>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</si>
  <si>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</si>
  <si>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</si>
  <si>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</si>
  <si>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</si>
  <si>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</si>
  <si>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</si>
  <si>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</si>
  <si>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</si>
  <si>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</si>
  <si>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</si>
  <si>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</si>
  <si>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</si>
  <si>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</si>
  <si>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</si>
  <si>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</si>
  <si>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</si>
  <si>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</si>
  <si>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</si>
  <si>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</si>
  <si>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</si>
  <si>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</si>
  <si>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</si>
  <si>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</si>
  <si>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</si>
  <si>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</si>
  <si>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</si>
  <si>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</si>
  <si>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</si>
  <si>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</si>
  <si>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</si>
  <si>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</si>
  <si>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</si>
  <si>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</si>
  <si>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</si>
  <si>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</si>
  <si>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</si>
  <si>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</si>
  <si>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</si>
  <si>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</si>
  <si>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</si>
  <si>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</si>
  <si>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</si>
  <si>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</si>
  <si>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</si>
  <si>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</si>
  <si>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</si>
  <si>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</si>
  <si>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</si>
  <si>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</si>
  <si>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</si>
  <si>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</si>
  <si>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</si>
  <si>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</si>
  <si>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</si>
  <si>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</si>
  <si>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</si>
  <si>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</si>
  <si>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</si>
  <si>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</si>
  <si>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</si>
  <si>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</si>
  <si>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</si>
  <si>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</si>
  <si>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</si>
  <si>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</si>
  <si>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</si>
  <si>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</si>
  <si>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</si>
  <si>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</si>
  <si>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</si>
  <si>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</si>
  <si>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</si>
  <si>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</si>
  <si>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</si>
  <si>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</si>
  <si>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</si>
  <si>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</si>
  <si>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</si>
  <si>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</si>
  <si>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</si>
  <si>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</si>
  <si>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</si>
  <si>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</si>
  <si>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</si>
  <si>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</si>
  <si>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</si>
  <si>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</si>
  <si>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</si>
  <si>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</si>
  <si>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</si>
  <si>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</si>
  <si>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</si>
  <si>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</si>
  <si>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</si>
  <si>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</si>
  <si>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</si>
  <si>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</si>
  <si>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</si>
  <si>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</si>
  <si>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</si>
  <si>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</si>
  <si>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</si>
  <si>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</si>
  <si>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</si>
  <si>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</si>
  <si>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</si>
  <si>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</si>
  <si>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</si>
  <si>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</si>
  <si>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</si>
  <si>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</si>
  <si>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</si>
  <si>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</si>
  <si>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</si>
  <si>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</si>
  <si>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</si>
  <si>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</si>
  <si>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</si>
  <si>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</si>
  <si>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</si>
  <si>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</si>
  <si>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</si>
  <si>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</si>
  <si>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</si>
  <si>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</si>
  <si>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</si>
  <si>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</si>
  <si>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</si>
  <si>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</si>
  <si>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</si>
  <si>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</si>
  <si>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</si>
  <si>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</si>
  <si>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</si>
  <si>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</si>
  <si>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</si>
  <si>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</si>
  <si>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</si>
  <si>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</si>
  <si>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</si>
  <si>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</si>
  <si>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</si>
  <si>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</si>
  <si>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</si>
  <si>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</si>
  <si>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</si>
  <si>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</si>
  <si>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</si>
  <si>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</si>
  <si>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</si>
  <si>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</si>
  <si>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</si>
  <si>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</si>
  <si>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</si>
  <si>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</si>
  <si>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</si>
  <si>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</si>
  <si>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</si>
  <si>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</si>
  <si>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</si>
  <si>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</si>
  <si>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</si>
  <si>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</si>
  <si>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 xml:space="preserve">Pemasangan APP </t>
  </si>
  <si>
    <t>KONSTRUKSI JARINGAN 3 PHASE</t>
  </si>
  <si>
    <t>CE1-3</t>
  </si>
  <si>
    <t>BTG</t>
  </si>
  <si>
    <t>PEMBONGKARAN</t>
  </si>
  <si>
    <t>CJ6-T</t>
  </si>
  <si>
    <t>CJ5-T</t>
  </si>
  <si>
    <t>CM2-12</t>
  </si>
  <si>
    <t>CM2-12A</t>
  </si>
  <si>
    <t>NFA2X 2X70+N50</t>
  </si>
  <si>
    <t>C9-200</t>
  </si>
  <si>
    <t>KOORDINAT :-6.898438, 110.640445</t>
  </si>
  <si>
    <t>KOST TRI WAHYU BUWONO</t>
  </si>
  <si>
    <t>R1T</t>
  </si>
  <si>
    <t>DS TEMBIRING</t>
  </si>
  <si>
    <t>F1-2</t>
  </si>
  <si>
    <t>Daya 1.300 VA</t>
  </si>
  <si>
    <t>CE1-2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</si>
</sst>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7"/>
    <xf numFmtId="0" fontId="90" fillId="0" borderId="98"/>
    <xf numFmtId="166" fontId="23" fillId="0" borderId="0" applyFont="0" applyFill="0" applyBorder="0" applyAlignment="0" applyProtection="0"/>
  </cellStyleXfs>
  <cellXfs count="710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0" xfId="2670" applyFont="1" applyFill="1" applyBorder="1" applyAlignment="1">
      <alignment horizontal="left" vertical="center"/>
    </xf>
    <xf numFmtId="0" fontId="162" fillId="39" borderId="81" xfId="2670" applyFont="1" applyFill="1" applyBorder="1" applyAlignment="1">
      <alignment horizontal="center"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79" xfId="2670" applyFont="1" applyFill="1" applyBorder="1" applyAlignment="1">
      <alignment horizontal="center" vertical="center"/>
    </xf>
    <xf numFmtId="0" fontId="162" fillId="39" borderId="85" xfId="2670" applyFont="1" applyFill="1" applyBorder="1" applyAlignment="1">
      <alignment horizontal="left" vertical="center"/>
    </xf>
    <xf numFmtId="0" fontId="162" fillId="39" borderId="86" xfId="2670" applyFont="1" applyFill="1" applyBorder="1" applyAlignment="1">
      <alignment horizontal="center" vertical="center"/>
    </xf>
    <xf numFmtId="43" fontId="143" fillId="40" borderId="82" xfId="2672" applyFont="1" applyFill="1" applyBorder="1" applyAlignment="1" applyProtection="1">
      <alignment horizontal="right" vertical="center" wrapText="1"/>
      <protection locked="0"/>
    </xf>
    <xf numFmtId="43" fontId="143" fillId="40" borderId="84" xfId="2672" applyFont="1" applyFill="1" applyBorder="1" applyAlignment="1" applyProtection="1">
      <alignment horizontal="right" vertical="center"/>
      <protection locked="0"/>
    </xf>
    <xf numFmtId="168" fontId="143" fillId="40" borderId="84" xfId="2672" applyNumberFormat="1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1" xfId="2673" applyFont="1" applyFill="1" applyBorder="1" applyAlignment="1">
      <alignment vertical="center" wrapText="1"/>
    </xf>
    <xf numFmtId="0" fontId="149" fillId="43" borderId="91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5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5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96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17" fillId="33" borderId="0" xfId="0" applyFont="1" applyFill="1" applyAlignment="1">
      <alignment vertical="center" wrapText="1"/>
    </xf>
    <xf numFmtId="0" fontId="117" fillId="33" borderId="37" xfId="0" applyFont="1" applyFill="1" applyBorder="1" applyAlignment="1">
      <alignment vertical="center" wrapText="1"/>
    </xf>
    <xf numFmtId="0" fontId="117" fillId="33" borderId="44" xfId="0" applyFont="1" applyFill="1" applyBorder="1" applyAlignment="1">
      <alignment vertical="center" wrapText="1"/>
    </xf>
    <xf numFmtId="0" fontId="117" fillId="33" borderId="45" xfId="0" applyFont="1" applyFill="1" applyBorder="1" applyAlignment="1">
      <alignment vertical="center" wrapText="1"/>
    </xf>
    <xf numFmtId="49" fontId="94" fillId="33" borderId="60" xfId="0" applyNumberFormat="1" applyFont="1" applyFill="1" applyBorder="1" applyAlignment="1">
      <alignment horizontal="left" vertical="center"/>
    </xf>
    <xf numFmtId="0" fontId="122" fillId="0" borderId="69" xfId="1450" applyFont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4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2" xfId="2673" applyNumberFormat="1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66" fillId="41" borderId="90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0" fontId="166" fillId="42" borderId="90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2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43" fontId="156" fillId="0" borderId="0" xfId="1614" applyNumberFormat="1" applyFont="1" applyAlignment="1">
      <alignment horizontal="left" vertical="top" wrapText="1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7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18" xfId="0" applyFont="1" applyFill="1" applyBorder="1" applyAlignment="1">
      <alignment horizontal="center" vertical="center" wrapText="1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97</xdr:row>
      <xdr:rowOff>81642</xdr:rowOff>
    </xdr:from>
    <xdr:to>
      <xdr:col>12</xdr:col>
      <xdr:colOff>41108</xdr:colOff>
      <xdr:row>100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151087</xdr:colOff>
      <xdr:row>26</xdr:row>
      <xdr:rowOff>118242</xdr:rowOff>
    </xdr:from>
    <xdr:to>
      <xdr:col>14</xdr:col>
      <xdr:colOff>156482</xdr:colOff>
      <xdr:row>32</xdr:row>
      <xdr:rowOff>19518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7C6AB68-30AC-96F0-7385-3365C2B4F5AF}"/>
            </a:ext>
          </a:extLst>
        </xdr:cNvPr>
        <xdr:cNvCxnSpPr/>
      </xdr:nvCxnSpPr>
      <xdr:spPr>
        <a:xfrm>
          <a:off x="5031828" y="4085897"/>
          <a:ext cx="5395" cy="801224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308882</xdr:colOff>
      <xdr:row>23</xdr:row>
      <xdr:rowOff>57150</xdr:rowOff>
    </xdr:from>
    <xdr:to>
      <xdr:col>16</xdr:col>
      <xdr:colOff>323850</xdr:colOff>
      <xdr:row>32</xdr:row>
      <xdr:rowOff>108856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9EE8547A-F9A0-C428-188B-8FDF885BB0AC}"/>
            </a:ext>
          </a:extLst>
        </xdr:cNvPr>
        <xdr:cNvCxnSpPr/>
      </xdr:nvCxnSpPr>
      <xdr:spPr>
        <a:xfrm flipH="1">
          <a:off x="5947682" y="3590925"/>
          <a:ext cx="14968" cy="1413781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31</xdr:row>
      <xdr:rowOff>114300</xdr:rowOff>
    </xdr:from>
    <xdr:to>
      <xdr:col>20</xdr:col>
      <xdr:colOff>257175</xdr:colOff>
      <xdr:row>32</xdr:row>
      <xdr:rowOff>95250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C82FA547-BA32-F9FE-ADAD-68BF1BEF7A3A}"/>
            </a:ext>
          </a:extLst>
        </xdr:cNvPr>
        <xdr:cNvCxnSpPr/>
      </xdr:nvCxnSpPr>
      <xdr:spPr>
        <a:xfrm>
          <a:off x="609600" y="4857750"/>
          <a:ext cx="6810375" cy="13335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295603</xdr:colOff>
      <xdr:row>25</xdr:row>
      <xdr:rowOff>111672</xdr:rowOff>
    </xdr:from>
    <xdr:to>
      <xdr:col>16</xdr:col>
      <xdr:colOff>73246</xdr:colOff>
      <xdr:row>28</xdr:row>
      <xdr:rowOff>98550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5176344" y="3928241"/>
          <a:ext cx="539643" cy="440137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KOST</a:t>
          </a:r>
        </a:p>
      </xdr:txBody>
    </xdr:sp>
    <xdr:clientData/>
  </xdr:twoCellAnchor>
  <xdr:twoCellAnchor>
    <xdr:from>
      <xdr:col>8</xdr:col>
      <xdr:colOff>249529</xdr:colOff>
      <xdr:row>30</xdr:row>
      <xdr:rowOff>51315</xdr:rowOff>
    </xdr:from>
    <xdr:to>
      <xdr:col>20</xdr:col>
      <xdr:colOff>0</xdr:colOff>
      <xdr:row>30</xdr:row>
      <xdr:rowOff>142875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E4ADFDB0-8FBE-CC8C-4193-EA2405DB0826}"/>
            </a:ext>
          </a:extLst>
        </xdr:cNvPr>
        <xdr:cNvCxnSpPr>
          <a:stCxn id="89" idx="6"/>
        </xdr:cNvCxnSpPr>
      </xdr:nvCxnSpPr>
      <xdr:spPr>
        <a:xfrm>
          <a:off x="2840329" y="4642365"/>
          <a:ext cx="4322471" cy="91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258268</xdr:colOff>
      <xdr:row>31</xdr:row>
      <xdr:rowOff>125858</xdr:rowOff>
    </xdr:from>
    <xdr:to>
      <xdr:col>2</xdr:col>
      <xdr:colOff>401411</xdr:colOff>
      <xdr:row>32</xdr:row>
      <xdr:rowOff>119761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C0D8E433-D8A1-23BC-3261-526EC1362827}"/>
            </a:ext>
          </a:extLst>
        </xdr:cNvPr>
        <xdr:cNvGrpSpPr/>
      </xdr:nvGrpSpPr>
      <xdr:grpSpPr>
        <a:xfrm rot="21333083">
          <a:off x="457051" y="4788967"/>
          <a:ext cx="143143" cy="1429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A9C5EA43-42BD-4083-86A4-9D68223A7E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053B4B9B-1A43-BADA-A5D7-CC4B3C08793B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FF9B7DCF-F8BC-CF33-A25A-422D7BD02468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333375</xdr:colOff>
      <xdr:row>32</xdr:row>
      <xdr:rowOff>119541</xdr:rowOff>
    </xdr:from>
    <xdr:to>
      <xdr:col>2</xdr:col>
      <xdr:colOff>335514</xdr:colOff>
      <xdr:row>36</xdr:row>
      <xdr:rowOff>28575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24FDECC0-9946-C47C-ADC6-CACFC44E625C}"/>
            </a:ext>
          </a:extLst>
        </xdr:cNvPr>
        <xdr:cNvCxnSpPr>
          <a:endCxn id="66" idx="4"/>
        </xdr:cNvCxnSpPr>
      </xdr:nvCxnSpPr>
      <xdr:spPr>
        <a:xfrm flipV="1">
          <a:off x="523875" y="5015391"/>
          <a:ext cx="2139" cy="518634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19462</xdr:colOff>
      <xdr:row>30</xdr:row>
      <xdr:rowOff>54246</xdr:rowOff>
    </xdr:from>
    <xdr:to>
      <xdr:col>8</xdr:col>
      <xdr:colOff>106818</xdr:colOff>
      <xdr:row>30</xdr:row>
      <xdr:rowOff>62417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ADF7C8F0-16B3-4B5E-9ED6-EFE58D8119FF}"/>
            </a:ext>
          </a:extLst>
        </xdr:cNvPr>
        <xdr:cNvCxnSpPr>
          <a:stCxn id="89" idx="2"/>
          <a:endCxn id="40" idx="6"/>
        </xdr:cNvCxnSpPr>
      </xdr:nvCxnSpPr>
      <xdr:spPr>
        <a:xfrm flipH="1" flipV="1">
          <a:off x="1848262" y="4645296"/>
          <a:ext cx="849356" cy="8171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257535</xdr:colOff>
      <xdr:row>29</xdr:row>
      <xdr:rowOff>129519</xdr:rowOff>
    </xdr:from>
    <xdr:to>
      <xdr:col>6</xdr:col>
      <xdr:colOff>19678</xdr:colOff>
      <xdr:row>30</xdr:row>
      <xdr:rowOff>132949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FAD46E35-FD41-CD9B-F7F0-6F63D91FA00D}"/>
            </a:ext>
          </a:extLst>
        </xdr:cNvPr>
        <xdr:cNvGrpSpPr/>
      </xdr:nvGrpSpPr>
      <xdr:grpSpPr>
        <a:xfrm rot="21333083">
          <a:off x="1715274" y="4502736"/>
          <a:ext cx="143143" cy="1442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AB7BA84F-ABA8-9287-ED1F-32E85C2B193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B996400C-D835-C445-B60C-A6AAE568EE25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B5226E66-A413-F3B5-2807-770D1B4D2601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351320</xdr:colOff>
      <xdr:row>30</xdr:row>
      <xdr:rowOff>56982</xdr:rowOff>
    </xdr:from>
    <xdr:to>
      <xdr:col>19</xdr:col>
      <xdr:colOff>113463</xdr:colOff>
      <xdr:row>31</xdr:row>
      <xdr:rowOff>53083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2F36576-27CB-33DB-9E48-8900E728603E}"/>
            </a:ext>
          </a:extLst>
        </xdr:cNvPr>
        <xdr:cNvGrpSpPr/>
      </xdr:nvGrpSpPr>
      <xdr:grpSpPr>
        <a:xfrm rot="21333083">
          <a:off x="6762059" y="4571004"/>
          <a:ext cx="143143" cy="14518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B1C0BB58-220F-BCCD-B692-7B864D9CBD3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65BAFA8-5C9B-A1F1-DD34-728C465632B6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C1A0C6E6-F65F-6622-AE4E-86181028A6C9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106602</xdr:colOff>
      <xdr:row>29</xdr:row>
      <xdr:rowOff>126589</xdr:rowOff>
    </xdr:from>
    <xdr:to>
      <xdr:col>8</xdr:col>
      <xdr:colOff>249745</xdr:colOff>
      <xdr:row>30</xdr:row>
      <xdr:rowOff>130018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0D83C949-88BD-D504-1E48-0ACE5982DDA3}"/>
            </a:ext>
          </a:extLst>
        </xdr:cNvPr>
        <xdr:cNvGrpSpPr/>
      </xdr:nvGrpSpPr>
      <xdr:grpSpPr>
        <a:xfrm rot="21333083">
          <a:off x="2707341" y="4499806"/>
          <a:ext cx="143143" cy="1442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E0BA25AB-68DB-2CAC-FEB6-AF1EC78ACE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60E9F199-B733-ED64-22BB-3E1A8F012157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80B3324-AE65-6E0A-1320-EB0860D5702A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28575</xdr:colOff>
      <xdr:row>25</xdr:row>
      <xdr:rowOff>19050</xdr:rowOff>
    </xdr:from>
    <xdr:to>
      <xdr:col>3</xdr:col>
      <xdr:colOff>76200</xdr:colOff>
      <xdr:row>37</xdr:row>
      <xdr:rowOff>152400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9E0857AA-BC2C-E5AB-9D93-A577BA50BE8B}"/>
            </a:ext>
          </a:extLst>
        </xdr:cNvPr>
        <xdr:cNvCxnSpPr/>
      </xdr:nvCxnSpPr>
      <xdr:spPr>
        <a:xfrm flipH="1">
          <a:off x="714375" y="3857625"/>
          <a:ext cx="47625" cy="196215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345130</xdr:colOff>
      <xdr:row>27</xdr:row>
      <xdr:rowOff>28911</xdr:rowOff>
    </xdr:from>
    <xdr:to>
      <xdr:col>14</xdr:col>
      <xdr:colOff>295603</xdr:colOff>
      <xdr:row>30</xdr:row>
      <xdr:rowOff>42894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1D3C6BE7-3222-6981-3324-49A0635CB78C}"/>
            </a:ext>
          </a:extLst>
        </xdr:cNvPr>
        <xdr:cNvCxnSpPr>
          <a:stCxn id="96" idx="1"/>
          <a:endCxn id="219" idx="7"/>
        </xdr:cNvCxnSpPr>
      </xdr:nvCxnSpPr>
      <xdr:spPr>
        <a:xfrm flipH="1">
          <a:off x="4840930" y="4172286"/>
          <a:ext cx="331473" cy="46165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315105</xdr:colOff>
      <xdr:row>29</xdr:row>
      <xdr:rowOff>140323</xdr:rowOff>
    </xdr:from>
    <xdr:to>
      <xdr:col>11</xdr:col>
      <xdr:colOff>77248</xdr:colOff>
      <xdr:row>30</xdr:row>
      <xdr:rowOff>151079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3BC4A02-C453-A2E9-16E0-B63716ED942C}"/>
            </a:ext>
          </a:extLst>
        </xdr:cNvPr>
        <xdr:cNvGrpSpPr/>
      </xdr:nvGrpSpPr>
      <xdr:grpSpPr>
        <a:xfrm rot="21333083">
          <a:off x="3677844" y="4513540"/>
          <a:ext cx="143143" cy="15156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6" name="Oval 205">
            <a:extLst>
              <a:ext uri="{FF2B5EF4-FFF2-40B4-BE49-F238E27FC236}">
                <a16:creationId xmlns:a16="http://schemas.microsoft.com/office/drawing/2014/main" id="{413F70BD-DE4B-3C2C-849D-5086AA60F0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A9B58552-F3FF-DA68-9B8C-EE7B47EB0B28}"/>
              </a:ext>
            </a:extLst>
          </xdr:cNvPr>
          <xdr:cNvCxnSpPr>
            <a:stCxn id="206" idx="1"/>
            <a:endCxn id="2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D8C9E392-FAC4-87DA-F7F5-182C8FA9009B}"/>
              </a:ext>
            </a:extLst>
          </xdr:cNvPr>
          <xdr:cNvCxnSpPr>
            <a:stCxn id="206" idx="3"/>
            <a:endCxn id="2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227177</xdr:colOff>
      <xdr:row>30</xdr:row>
      <xdr:rowOff>24901</xdr:rowOff>
    </xdr:from>
    <xdr:to>
      <xdr:col>13</xdr:col>
      <xdr:colOff>370320</xdr:colOff>
      <xdr:row>31</xdr:row>
      <xdr:rowOff>21089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8542746A-7EE1-1B5D-B7BB-BA73EE5D4F1E}"/>
            </a:ext>
          </a:extLst>
        </xdr:cNvPr>
        <xdr:cNvGrpSpPr/>
      </xdr:nvGrpSpPr>
      <xdr:grpSpPr>
        <a:xfrm rot="21333083">
          <a:off x="4732916" y="4538923"/>
          <a:ext cx="143143" cy="1452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E1D795AD-2AA3-8E34-D792-0F14366436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CED09BBE-E5D4-C283-50F9-A5D8CA356225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E8DAB704-20C0-28B1-EA50-35DFFAA18AA5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186154</xdr:colOff>
      <xdr:row>30</xdr:row>
      <xdr:rowOff>22206</xdr:rowOff>
    </xdr:from>
    <xdr:to>
      <xdr:col>9</xdr:col>
      <xdr:colOff>297962</xdr:colOff>
      <xdr:row>30</xdr:row>
      <xdr:rowOff>124043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42A34025-3427-11B5-20E7-4F581E098D2F}"/>
            </a:ext>
          </a:extLst>
        </xdr:cNvPr>
        <xdr:cNvGrpSpPr/>
      </xdr:nvGrpSpPr>
      <xdr:grpSpPr>
        <a:xfrm rot="960289">
          <a:off x="3167893" y="4536228"/>
          <a:ext cx="111808" cy="101837"/>
          <a:chOff x="3299881" y="4341472"/>
          <a:chExt cx="111808" cy="101191"/>
        </a:xfrm>
      </xdr:grpSpPr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5ED4291B-58B1-3A9B-8DB1-EDBB073E3242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8711E5C8-B43A-C617-C783-FCDE6B315D9E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1264696B-A410-5F85-4CA2-725782936D3D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58872</xdr:colOff>
      <xdr:row>30</xdr:row>
      <xdr:rowOff>21830</xdr:rowOff>
    </xdr:from>
    <xdr:to>
      <xdr:col>12</xdr:col>
      <xdr:colOff>170680</xdr:colOff>
      <xdr:row>30</xdr:row>
      <xdr:rowOff>126048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EDF33A9A-63D7-204B-DB65-E23552525171}"/>
            </a:ext>
          </a:extLst>
        </xdr:cNvPr>
        <xdr:cNvGrpSpPr/>
      </xdr:nvGrpSpPr>
      <xdr:grpSpPr>
        <a:xfrm rot="960289">
          <a:off x="4183611" y="4535852"/>
          <a:ext cx="111808" cy="104218"/>
          <a:chOff x="3299881" y="4341472"/>
          <a:chExt cx="111808" cy="101191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04ACA4D7-E3A9-DA3E-3C65-A091F2DC5AED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00797697-89F7-5E43-F0F3-7BC12C262BE8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FEB68515-2AE3-9093-2932-3B7046DE1147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361755</xdr:colOff>
      <xdr:row>30</xdr:row>
      <xdr:rowOff>48837</xdr:rowOff>
    </xdr:from>
    <xdr:to>
      <xdr:col>15</xdr:col>
      <xdr:colOff>92563</xdr:colOff>
      <xdr:row>30</xdr:row>
      <xdr:rowOff>151603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03F8E774-72B5-2689-3F38-1D048A9184BE}"/>
            </a:ext>
          </a:extLst>
        </xdr:cNvPr>
        <xdr:cNvGrpSpPr/>
      </xdr:nvGrpSpPr>
      <xdr:grpSpPr>
        <a:xfrm rot="960289">
          <a:off x="5248494" y="4562859"/>
          <a:ext cx="111808" cy="102766"/>
          <a:chOff x="3299881" y="4341472"/>
          <a:chExt cx="111808" cy="101191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2D5A8BCD-CA18-8C1A-8894-E77EBAA90178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42625105-7B23-799D-975A-9FE6B9FEAC42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877B1DBC-7122-0CA1-7934-FE0E411755FB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349849</xdr:colOff>
      <xdr:row>30</xdr:row>
      <xdr:rowOff>84554</xdr:rowOff>
    </xdr:from>
    <xdr:to>
      <xdr:col>18</xdr:col>
      <xdr:colOff>80657</xdr:colOff>
      <xdr:row>31</xdr:row>
      <xdr:rowOff>32539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C6082740-E5D9-E5CD-C467-3A71D67CAC00}"/>
            </a:ext>
          </a:extLst>
        </xdr:cNvPr>
        <xdr:cNvGrpSpPr/>
      </xdr:nvGrpSpPr>
      <xdr:grpSpPr>
        <a:xfrm rot="402728">
          <a:off x="6379588" y="4598576"/>
          <a:ext cx="111808" cy="97072"/>
          <a:chOff x="3299881" y="4341472"/>
          <a:chExt cx="111808" cy="101191"/>
        </a:xfrm>
      </xdr:grpSpPr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F3C9E237-5F19-2209-AB75-2A283EE63DAA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6A062783-412F-F41F-8C41-706F1DDAAFE4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EBC0F80-E98C-371F-587B-19D2E1886E36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102343</xdr:colOff>
      <xdr:row>26</xdr:row>
      <xdr:rowOff>142098</xdr:rowOff>
    </xdr:from>
    <xdr:to>
      <xdr:col>17</xdr:col>
      <xdr:colOff>214151</xdr:colOff>
      <xdr:row>27</xdr:row>
      <xdr:rowOff>91535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2A4E3A8F-4F7B-EA66-5066-37525671D5D0}"/>
            </a:ext>
          </a:extLst>
        </xdr:cNvPr>
        <xdr:cNvGrpSpPr/>
      </xdr:nvGrpSpPr>
      <xdr:grpSpPr>
        <a:xfrm rot="1439106">
          <a:off x="6132082" y="4068055"/>
          <a:ext cx="111808" cy="98523"/>
          <a:chOff x="3299881" y="4341472"/>
          <a:chExt cx="111808" cy="101191"/>
        </a:xfrm>
      </xdr:grpSpPr>
      <xdr:cxnSp macro="">
        <xdr:nvCxnSpPr>
          <xdr:cNvPr id="292" name="Straight Connector 291">
            <a:extLst>
              <a:ext uri="{FF2B5EF4-FFF2-40B4-BE49-F238E27FC236}">
                <a16:creationId xmlns:a16="http://schemas.microsoft.com/office/drawing/2014/main" id="{E0F4C546-54F2-4713-3A65-84F9F8F9495C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A24DC41A-B052-F56C-3F6F-34C609DC0BBF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275DA326-C1AD-F32F-B2A1-CE3038BC12AE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378879</xdr:colOff>
      <xdr:row>57</xdr:row>
      <xdr:rowOff>137047</xdr:rowOff>
    </xdr:from>
    <xdr:to>
      <xdr:col>12</xdr:col>
      <xdr:colOff>238075</xdr:colOff>
      <xdr:row>61</xdr:row>
      <xdr:rowOff>14976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745814E4-1C39-517B-6B00-70A4E40A824A}"/>
            </a:ext>
          </a:extLst>
        </xdr:cNvPr>
        <xdr:cNvSpPr txBox="1"/>
      </xdr:nvSpPr>
      <xdr:spPr>
        <a:xfrm>
          <a:off x="3731679" y="8985772"/>
          <a:ext cx="621196" cy="487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00B050"/>
              </a:solidFill>
              <a:effectLst/>
            </a:rPr>
            <a:t>B'</a:t>
          </a:r>
        </a:p>
      </xdr:txBody>
    </xdr:sp>
    <xdr:clientData/>
  </xdr:twoCellAnchor>
  <xdr:twoCellAnchor>
    <xdr:from>
      <xdr:col>2</xdr:col>
      <xdr:colOff>167647</xdr:colOff>
      <xdr:row>30</xdr:row>
      <xdr:rowOff>40227</xdr:rowOff>
    </xdr:from>
    <xdr:to>
      <xdr:col>2</xdr:col>
      <xdr:colOff>372077</xdr:colOff>
      <xdr:row>31</xdr:row>
      <xdr:rowOff>54953</xdr:rowOff>
    </xdr:to>
    <xdr:sp macro="" textlink="">
      <xdr:nvSpPr>
        <xdr:cNvPr id="301" name="Isosceles Triangle 300">
          <a:extLst>
            <a:ext uri="{FF2B5EF4-FFF2-40B4-BE49-F238E27FC236}">
              <a16:creationId xmlns:a16="http://schemas.microsoft.com/office/drawing/2014/main" id="{15A288A8-21AA-4525-EEA3-8662CDE207EE}"/>
            </a:ext>
          </a:extLst>
        </xdr:cNvPr>
        <xdr:cNvSpPr/>
      </xdr:nvSpPr>
      <xdr:spPr>
        <a:xfrm>
          <a:off x="358147" y="4631277"/>
          <a:ext cx="204430" cy="167126"/>
        </a:xfrm>
        <a:prstGeom prst="triangle">
          <a:avLst>
            <a:gd name="adj" fmla="val 50000"/>
          </a:avLst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7202</xdr:colOff>
      <xdr:row>29</xdr:row>
      <xdr:rowOff>9902</xdr:rowOff>
    </xdr:from>
    <xdr:to>
      <xdr:col>3</xdr:col>
      <xdr:colOff>106972</xdr:colOff>
      <xdr:row>30</xdr:row>
      <xdr:rowOff>114666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A3C96AF1-99FC-51D9-DA72-8A891CAFF36D}"/>
            </a:ext>
          </a:extLst>
        </xdr:cNvPr>
        <xdr:cNvSpPr txBox="1"/>
      </xdr:nvSpPr>
      <xdr:spPr>
        <a:xfrm>
          <a:off x="197702" y="4458077"/>
          <a:ext cx="595070" cy="2476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ysClr val="windowText" lastClr="000000"/>
              </a:solidFill>
            </a:rPr>
            <a:t>50 KVA</a:t>
          </a:r>
        </a:p>
      </xdr:txBody>
    </xdr:sp>
    <xdr:clientData/>
  </xdr:twoCellAnchor>
  <xdr:twoCellAnchor>
    <xdr:from>
      <xdr:col>15</xdr:col>
      <xdr:colOff>351692</xdr:colOff>
      <xdr:row>24</xdr:row>
      <xdr:rowOff>139211</xdr:rowOff>
    </xdr:from>
    <xdr:to>
      <xdr:col>16</xdr:col>
      <xdr:colOff>234461</xdr:colOff>
      <xdr:row>26</xdr:row>
      <xdr:rowOff>80596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EF6B1DE2-A9A9-2EED-2031-D659C2C2ED55}"/>
            </a:ext>
          </a:extLst>
        </xdr:cNvPr>
        <xdr:cNvSpPr txBox="1"/>
      </xdr:nvSpPr>
      <xdr:spPr>
        <a:xfrm>
          <a:off x="5612423" y="3853961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72664</xdr:colOff>
      <xdr:row>33</xdr:row>
      <xdr:rowOff>100750</xdr:rowOff>
    </xdr:from>
    <xdr:to>
      <xdr:col>9</xdr:col>
      <xdr:colOff>147812</xdr:colOff>
      <xdr:row>37</xdr:row>
      <xdr:rowOff>107674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D052D9E9-D97A-E7CC-6F46-1B2EB49A9E07}"/>
            </a:ext>
          </a:extLst>
        </xdr:cNvPr>
        <xdr:cNvSpPr txBox="1"/>
      </xdr:nvSpPr>
      <xdr:spPr>
        <a:xfrm>
          <a:off x="2292403" y="5062033"/>
          <a:ext cx="837148" cy="61983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K3-341/6/2/2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208690</xdr:colOff>
      <xdr:row>33</xdr:row>
      <xdr:rowOff>109905</xdr:rowOff>
    </xdr:from>
    <xdr:to>
      <xdr:col>11</xdr:col>
      <xdr:colOff>331304</xdr:colOff>
      <xdr:row>37</xdr:row>
      <xdr:rowOff>80597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DD765853-55D8-83A4-834C-F70B0FAE17C5}"/>
            </a:ext>
          </a:extLst>
        </xdr:cNvPr>
        <xdr:cNvSpPr txBox="1"/>
      </xdr:nvSpPr>
      <xdr:spPr>
        <a:xfrm>
          <a:off x="3190429" y="5071188"/>
          <a:ext cx="884614" cy="5836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K3-341/6/2/3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1900</xdr:colOff>
      <xdr:row>30</xdr:row>
      <xdr:rowOff>41714</xdr:rowOff>
    </xdr:from>
    <xdr:to>
      <xdr:col>16</xdr:col>
      <xdr:colOff>145043</xdr:colOff>
      <xdr:row>31</xdr:row>
      <xdr:rowOff>33420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DE8C425F-C95B-6838-58BF-F0E159D4FEB5}"/>
            </a:ext>
          </a:extLst>
        </xdr:cNvPr>
        <xdr:cNvGrpSpPr/>
      </xdr:nvGrpSpPr>
      <xdr:grpSpPr>
        <a:xfrm rot="21333083">
          <a:off x="5650639" y="4555736"/>
          <a:ext cx="143143" cy="1407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DF9E8327-7F54-C0F8-55F1-4502311F8FD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74C228B7-7E6F-B2DC-9E7E-D9DEE42EA2D6}"/>
              </a:ext>
            </a:extLst>
          </xdr:cNvPr>
          <xdr:cNvCxnSpPr>
            <a:stCxn id="202" idx="1"/>
            <a:endCxn id="2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C8F99979-5722-B1D3-AD1A-3481D496A441}"/>
              </a:ext>
            </a:extLst>
          </xdr:cNvPr>
          <xdr:cNvCxnSpPr>
            <a:stCxn id="202" idx="3"/>
            <a:endCxn id="2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401195</xdr:colOff>
      <xdr:row>30</xdr:row>
      <xdr:rowOff>65348</xdr:rowOff>
    </xdr:from>
    <xdr:to>
      <xdr:col>5</xdr:col>
      <xdr:colOff>257751</xdr:colOff>
      <xdr:row>32</xdr:row>
      <xdr:rowOff>41059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5A8DF1A-1BE3-BF6D-A9EB-55EC3B3E6BBB}"/>
            </a:ext>
          </a:extLst>
        </xdr:cNvPr>
        <xdr:cNvCxnSpPr>
          <a:stCxn id="40" idx="2"/>
          <a:endCxn id="66" idx="6"/>
        </xdr:cNvCxnSpPr>
      </xdr:nvCxnSpPr>
      <xdr:spPr>
        <a:xfrm flipH="1">
          <a:off x="591695" y="4656398"/>
          <a:ext cx="1113856" cy="280511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91605</xdr:colOff>
      <xdr:row>28</xdr:row>
      <xdr:rowOff>49867</xdr:rowOff>
    </xdr:from>
    <xdr:to>
      <xdr:col>14</xdr:col>
      <xdr:colOff>174486</xdr:colOff>
      <xdr:row>28</xdr:row>
      <xdr:rowOff>145333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04ACE1EF-A7AD-5F6E-EB94-C8C44FD6EBB8}"/>
            </a:ext>
          </a:extLst>
        </xdr:cNvPr>
        <xdr:cNvGrpSpPr/>
      </xdr:nvGrpSpPr>
      <xdr:grpSpPr>
        <a:xfrm>
          <a:off x="4978344" y="4273997"/>
          <a:ext cx="82881" cy="95466"/>
          <a:chOff x="2938225" y="1880553"/>
          <a:chExt cx="82881" cy="94550"/>
        </a:xfrm>
      </xdr:grpSpPr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C44594D5-88A8-7087-F3A1-71123567C754}"/>
              </a:ext>
            </a:extLst>
          </xdr:cNvPr>
          <xdr:cNvCxnSpPr/>
        </xdr:nvCxnSpPr>
        <xdr:spPr>
          <a:xfrm rot="18917649" flipV="1">
            <a:off x="2967417" y="1880553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1789F5D8-CAF3-A924-7BC4-ACDDF2849CE0}"/>
              </a:ext>
            </a:extLst>
          </xdr:cNvPr>
          <xdr:cNvCxnSpPr/>
        </xdr:nvCxnSpPr>
        <xdr:spPr>
          <a:xfrm rot="18917649" flipV="1">
            <a:off x="2938225" y="1895276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352841</xdr:colOff>
      <xdr:row>29</xdr:row>
      <xdr:rowOff>135315</xdr:rowOff>
    </xdr:from>
    <xdr:to>
      <xdr:col>7</xdr:col>
      <xdr:colOff>83649</xdr:colOff>
      <xdr:row>30</xdr:row>
      <xdr:rowOff>94277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E1E73D2B-DFEC-A3EA-AC37-284F82EBF5A7}"/>
            </a:ext>
          </a:extLst>
        </xdr:cNvPr>
        <xdr:cNvGrpSpPr/>
      </xdr:nvGrpSpPr>
      <xdr:grpSpPr>
        <a:xfrm rot="960289">
          <a:off x="2191580" y="4508532"/>
          <a:ext cx="111808" cy="99767"/>
          <a:chOff x="3299881" y="4341472"/>
          <a:chExt cx="111808" cy="101191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0A77EFE-6CE9-54CB-D745-B03DA7955E74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E8D7622E-9BB0-E26D-ABA6-673DAE0CC79C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1DFC89FD-B7EB-1505-4F95-E7530C74560D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120669</xdr:colOff>
      <xdr:row>30</xdr:row>
      <xdr:rowOff>135316</xdr:rowOff>
    </xdr:from>
    <xdr:to>
      <xdr:col>4</xdr:col>
      <xdr:colOff>232477</xdr:colOff>
      <xdr:row>31</xdr:row>
      <xdr:rowOff>82372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814C9FC4-B402-D63E-5414-39F17459AB5E}"/>
            </a:ext>
          </a:extLst>
        </xdr:cNvPr>
        <xdr:cNvGrpSpPr/>
      </xdr:nvGrpSpPr>
      <xdr:grpSpPr>
        <a:xfrm rot="960289">
          <a:off x="1197408" y="4649338"/>
          <a:ext cx="111808" cy="96143"/>
          <a:chOff x="3299881" y="4341472"/>
          <a:chExt cx="111808" cy="101191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303A0DCA-04B1-9A39-8D5C-1491EBB030BE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AF569776-46CE-FD06-F0AD-C46B922706F6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63578715-03B0-F802-9EB6-5B978188CA51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43038</xdr:colOff>
      <xdr:row>33</xdr:row>
      <xdr:rowOff>109905</xdr:rowOff>
    </xdr:from>
    <xdr:to>
      <xdr:col>14</xdr:col>
      <xdr:colOff>165652</xdr:colOff>
      <xdr:row>37</xdr:row>
      <xdr:rowOff>80597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EA0B2A6-D92D-2666-233E-EB3977BE663F}"/>
            </a:ext>
          </a:extLst>
        </xdr:cNvPr>
        <xdr:cNvSpPr txBox="1"/>
      </xdr:nvSpPr>
      <xdr:spPr>
        <a:xfrm>
          <a:off x="4167777" y="5071188"/>
          <a:ext cx="884614" cy="5836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K3-341/6/2/3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266668</xdr:colOff>
      <xdr:row>33</xdr:row>
      <xdr:rowOff>101623</xdr:rowOff>
    </xdr:from>
    <xdr:to>
      <xdr:col>17</xdr:col>
      <xdr:colOff>8282</xdr:colOff>
      <xdr:row>37</xdr:row>
      <xdr:rowOff>72315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15C1389-C7AE-51E9-C4AB-21425780540C}"/>
            </a:ext>
          </a:extLst>
        </xdr:cNvPr>
        <xdr:cNvSpPr txBox="1"/>
      </xdr:nvSpPr>
      <xdr:spPr>
        <a:xfrm>
          <a:off x="5153407" y="5062906"/>
          <a:ext cx="884614" cy="5836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K3-341/6/2/3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200407</xdr:colOff>
      <xdr:row>33</xdr:row>
      <xdr:rowOff>126471</xdr:rowOff>
    </xdr:from>
    <xdr:to>
      <xdr:col>19</xdr:col>
      <xdr:colOff>323021</xdr:colOff>
      <xdr:row>39</xdr:row>
      <xdr:rowOff>49695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B271B412-3B74-1BCC-71F1-3850F027C56D}"/>
            </a:ext>
          </a:extLst>
        </xdr:cNvPr>
        <xdr:cNvSpPr txBox="1"/>
      </xdr:nvSpPr>
      <xdr:spPr>
        <a:xfrm>
          <a:off x="6230146" y="5087754"/>
          <a:ext cx="884614" cy="8508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K3-341/6/2/3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27215</xdr:colOff>
      <xdr:row>9</xdr:row>
      <xdr:rowOff>81642</xdr:rowOff>
    </xdr:from>
    <xdr:to>
      <xdr:col>20</xdr:col>
      <xdr:colOff>639536</xdr:colOff>
      <xdr:row>49</xdr:row>
      <xdr:rowOff>27214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B0A54-6DF2-9C5D-7745-7C0798B793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608" t="15743" r="21568" b="21287"/>
        <a:stretch/>
      </xdr:blipFill>
      <xdr:spPr>
        <a:xfrm>
          <a:off x="857251" y="1700892"/>
          <a:ext cx="11198678" cy="64770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  <sheetName val="[Book1.xls]ttings\Administrator"/>
      <sheetName val="[Book1.xls][Book1.xls]ttings\Ad"/>
      <sheetName val="K.6DEPOSIT"/>
      <sheetName val="Ex-Rate"/>
      <sheetName val="Assumptions (2)"/>
      <sheetName val="PAL"/>
      <sheetName val="PPJ"/>
      <sheetName val="PPN"/>
      <sheetName val="TAGSUS"/>
      <sheetName val="MATERAI"/>
      <sheetName val="BAK"/>
      <sheetName val="SMS"/>
      <sheetName val="UMTL"/>
      <sheetName val="graf2"/>
      <sheetName val="THPDMoi  (2)"/>
      <sheetName val="gtrinh"/>
      <sheetName val="phuluc1"/>
      <sheetName val="lam-moi"/>
      <sheetName val="DONGIA"/>
      <sheetName val="thao-go"/>
      <sheetName val="TONGKE-HT"/>
      <sheetName val="#REF"/>
      <sheetName val="dtxl"/>
      <sheetName val="t-h HA THE"/>
      <sheetName val="CHITIET VL-NC-TT -1p"/>
      <sheetName val="TONG HOP VL-NC TT"/>
      <sheetName val="TH XL"/>
      <sheetName val="VC"/>
      <sheetName val="chitiet"/>
      <sheetName val="CHITIET VL-NC-TT-3p"/>
      <sheetName val="TDTKP1"/>
      <sheetName val="KPVC-BD "/>
      <sheetName val="_Book1.xls__Book1.xls__Book1.xl"/>
      <sheetName val="_Book1.xls_ttings_Administrator"/>
      <sheetName val="_Book1.xls__Book1.xls_ttings_Ad"/>
      <sheetName val="Kuantitas &amp; Harga"/>
      <sheetName val="KH"/>
      <sheetName val="HARDIBLD"/>
      <sheetName val="BQ Gardu Induk"/>
      <sheetName val="BQ Training"/>
      <sheetName val="Mobilisasi-pnw"/>
      <sheetName val="Land Clearing-pnw"/>
      <sheetName val="DATA-BASE SUTT"/>
      <sheetName val="REKAP"/>
      <sheetName val="Beltra  (7)"/>
      <sheetName val="Sudah Berjalan"/>
      <sheetName val="Twr (15)"/>
      <sheetName val="ANALISA"/>
      <sheetName val="AN-MAJOR"/>
      <sheetName val="Gangg_PL"/>
      <sheetName val="Sch-5"/>
      <sheetName val="K_TAM_SPK03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  <sheetName val="BD prix PDR"/>
      <sheetName val="Scope"/>
      <sheetName val="Param"/>
      <sheetName val="DATA-BASE SUTT"/>
      <sheetName val="ACCOUNT"/>
      <sheetName val="UPAH DAN BAHAN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ata_val"/>
      <sheetName val="data_ee_&lt;nra(2)"/>
      <sheetName val="table"/>
      <sheetName val="BA_Rapen"/>
      <sheetName val="FORM A1_A2 APD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MEMO"/>
      <sheetName val="ca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  <sheetName val="KMS-DIS5"/>
      <sheetName val="Meter merek Ganz"/>
      <sheetName val="DBASE"/>
      <sheetName val="PARAMETER"/>
      <sheetName val="sept"/>
      <sheetName val="Sheet6"/>
      <sheetName val="LAIN2"/>
      <sheetName val="FROM UNIT 08"/>
      <sheetName val="Sch-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  <sheetName val="TDL 2022"/>
      <sheetName val="DATA PLG"/>
      <sheetName val="Asumsi &amp; Hasil"/>
      <sheetName val="KAJIAN FINANSIAL"/>
      <sheetName val="Peralatan Dist"/>
      <sheetName val="Income Statement"/>
      <sheetName val="Shareholders' Equity"/>
      <sheetName val="Hrg"/>
      <sheetName val="FORM-B"/>
      <sheetName val="FORM A12BJI"/>
      <sheetName val="FORM A12NIA"/>
      <sheetName val="FORM A12RAP"/>
      <sheetName val="FORM A12PMS"/>
      <sheetName val="FORM A12SBG"/>
      <sheetName val="M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  <sheetName val="MENU1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  <sheetName val="AHS - Personel"/>
      <sheetName val="AHS - Non Personel"/>
      <sheetName val="JAN09"/>
      <sheetName val="Analisa.Hourly"/>
      <sheetName val="Rek.Analisa"/>
      <sheetName val="PLB"/>
      <sheetName val="SKM"/>
      <sheetName val="KKN"/>
      <sheetName val="KSN"/>
      <sheetName val="biaya administrasi"/>
      <sheetName val="biaya workshop"/>
      <sheetName val="biaya jasa borongan"/>
      <sheetName val="Dasar Pemadaman"/>
      <sheetName val="PB(B)"/>
      <sheetName val="basic"/>
      <sheetName val="Material&amp;Alat"/>
      <sheetName val="DB"/>
      <sheetName val="COVER"/>
      <sheetName val="CMKS DGN KIT"/>
      <sheetName val=" DATA 2"/>
      <sheetName val="Kuantitas"/>
      <sheetName val="Peralatan"/>
      <sheetName val="Assumptions (2)"/>
      <sheetName val="Sumber Asse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>
        <row r="120">
          <cell r="H120">
            <v>9000</v>
          </cell>
        </row>
      </sheetData>
      <sheetData sheetId="247">
        <row r="120">
          <cell r="H120">
            <v>9000</v>
          </cell>
        </row>
      </sheetData>
      <sheetData sheetId="248">
        <row r="120">
          <cell r="H120">
            <v>9000</v>
          </cell>
        </row>
      </sheetData>
      <sheetData sheetId="249"/>
      <sheetData sheetId="250">
        <row r="120">
          <cell r="H120">
            <v>9000</v>
          </cell>
        </row>
      </sheetData>
      <sheetData sheetId="251">
        <row r="120">
          <cell r="H120">
            <v>9000</v>
          </cell>
        </row>
      </sheetData>
      <sheetData sheetId="252">
        <row r="120">
          <cell r="H120">
            <v>9000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Cover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  <sheetName val="Cover"/>
      <sheetName val="UshDeb00"/>
      <sheetName val="DENP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  <sheetName val="CashFlow"/>
      <sheetName val="c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  <sheetName val="Sheet1 (2)"/>
      <sheetName val="F-1"/>
      <sheetName val="LabaRugi"/>
      <sheetName val="Penjualan"/>
      <sheetName val="ProdSendiri"/>
      <sheetName val="PS&amp;Susut TL"/>
      <sheetName val="SewaBeli"/>
      <sheetName val="Transfer"/>
      <sheetName val="MAS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  <sheetName val="COVER A1+A3"/>
      <sheetName val="DAFTAR HARGA SATUAN"/>
      <sheetName val="Daftar Upah, Bahan&amp;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  <sheetName val="W-NAD"/>
      <sheetName val="LabaRugi"/>
      <sheetName val="BA-1"/>
      <sheetName val="Penjualan"/>
      <sheetName val="ProdSendiri"/>
      <sheetName val="PS&amp;Susut TL"/>
      <sheetName val="SewaBeli"/>
      <sheetName val="Transfer"/>
      <sheetName val="Listing"/>
      <sheetName val="Resource Plan (2)"/>
      <sheetName val="aruskas"/>
      <sheetName val="Hal-1"/>
      <sheetName val="AHS - Non Personel"/>
      <sheetName val="BBM-03"/>
      <sheetName val="P&amp;L98"/>
      <sheetName val="L20Keu"/>
      <sheetName val="Meter merek Ganz"/>
      <sheetName val="CiMaPlbStd"/>
      <sheetName val="Kamus"/>
      <sheetName val="D2. ANALISA HS INSHAR"/>
      <sheetName val="As"/>
      <sheetName val="2013"/>
      <sheetName val="AHSP"/>
      <sheetName val="HB"/>
      <sheetName val="HSA"/>
      <sheetName val="D2. ANALISA HS INSP"/>
      <sheetName val="INSP.ANALISA"/>
      <sheetName val="SUTM.SUTR.ANALISA"/>
      <sheetName val="HARDU.ANALISA"/>
      <sheetName val="Assump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  <sheetName val="ACUAN"/>
      <sheetName val="HPS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  <sheetName val="Penyulang Padam"/>
      <sheetName val="Persed"/>
      <sheetName val="D2. ANALISA HS INSHAR"/>
      <sheetName val="TABEL"/>
      <sheetName val="Uraian"/>
      <sheetName val="LabaRugi"/>
      <sheetName val="FRYPROD"/>
      <sheetName val="Kamus"/>
      <sheetName val="CiMaPlbStd"/>
      <sheetName val="Jurnal"/>
      <sheetName val="Instalasi"/>
      <sheetName val="Analisis"/>
      <sheetName val="HSB"/>
      <sheetName val="Rab"/>
      <sheetName val="k341k612"/>
      <sheetName val="ANALISA OKE"/>
      <sheetName val="UshDeb00"/>
      <sheetName val="MAP"/>
      <sheetName val="us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  <sheetName val="Cover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  <sheetName val="analis"/>
      <sheetName val="Dasar Pemadaman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HB2"/>
      <sheetName val="PRK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  <sheetName val="THN-7"/>
      <sheetName val="LapKemPhis"/>
      <sheetName val="Sheet5"/>
      <sheetName val="dataKIT"/>
      <sheetName val="Konfirm"/>
      <sheetName val="JASA"/>
      <sheetName val="Salinan Dari Impress"/>
      <sheetName val="Kontrak vs Realisasi Gas"/>
      <sheetName val="GRADE ap"/>
      <sheetName val="rekap-ans"/>
      <sheetName val="Blangko"/>
      <sheetName val="ANALISA OKE"/>
      <sheetName val="Hopf"/>
      <sheetName val="RBM-AWAL"/>
      <sheetName val="RBM-BENAH"/>
      <sheetName val="Land Clearing-pnw"/>
      <sheetName val="ACUANBARU"/>
      <sheetName val="DBASE"/>
      <sheetName val="Tabel Istilah"/>
      <sheetName val="A1 pri123"/>
      <sheetName val="他PJとの比較"/>
      <sheetName val="bayar_04_fak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6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6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180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120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SUMIFS(RAB!$F$14:$F$81,RAB!$C$14:$C$81,C714)</f>
        <v>6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SUMIFS(RAB!$F$14:$F$81,RAB!$C$14:$C$81,C715)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SUMIFS(RAB!$F$14:$F$81,RAB!$C$14:$C$81,C716)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SUMIFS(RAB!$F$14:$F$81,RAB!$C$14:$C$81,C717)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SUMIFS(RAB!$F$14:$F$81,RAB!$C$14:$C$81,C718)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SUMIFS(RAB!$F$14:$F$81,RAB!$C$14:$C$81,C719)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SUMIFS(RAB!$F$14:$F$81,RAB!$C$14:$C$81,C720)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SUMIFS(RAB!$F$14:$F$81,RAB!$C$14:$C$81,C721)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SUMIFS(RAB!$F$14:$F$81,RAB!$C$14:$C$81,C722)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SUMIFS(RAB!$F$14:$F$81,RAB!$C$14:$C$81,C723)</f>
        <v>6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SUMIFS(RAB!$F$14:$F$81,RAB!$C$14:$C$81,C724)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SUMIFS(RAB!$F$14:$F$81,RAB!$C$14:$C$81,C725)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SUMIFS(RAB!$F$14:$F$81,RAB!$C$14:$C$81,C726)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SUMIFS(RAB!$F$14:$F$81,RAB!$C$14:$C$81,C727)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SUMIFS(RAB!$F$14:$F$81,RAB!$C$14:$C$81,C728)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SUMIFS(RAB!$F$14:$F$81,RAB!$C$14:$C$81,C729)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SUMIFS(RAB!$F$14:$F$81,RAB!$C$14:$C$81,C730)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SUMIFS(RAB!$F$14:$F$81,RAB!$C$14:$C$81,C731)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SUMIFS(RAB!$F$14:$F$81,RAB!$C$14:$C$81,C732)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SUMIFS(RAB!$F$14:$F$81,RAB!$C$14:$C$81,C733)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SUMIFS(RAB!$F$14:$F$81,RAB!$C$14:$C$81,C734)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SUMIFS(RAB!$F$14:$F$81,RAB!$C$14:$C$81,C735)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SUMIFS(RAB!$F$14:$F$81,RAB!$C$14:$C$81,C736)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SUMIFS(RAB!$F$14:$F$81,RAB!$C$14:$C$81,C737)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SUMIFS(RAB!$F$14:$F$81,RAB!$C$14:$C$81,C738)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SUMIFS(RAB!$F$14:$F$81,RAB!$C$14:$C$81,C739)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SUMIFS(RAB!$F$14:$F$81,RAB!$C$14:$C$81,C740)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SUMIFS(RAB!$F$14:$F$81,RAB!$C$14:$C$81,C741)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SUMIFS(RAB!$F$14:$F$81,RAB!$C$14:$C$81,C742)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SUMIFS(RAB!$F$14:$F$81,RAB!$C$14:$C$81,C743)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SUMIFS(RAB!$F$14:$F$81,RAB!$C$14:$C$81,C744)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SUMIFS(RAB!$F$14:$F$81,RAB!$C$14:$C$81,C745)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SUMIFS(RAB!$F$14:$F$81,RAB!$C$14:$C$81,C746)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SUMIFS(RAB!$F$14:$F$81,RAB!$C$14:$C$81,C747)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SUMIFS(RAB!$F$14:$F$81,RAB!$C$14:$C$81,C748)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SUMIFS(RAB!$F$14:$F$81,RAB!$C$14:$C$81,C749)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SUMIFS(RAB!$F$14:$F$81,RAB!$C$14:$C$81,C750)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SUMIFS(RAB!$F$14:$F$81,RAB!$C$14:$C$81,C751)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SUMIFS(RAB!$F$14:$F$81,RAB!$C$14:$C$81,C752)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SUMIFS(RAB!$F$14:$F$81,RAB!$C$14:$C$81,C753)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SUMIFS(RAB!$F$14:$F$81,RAB!$C$14:$C$81,C754)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SUMIFS(RAB!$F$14:$F$81,RAB!$C$14:$C$81,C755)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SUMIFS(RAB!$F$14:$F$81,RAB!$C$14:$C$81,C756)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SUMIFS(RAB!$F$14:$F$81,RAB!$C$14:$C$81,C757)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SUMIFS(RAB!$F$14:$F$81,RAB!$C$14:$C$81,C758)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SUMIFS(RAB!$F$14:$F$81,RAB!$C$14:$C$81,C759)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SUMIFS(RAB!$F$14:$F$81,RAB!$C$14:$C$81,C760)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SUMIFS(RAB!$F$14:$F$81,RAB!$C$14:$C$81,C761)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SUMIFS(RAB!$F$14:$F$81,RAB!$C$14:$C$81,C762)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SUMIFS(RAB!$F$14:$F$81,RAB!$C$14:$C$81,C763)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SUMIFS(RAB!$F$14:$F$81,RAB!$C$14:$C$81,C764)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SUMIFS(RAB!$F$14:$F$81,RAB!$C$14:$C$81,C765)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SUMIFS(RAB!$F$14:$F$81,RAB!$C$14:$C$81,C766)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SUMIFS(RAB!$F$14:$F$81,RAB!$C$14:$C$81,C767)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SUMIFS(RAB!$F$14:$F$81,RAB!$C$14:$C$81,C768)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SUMIFS(RAB!$F$14:$F$81,RAB!$C$14:$C$81,C769)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SUMIFS(RAB!$F$14:$F$81,RAB!$C$14:$C$81,C770)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SUMIFS(RAB!$F$14:$F$81,RAB!$C$14:$C$81,C771)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SUMIFS(RAB!$F$14:$F$81,RAB!$C$14:$C$81,C772)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SUMIFS(RAB!$F$14:$F$81,RAB!$C$14:$C$81,C773)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SUMIFS(RAB!$F$14:$F$81,RAB!$C$14:$C$81,C774)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SUMIFS(RAB!$F$14:$F$81,RAB!$C$14:$C$81,C775)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SUMIFS(RAB!$F$14:$F$81,RAB!$C$14:$C$81,C776)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SUMIFS(RAB!$F$14:$F$81,RAB!$C$14:$C$81,C777)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SUMIFS(RAB!$F$14:$F$81,RAB!$C$14:$C$81,C778)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SUMIFS(RAB!$F$14:$F$81,RAB!$C$14:$C$81,C779)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SUMIFS(RAB!$F$14:$F$81,RAB!$C$14:$C$81,C780)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SUMIFS(RAB!$F$14:$F$81,RAB!$C$14:$C$81,C781)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SUMIFS(RAB!$F$14:$F$81,RAB!$C$14:$C$81,C782)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SUMIFS(RAB!$F$14:$F$81,RAB!$C$14:$C$81,C783)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SUMIFS(RAB!$F$14:$F$81,RAB!$C$14:$C$81,C784)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SUMIFS(RAB!$F$14:$F$81,RAB!$C$14:$C$81,C785)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SUMIFS(RAB!$F$14:$F$81,RAB!$C$14:$C$81,C786)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SUMIFS(RAB!$F$14:$F$81,RAB!$C$14:$C$81,C787)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SUMIFS(RAB!$F$14:$F$81,RAB!$C$14:$C$81,C788)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SUMIFS(RAB!$F$14:$F$81,RAB!$C$14:$C$81,C789)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SUMIFS(RAB!$F$14:$F$81,RAB!$C$14:$C$81,C790)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SUMIFS(RAB!$F$14:$F$81,RAB!$C$14:$C$81,C791)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SUMIFS(RAB!$F$14:$F$81,RAB!$C$14:$C$81,C792)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SUMIFS(RAB!$F$14:$F$81,RAB!$C$14:$C$81,C793)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SUMIFS(RAB!$F$14:$F$81,RAB!$C$14:$C$81,C794)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SUMIFS(RAB!$F$14:$F$81,RAB!$C$14:$C$81,C795)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SUMIFS(RAB!$F$14:$F$81,RAB!$C$14:$C$81,C796)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SUMIFS(RAB!$F$14:$F$81,RAB!$C$14:$C$81,C797)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SUMIFS(RAB!$F$14:$F$81,RAB!$C$14:$C$81,C798)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SUMIFS(RAB!$F$14:$F$81,RAB!$C$14:$C$81,C799)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SUMIFS(RAB!$F$14:$F$81,RAB!$C$14:$C$81,C800)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SUMIFS(RAB!$F$14:$F$81,RAB!$C$14:$C$81,C801)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SUMIFS(RAB!$F$14:$F$81,RAB!$C$14:$C$81,C802)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SUMIFS(RAB!$F$14:$F$81,RAB!$C$14:$C$81,C803)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SUMIFS(RAB!$F$14:$F$81,RAB!$C$14:$C$81,C804)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SUMIFS(RAB!$F$14:$F$81,RAB!$C$14:$C$81,C805)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SUMIFS(RAB!$F$14:$F$81,RAB!$C$14:$C$81,C806)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SUMIFS(RAB!$F$14:$F$81,RAB!$C$14:$C$81,C807)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SUMIFS(RAB!$F$14:$F$81,RAB!$C$14:$C$81,C808)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SUMIFS(RAB!$F$14:$F$81,RAB!$C$14:$C$81,C809)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SUMIFS(RAB!$F$14:$F$81,RAB!$C$14:$C$81,C810)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SUMIFS(RAB!$F$14:$F$81,RAB!$C$14:$C$81,C811)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SUMIFS(RAB!$F$14:$F$81,RAB!$C$14:$C$81,C812)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SUMIFS(RAB!$F$14:$F$81,RAB!$C$14:$C$81,C813)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SUMIFS(RAB!$F$14:$F$81,RAB!$C$14:$C$81,C814)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SUMIFS(RAB!$F$14:$F$81,RAB!$C$14:$C$81,C815)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SUMIFS(RAB!$F$14:$F$81,RAB!$C$14:$C$81,C816)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SUMIFS(RAB!$F$14:$F$81,RAB!$C$14:$C$81,C817)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SUMIFS(RAB!$F$14:$F$81,RAB!$C$14:$C$81,C818)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SUMIFS(RAB!$F$14:$F$81,RAB!$C$14:$C$81,C819)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SUMIFS(RAB!$F$14:$F$81,RAB!$C$14:$C$81,C820)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SUMIFS(RAB!$F$14:$F$81,RAB!$C$14:$C$81,C821)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SUMIFS(RAB!$F$14:$F$81,RAB!$C$14:$C$81,C822)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SUMIFS(RAB!$F$14:$F$81,RAB!$C$14:$C$81,C823)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SUMIFS(RAB!$F$14:$F$81,RAB!$C$14:$C$81,C824)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SUMIFS(RAB!$F$14:$F$81,RAB!$C$14:$C$81,C825)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SUMIFS(RAB!$F$14:$F$81,RAB!$C$14:$C$81,C826)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SUMIFS(RAB!$F$14:$F$81,RAB!$C$14:$C$81,C827)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SUMIFS(RAB!$F$14:$F$81,RAB!$C$14:$C$81,C828)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SUMIFS(RAB!$F$14:$F$81,RAB!$C$14:$C$81,C829)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SUMIFS(RAB!$F$14:$F$81,RAB!$C$14:$C$81,C830)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SUMIFS(RAB!$F$14:$F$81,RAB!$C$14:$C$81,C831)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SUMIFS(RAB!$F$14:$F$81,RAB!$C$14:$C$81,C832)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SUMIFS(RAB!$F$14:$F$81,RAB!$C$14:$C$81,C833)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SUMIFS(RAB!$F$14:$F$81,RAB!$C$14:$C$81,C834)</f>
        <v>180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SUMIFS(RAB!$F$14:$F$81,RAB!$C$14:$C$81,C835)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SUMIFS(RAB!$F$14:$F$81,RAB!$C$14:$C$81,C836)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SUMIFS(RAB!$F$14:$F$81,RAB!$C$14:$C$81,C837)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SUMIFS(RAB!$F$14:$F$81,RAB!$C$14:$C$81,C838)</f>
        <v>120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SUMIFS(RAB!$F$14:$F$81,RAB!$C$14:$C$81,C839)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SUMIFS(RAB!$F$14:$F$81,RAB!$C$14:$C$81,C840)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SUMIFS(RAB!$F$14:$F$81,RAB!$C$14:$C$81,C841)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SUMIFS(RAB!$F$14:$F$81,RAB!$C$14:$C$81,C842)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SUMIFS(RAB!$F$14:$F$81,RAB!$C$14:$C$81,C843)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SUMIFS(RAB!$F$14:$F$81,RAB!$C$14:$C$81,C844)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SUMIFS(RAB!$F$14:$F$81,RAB!$C$14:$C$81,C845)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SUMIFS(RAB!$F$14:$F$81,RAB!$C$14:$C$81,C846)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SUMIFS(RAB!$F$14:$F$81,RAB!$C$14:$C$81,C847)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SUMIFS(RAB!$F$14:$F$81,RAB!$C$14:$C$81,C848)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SUMIFS(RAB!$F$14:$F$81,RAB!$C$14:$C$81,C849)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SUMIFS(RAB!$F$14:$F$81,RAB!$C$14:$C$81,C850)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SUMIFS(RAB!$F$14:$F$81,RAB!$C$14:$C$81,C851)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SUMIFS(RAB!$F$14:$F$81,RAB!$C$14:$C$81,C852)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SUMIFS(RAB!$F$14:$F$81,RAB!$C$14:$C$81,C853)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SUMIFS(RAB!$F$14:$F$81,RAB!$C$14:$C$81,C854)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SUMIFS(RAB!$F$14:$F$81,RAB!$C$14:$C$81,C855)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SUMIFS(RAB!$F$14:$F$81,RAB!$C$14:$C$81,C856)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SUMIFS(RAB!$F$14:$F$81,RAB!$C$14:$C$81,C857)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SUMIFS(RAB!$F$14:$F$81,RAB!$C$14:$C$81,C858)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SUMIFS(RAB!$F$14:$F$81,RAB!$C$14:$C$81,C859)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SUMIFS(RAB!$F$14:$F$81,RAB!$C$14:$C$81,C860)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SUMIFS(RAB!$F$14:$F$81,RAB!$C$14:$C$81,C861)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SUMIFS(RAB!$F$14:$F$81,RAB!$C$14:$C$81,C862)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SUMIFS(RAB!$F$14:$F$81,RAB!$C$14:$C$81,C863)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SUMIFS(RAB!$F$14:$F$81,RAB!$C$14:$C$81,C864)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SUMIFS(RAB!$F$14:$F$81,RAB!$C$14:$C$81,C865)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SUMIFS(RAB!$F$14:$F$81,RAB!$C$14:$C$81,C866)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SUMIFS(RAB!$F$14:$F$81,RAB!$C$14:$C$81,C867)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SUMIFS(RAB!$F$14:$F$81,RAB!$C$14:$C$81,C868)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SUMIFS(RAB!$F$14:$F$81,RAB!$C$14:$C$81,C869)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SUMIFS(RAB!$F$14:$F$81,RAB!$C$14:$C$81,C870)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SUMIFS(RAB!$F$14:$F$81,RAB!$C$14:$C$81,C871)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SUMIFS(RAB!$F$14:$F$81,RAB!$C$14:$C$81,C872)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SUMIFS(RAB!$F$14:$F$81,RAB!$C$14:$C$81,C873)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SUMIFS(RAB!$F$14:$F$81,RAB!$C$14:$C$81,C874)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SUMIFS(RAB!$F$14:$F$81,RAB!$C$14:$C$81,C875)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SUMIFS(RAB!$F$14:$F$81,RAB!$C$14:$C$81,C876)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SUMIFS(RAB!$F$14:$F$81,RAB!$C$14:$C$81,C877)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SUMIFS(RAB!$F$14:$F$81,RAB!$C$14:$C$81,C878)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SUMIFS(RAB!$F$14:$F$81,RAB!$C$14:$C$81,C879)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SUMIFS(RAB!$F$14:$F$81,RAB!$C$14:$C$81,C880)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SUMIFS(RAB!$F$14:$F$81,RAB!$C$14:$C$81,C881)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SUMIFS(RAB!$F$14:$F$81,RAB!$C$14:$C$81,C882)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SUMIFS(RAB!$F$14:$F$81,RAB!$C$14:$C$81,C883)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SUMIFS(RAB!$F$14:$F$81,RAB!$C$14:$C$81,C884)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SUMIFS(RAB!$F$14:$F$81,RAB!$C$14:$C$81,C885)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SUMIFS(RAB!$F$14:$F$81,RAB!$C$14:$C$81,C886)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SUMIFS(RAB!$F$14:$F$81,RAB!$C$14:$C$81,C887)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SUMIFS(RAB!$F$14:$F$81,RAB!$C$14:$C$81,C888)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SUMIFS(RAB!$F$14:$F$81,RAB!$C$14:$C$81,C889)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SUMIFS(RAB!$F$14:$F$81,RAB!$C$14:$C$81,C890)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SUMIFS(RAB!$F$14:$F$81,RAB!$C$14:$C$81,C891)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SUMIFS(RAB!$F$14:$F$81,RAB!$C$14:$C$81,C892)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SUMIFS(RAB!$F$14:$F$81,RAB!$C$14:$C$81,C893)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SUMIFS(RAB!$F$14:$F$81,RAB!$C$14:$C$81,C894)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SUMIFS(RAB!$F$14:$F$81,RAB!$C$14:$C$81,C895)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SUMIFS(RAB!$F$14:$F$81,RAB!$C$14:$C$81,C896)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SUMIFS(RAB!$F$14:$F$81,RAB!$C$14:$C$81,C897)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SUMIFS(RAB!$F$14:$F$81,RAB!$C$14:$C$81,C898)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SUMIFS(RAB!$F$14:$F$81,RAB!$C$14:$C$81,C899)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SUMIFS(RAB!$F$14:$F$81,RAB!$C$14:$C$81,C900)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SUMIFS(RAB!$F$14:$F$81,RAB!$C$14:$C$81,C901)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SUMIFS(RAB!$F$14:$F$81,RAB!$C$14:$C$81,C902)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SUMIFS(RAB!$F$14:$F$81,RAB!$C$14:$C$81,C903)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SUMIFS(RAB!$F$14:$F$81,RAB!$C$14:$C$81,C904)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SUMIFS(RAB!$F$14:$F$81,RAB!$C$14:$C$81,C905)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SUMIFS(RAB!$F$14:$F$81,RAB!$C$14:$C$81,C906)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SUMIFS(RAB!$F$14:$F$81,RAB!$C$14:$C$81,C907)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SUMIFS(RAB!$F$14:$F$81,RAB!$C$14:$C$81,C908)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SUMIFS(RAB!$F$14:$F$81,RAB!$C$14:$C$81,C909)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SUMIFS(RAB!$F$14:$F$81,RAB!$C$14:$C$81,C910)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SUMIFS(RAB!$F$14:$F$81,RAB!$C$14:$C$81,C911)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SUMIFS(RAB!$F$14:$F$81,RAB!$C$14:$C$81,C912)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SUMIFS(RAB!$F$14:$F$81,RAB!$C$14:$C$81,C913)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SUMIFS(RAB!$F$14:$F$81,RAB!$C$14:$C$81,C914)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SUMIFS(RAB!$F$14:$F$81,RAB!$C$14:$C$81,C915)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SUMIFS(RAB!$F$14:$F$81,RAB!$C$14:$C$81,C916)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SUMIFS(RAB!$F$14:$F$81,RAB!$C$14:$C$81,C917)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SUMIFS(RAB!$F$14:$F$81,RAB!$C$14:$C$81,C918)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SUMIFS(RAB!$F$14:$F$81,RAB!$C$14:$C$81,C919)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SUMIFS(RAB!$F$14:$F$81,RAB!$C$14:$C$81,C920)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SUMIFS(RAB!$F$14:$F$81,RAB!$C$14:$C$81,C921)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SUMIFS(RAB!$F$14:$F$81,RAB!$C$14:$C$81,C922)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SUMIFS(RAB!$F$14:$F$81,RAB!$C$14:$C$81,C923)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SUMIFS(RAB!$F$14:$F$81,RAB!$C$14:$C$81,C924)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SUMIFS(RAB!$F$14:$F$81,RAB!$C$14:$C$81,C925)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SUMIFS(RAB!$F$14:$F$81,RAB!$C$14:$C$81,C926)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SUMIFS(RAB!$F$14:$F$81,RAB!$C$14:$C$81,C927)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SUMIFS(RAB!$F$14:$F$81,RAB!$C$14:$C$81,C928)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SUMIFS(RAB!$F$14:$F$81,RAB!$C$14:$C$81,C929)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SUMIFS(RAB!$F$14:$F$81,RAB!$C$14:$C$81,C930)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SUMIFS(RAB!$F$14:$F$81,RAB!$C$14:$C$81,C931)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SUMIFS(RAB!$F$14:$F$81,RAB!$C$14:$C$81,C932)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SUMIFS(RAB!$F$14:$F$81,RAB!$C$14:$C$81,C933)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SUMIFS(RAB!$F$14:$F$81,RAB!$C$14:$C$81,C934)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SUMIFS(RAB!$F$14:$F$81,RAB!$C$14:$C$81,C935)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SUMIFS(RAB!$F$14:$F$81,RAB!$C$14:$C$81,C936)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SUMIFS(RAB!$F$14:$F$81,RAB!$C$14:$C$81,C937)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SUMIFS(RAB!$F$14:$F$81,RAB!$C$14:$C$81,C938)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SUMIFS(RAB!$F$14:$F$81,RAB!$C$14:$C$81,C939)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SUMIFS(RAB!$F$14:$F$81,RAB!$C$14:$C$81,C940)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SUMIFS(RAB!$F$14:$F$81,RAB!$C$14:$C$81,C941)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SUMIFS(RAB!$F$14:$F$81,RAB!$C$14:$C$81,C942)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SUMIFS(RAB!$F$14:$F$81,RAB!$C$14:$C$81,C943)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SUMIFS(RAB!$F$14:$F$81,RAB!$C$14:$C$81,C944)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SUMIFS(RAB!$F$14:$F$81,RAB!$C$14:$C$81,C945)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SUMIFS(RAB!$F$14:$F$81,RAB!$C$14:$C$81,C946)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SUMIFS(RAB!$F$14:$F$81,RAB!$C$14:$C$81,C947)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SUMIFS(RAB!$F$14:$F$81,RAB!$C$14:$C$81,C948)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SUMIFS(RAB!$F$14:$F$81,RAB!$C$14:$C$81,C949)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SUMIFS(RAB!$F$14:$F$81,RAB!$C$14:$C$81,C950)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SUMIFS(RAB!$F$14:$F$81,RAB!$C$14:$C$81,C951)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SUMIFS(RAB!$F$14:$F$81,RAB!$C$14:$C$81,C952)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SUMIFS(RAB!$F$14:$F$81,RAB!$C$14:$C$81,C953)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SUMIFS(RAB!$F$14:$F$81,RAB!$C$14:$C$81,C954)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SUMIFS(RAB!$F$14:$F$81,RAB!$C$14:$C$81,C955)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SUMIFS(RAB!$F$14:$F$81,RAB!$C$14:$C$81,C956)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SUMIFS(RAB!$F$14:$F$81,RAB!$C$14:$C$81,C957)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SUMIFS(RAB!$F$14:$F$81,RAB!$C$14:$C$81,C958)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SUMIFS(RAB!$F$14:$F$81,RAB!$C$14:$C$81,C959)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SUMIFS(RAB!$F$14:$F$81,RAB!$C$14:$C$81,C960)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SUMIFS(RAB!$F$14:$F$81,RAB!$C$14:$C$81,C961)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SUMIFS(RAB!$F$14:$F$81,RAB!$C$14:$C$81,C962)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SUMIFS(RAB!$F$14:$F$81,RAB!$C$14:$C$81,C963)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SUMIFS(RAB!$F$14:$F$81,RAB!$C$14:$C$81,C964)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SUMIFS(RAB!$F$14:$F$81,RAB!$C$14:$C$81,C965)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SUMIFS(RAB!$F$14:$F$81,RAB!$C$14:$C$81,C966)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SUMIFS(RAB!$F$14:$F$81,RAB!$C$14:$C$81,C967)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SUMIFS(RAB!$F$14:$F$81,RAB!$C$14:$C$81,C968)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SUMIFS(RAB!$F$14:$F$81,RAB!$C$14:$C$81,C969)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SUMIFS(RAB!$F$14:$F$81,RAB!$C$14:$C$81,C970)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SUMIFS(RAB!$F$14:$F$81,RAB!$C$14:$C$81,C971)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SUMIFS(RAB!$F$14:$F$81,RAB!$C$14:$C$81,C972)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SUMIFS(RAB!$F$14:$F$81,RAB!$C$14:$C$81,C973)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SUMIFS(RAB!$F$14:$F$81,RAB!$C$14:$C$81,C974)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SUMIFS(RAB!$F$14:$F$81,RAB!$C$14:$C$81,C975)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SUMIFS(RAB!$F$14:$F$81,RAB!$C$14:$C$81,C976)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SUMIFS(RAB!$F$14:$F$81,RAB!$C$14:$C$81,C977)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SUMIFS(RAB!$F$14:$F$81,RAB!$C$14:$C$81,C978)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SUMIFS(RAB!$F$14:$F$81,RAB!$C$14:$C$81,C979)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SUMIFS(RAB!$F$14:$F$81,RAB!$C$14:$C$81,C980)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SUMIFS(RAB!$F$14:$F$81,RAB!$C$14:$C$81,C981)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SUMIFS(RAB!$F$14:$F$81,RAB!$C$14:$C$81,C982)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SUMIFS(RAB!$F$14:$F$81,RAB!$C$14:$C$81,C983)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SUMIFS(RAB!$F$14:$F$81,RAB!$C$14:$C$81,C984)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SUMIFS(RAB!$F$14:$F$81,RAB!$C$14:$C$81,C985)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SUMIFS(RAB!$F$14:$F$81,RAB!$C$14:$C$81,C986)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SUMIFS(RAB!$F$14:$F$81,RAB!$C$14:$C$81,C987)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SUMIFS(RAB!$F$14:$F$81,RAB!$C$14:$C$81,C988)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SUMIFS(RAB!$F$14:$F$81,RAB!$C$14:$C$81,C989)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SUMIFS(RAB!$F$14:$F$81,RAB!$C$14:$C$81,C990)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SUMIFS(RAB!$F$14:$F$81,RAB!$C$14:$C$81,C991)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SUMIFS(RAB!$F$14:$F$81,RAB!$C$14:$C$81,C992)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SUMIFS(RAB!$F$14:$F$81,RAB!$C$14:$C$81,C993)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SUMIFS(RAB!$F$14:$F$81,RAB!$C$14:$C$81,C994)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SUMIFS(RAB!$F$14:$F$81,RAB!$C$14:$C$81,C995)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SUMIFS(RAB!$F$14:$F$81,RAB!$C$14:$C$81,C996)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SUMIFS(RAB!$F$14:$F$81,RAB!$C$14:$C$81,C997)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SUMIFS(RAB!$F$14:$F$81,RAB!$C$14:$C$81,C998)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SUMIFS(RAB!$F$14:$F$81,RAB!$C$14:$C$81,C999)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SUMIFS(RAB!$F$14:$F$81,RAB!$C$14:$C$81,C1000)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SUMIFS(RAB!$F$14:$F$81,RAB!$C$14:$C$81,C1001)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SUMIFS(RAB!$F$14:$F$81,RAB!$C$14:$C$81,C1002)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SUMIFS(RAB!$F$14:$F$81,RAB!$C$14:$C$81,C1003)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SUMIFS(RAB!$F$14:$F$81,RAB!$C$14:$C$81,C1004)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SUMIFS(RAB!$F$14:$F$81,RAB!$C$14:$C$81,C1005)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SUMIFS(RAB!$F$14:$F$81,RAB!$C$14:$C$81,C1006)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SUMIFS(RAB!$F$14:$F$81,RAB!$C$14:$C$81,C1007)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SUMIFS(RAB!$F$14:$F$81,RAB!$C$14:$C$81,C1008)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SUMIFS(RAB!$F$14:$F$81,RAB!$C$14:$C$81,C1009)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SUMIFS(RAB!$F$14:$F$81,RAB!$C$14:$C$81,C1010)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SUMIFS(RAB!$F$14:$F$81,RAB!$C$14:$C$81,C1011)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SUMIFS(RAB!$F$14:$F$81,RAB!$C$14:$C$81,C1012)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SUMIFS(RAB!$F$14:$F$81,RAB!$C$14:$C$81,C1013)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SUMIFS(RAB!$F$14:$F$81,RAB!$C$14:$C$81,C1014)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SUMIFS(RAB!$F$14:$F$81,RAB!$C$14:$C$81,C1015)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SUMIFS(RAB!$F$14:$F$81,RAB!$C$14:$C$81,C1016)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SUMIFS(RAB!$F$14:$F$81,RAB!$C$14:$C$81,C1017)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SUMIFS(RAB!$F$14:$F$81,RAB!$C$14:$C$81,C1018)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SUMIFS(RAB!$F$14:$F$81,RAB!$C$14:$C$81,C1019)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SUMIFS(RAB!$F$14:$F$81,RAB!$C$14:$C$81,C1020)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SUMIFS(RAB!$F$14:$F$81,RAB!$C$14:$C$81,C1021)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SUMIFS(RAB!$F$14:$F$81,RAB!$C$14:$C$81,C1022)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SUMIFS(RAB!$F$14:$F$81,RAB!$C$14:$C$81,C1023)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SUMIFS(RAB!$F$14:$F$81,RAB!$C$14:$C$81,C1024)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SUMIFS(RAB!$F$14:$F$81,RAB!$C$14:$C$81,C1025)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SUMIFS(RAB!$F$14:$F$81,RAB!$C$14:$C$81,C1026)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SUMIFS(RAB!$F$14:$F$81,RAB!$C$14:$C$81,C1027)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SUMIFS(RAB!$F$14:$F$81,RAB!$C$14:$C$81,C1028)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SUMIFS(RAB!$F$14:$F$81,RAB!$C$14:$C$81,C1029)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SUMIFS(RAB!$F$14:$F$81,RAB!$C$14:$C$81,C1030)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SUMIFS(RAB!$F$14:$F$81,RAB!$C$14:$C$81,C1031)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SUMIFS(RAB!$F$14:$F$81,RAB!$C$14:$C$81,C1032)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SUMIFS(RAB!$F$14:$F$81,RAB!$C$14:$C$81,C1033)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SUMIFS(RAB!$F$14:$F$81,RAB!$C$14:$C$81,C1034)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SUMIFS(RAB!$F$14:$F$81,RAB!$C$14:$C$81,C1035)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SUMIFS(RAB!$F$14:$F$81,RAB!$C$14:$C$81,C1036)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SUMIFS(RAB!$F$14:$F$81,RAB!$C$14:$C$81,C1037)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SUMIFS(RAB!$F$14:$F$81,RAB!$C$14:$C$81,C1038)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SUMIFS(RAB!$F$14:$F$81,RAB!$C$14:$C$81,C1039)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SUMIFS(RAB!$F$14:$F$81,RAB!$C$14:$C$81,C1040)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SUMIFS(RAB!$F$14:$F$81,RAB!$C$14:$C$81,C1041)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SUMIFS(RAB!$F$14:$F$81,RAB!$C$14:$C$81,C1042)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SUMIFS(RAB!$F$14:$F$81,RAB!$C$14:$C$81,C1043)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SUMIFS(RAB!$F$14:$F$81,RAB!$C$14:$C$81,C1044)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SUMIFS(RAB!$F$14:$F$81,RAB!$C$14:$C$81,C1045)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SUMIFS(RAB!$F$14:$F$81,RAB!$C$14:$C$81,C1046)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SUMIFS(RAB!$F$14:$F$81,RAB!$C$14:$C$81,C1047)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SUMIFS(RAB!$F$14:$F$81,RAB!$C$14:$C$81,C1048)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SUMIFS(RAB!$F$14:$F$81,RAB!$C$14:$C$81,C1049)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SUMIFS(RAB!$F$14:$F$81,RAB!$C$14:$C$81,C1050)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SUMIFS(RAB!$F$14:$F$81,RAB!$C$14:$C$81,C1051)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SUMIFS(RAB!$F$14:$F$81,RAB!$C$14:$C$81,C1052)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SUMIFS(RAB!$F$14:$F$81,RAB!$C$14:$C$81,C1053)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SUMIFS(RAB!$F$14:$F$81,RAB!$C$14:$C$81,C1054)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SUMIFS(RAB!$F$14:$F$81,RAB!$C$14:$C$81,C1055)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SUMIFS(RAB!$F$14:$F$81,RAB!$C$14:$C$81,C1056)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SUMIFS(RAB!$F$14:$F$81,RAB!$C$14:$C$81,C1057)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SUMIFS(RAB!$F$14:$F$81,RAB!$C$14:$C$81,C1058)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SUMIFS(RAB!$F$14:$F$81,RAB!$C$14:$C$81,C1059)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SUMIFS(RAB!$F$14:$F$81,RAB!$C$14:$C$81,C1060)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SUMIFS(RAB!$F$14:$F$81,RAB!$C$14:$C$81,C1061)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SUMIFS(RAB!$F$14:$F$81,RAB!$C$14:$C$81,C1062)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SUMIFS(RAB!$F$14:$F$81,RAB!$C$14:$C$81,C1063)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SUMIFS(RAB!$F$14:$F$81,RAB!$C$14:$C$81,C1064)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SUMIFS(RAB!$F$14:$F$81,RAB!$C$14:$C$81,C1065)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SUMIFS(RAB!$F$14:$F$81,RAB!$C$14:$C$81,C1066)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SUMIFS(RAB!$F$14:$F$81,RAB!$C$14:$C$81,C1067)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SUMIFS(RAB!$F$14:$F$81,RAB!$C$14:$C$81,C1068)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SUMIFS(RAB!$F$14:$F$81,RAB!$C$14:$C$81,C1069)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SUMIFS(RAB!$F$14:$F$81,RAB!$C$14:$C$81,C1070)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SUMIFS(RAB!$F$14:$F$81,RAB!$C$14:$C$81,C1071)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SUMIFS(RAB!$F$14:$F$81,RAB!$C$14:$C$81,C1072)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SUMIFS(RAB!$F$14:$F$81,RAB!$C$14:$C$81,C1073)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SUMIFS(RAB!$F$14:$F$81,RAB!$C$14:$C$81,C1074)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SUMIFS(RAB!$F$14:$F$81,RAB!$C$14:$C$81,C1075)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SUMIFS(RAB!$F$14:$F$81,RAB!$C$14:$C$81,C1076)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SUMIFS(RAB!$F$14:$F$81,RAB!$C$14:$C$81,C1077)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SUMIFS(RAB!$F$14:$F$81,RAB!$C$14:$C$81,C1078)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SUMIFS(RAB!$F$14:$F$81,RAB!$C$14:$C$81,C1079)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SUMIFS(RAB!$F$14:$F$81,RAB!$C$14:$C$81,C1080)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SUMIFS(RAB!$F$14:$F$81,RAB!$C$14:$C$81,C1081)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SUMIFS(RAB!$F$14:$F$81,RAB!$C$14:$C$81,C1082)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SUMIFS(RAB!$F$14:$F$81,RAB!$C$14:$C$81,C1083)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SUMIFS(RAB!$F$14:$F$81,RAB!$C$14:$C$81,C1084)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SUMIFS(RAB!$F$14:$F$81,RAB!$C$14:$C$81,C1085)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SUMIFS(RAB!$F$14:$F$81,RAB!$C$14:$C$81,C1086)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SUMIFS(RAB!$F$14:$F$81,RAB!$C$14:$C$81,C1087)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SUMIFS(RAB!$F$14:$F$81,RAB!$C$14:$C$81,C1088)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SUMIFS(RAB!$F$14:$F$81,RAB!$C$14:$C$81,C1089)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SUMIFS(RAB!$F$14:$F$81,RAB!$C$14:$C$81,C1090)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SUMIFS(RAB!$F$14:$F$81,RAB!$C$14:$C$81,C1091)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SUMIFS(RAB!$F$14:$F$81,RAB!$C$14:$C$81,C1092)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SUMIFS(RAB!$F$14:$F$81,RAB!$C$14:$C$81,C1093)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SUMIFS(RAB!$F$14:$F$81,RAB!$C$14:$C$81,C1094)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SUMIFS(RAB!$F$14:$F$81,RAB!$C$14:$C$81,C1095)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SUMIFS(RAB!$F$14:$F$81,RAB!$C$14:$C$81,C1096)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SUMIFS(RAB!$F$14:$F$81,RAB!$C$14:$C$81,C1097)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SUMIFS(RAB!$F$14:$F$81,RAB!$C$14:$C$81,C1098)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SUMIFS(RAB!$F$14:$F$81,RAB!$C$14:$C$81,C1099)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SUMIFS(RAB!$F$14:$F$81,RAB!$C$14:$C$81,C1100)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SUMIFS(RAB!$F$14:$F$81,RAB!$C$14:$C$81,C1101)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SUMIFS(RAB!$F$14:$F$81,RAB!$C$14:$C$81,C1102)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SUMIFS(RAB!$F$14:$F$81,RAB!$C$14:$C$81,C1103)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SUMIFS(RAB!$F$14:$F$81,RAB!$C$14:$C$81,C1104)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SUMIFS(RAB!$F$14:$F$81,RAB!$C$14:$C$81,C1105)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SUMIFS(RAB!$F$14:$F$81,RAB!$C$14:$C$81,C1106)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SUMIFS(RAB!$F$14:$F$81,RAB!$C$14:$C$81,C1107)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SUMIFS(RAB!$F$14:$F$81,RAB!$C$14:$C$81,C1108)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SUMIFS(RAB!$F$14:$F$81,RAB!$C$14:$C$81,C1109)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SUMIFS(RAB!$F$14:$F$81,RAB!$C$14:$C$81,C1110)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SUMIFS(RAB!$F$14:$F$81,RAB!$C$14:$C$81,C1111)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SUMIFS(RAB!$F$14:$F$81,RAB!$C$14:$C$81,C1112)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SUMIFS(RAB!$F$14:$F$81,RAB!$C$14:$C$81,C1113)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SUMIFS(RAB!$F$14:$F$81,RAB!$C$14:$C$81,C1114)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SUMIFS(RAB!$F$14:$F$81,RAB!$C$14:$C$81,C1115)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SUMIFS(RAB!$F$14:$F$81,RAB!$C$14:$C$81,C1116)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SUMIFS(RAB!$F$14:$F$81,RAB!$C$14:$C$81,C1117)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SUMIFS(RAB!$F$14:$F$81,RAB!$C$14:$C$81,C1118)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SUMIFS(RAB!$F$14:$F$81,RAB!$C$14:$C$81,C1119)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SUMIFS(RAB!$F$14:$F$81,RAB!$C$14:$C$81,C1120)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SUMIFS(RAB!$F$14:$F$81,RAB!$C$14:$C$81,C1121)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SUMIFS(RAB!$F$14:$F$81,RAB!$C$14:$C$81,C1122)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SUMIFS(RAB!$F$14:$F$81,RAB!$C$14:$C$81,C1123)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SUMIFS(RAB!$F$14:$F$81,RAB!$C$14:$C$81,C1124)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SUMIFS(RAB!$F$14:$F$81,RAB!$C$14:$C$81,C1125)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SUMIFS(RAB!$F$14:$F$81,RAB!$C$14:$C$81,C1126)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SUMIFS(RAB!$F$14:$F$81,RAB!$C$14:$C$81,C1127)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SUMIFS(RAB!$F$14:$F$81,RAB!$C$14:$C$81,C1128)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SUMIFS(RAB!$F$14:$F$81,RAB!$C$14:$C$81,C1129)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SUMIFS(RAB!$F$14:$F$81,RAB!$C$14:$C$81,C1130)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SUMIFS(RAB!$F$14:$F$81,RAB!$C$14:$C$81,C1131)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SUMIFS(RAB!$F$14:$F$81,RAB!$C$14:$C$81,C1132)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SUMIFS(RAB!$F$14:$F$81,RAB!$C$14:$C$81,C1133)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SUMIFS(RAB!$F$14:$F$81,RAB!$C$14:$C$81,C1134)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SUMIFS(RAB!$F$14:$F$81,RAB!$C$14:$C$81,C1135)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SUMIFS(RAB!$F$14:$F$81,RAB!$C$14:$C$81,C1136)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SUMIFS(RAB!$F$14:$F$81,RAB!$C$14:$C$81,C1137)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SUMIFS(RAB!$F$14:$F$81,RAB!$C$14:$C$81,C1138)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SUMIFS(RAB!$F$14:$F$81,RAB!$C$14:$C$81,C1139)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SUMIFS(RAB!$F$14:$F$81,RAB!$C$14:$C$81,C1140)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SUMIFS(RAB!$F$14:$F$81,RAB!$C$14:$C$81,C1141)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SUMIFS(RAB!$F$14:$F$81,RAB!$C$14:$C$81,C1142)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SUMIFS(RAB!$F$14:$F$81,RAB!$C$14:$C$81,C1143)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SUMIFS(RAB!$F$14:$F$81,RAB!$C$14:$C$81,C1144)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SUMIFS(RAB!$F$14:$F$81,RAB!$C$14:$C$81,C1145)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SUMIFS(RAB!$F$14:$F$81,RAB!$C$14:$C$81,C1146)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SUMIFS(RAB!$F$14:$F$81,RAB!$C$14:$C$81,C1147)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SUMIFS(RAB!$F$14:$F$81,RAB!$C$14:$C$81,C1148)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SUMIFS(RAB!$F$14:$F$81,RAB!$C$14:$C$81,C1149)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SUMIFS(RAB!$F$14:$F$81,RAB!$C$14:$C$81,C1150)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SUMIFS(RAB!$F$14:$F$81,RAB!$C$14:$C$81,C1151)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SUMIFS(RAB!$F$14:$F$81,RAB!$C$14:$C$81,C1152)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SUMIFS(RAB!$F$14:$F$81,RAB!$C$14:$C$81,C1153)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SUMIFS(RAB!$F$14:$F$81,RAB!$C$14:$C$81,C1154)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SUMIFS(RAB!$F$14:$F$81,RAB!$C$14:$C$81,C1155)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SUMIFS(RAB!$F$14:$F$81,RAB!$C$14:$C$81,C1156)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SUMIFS(RAB!$F$14:$F$81,RAB!$C$14:$C$81,C1157)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SUMIFS(RAB!$F$14:$F$81,RAB!$C$14:$C$81,C1158)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SUMIFS(RAB!$F$14:$F$81,RAB!$C$14:$C$81,C1159)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SUMIFS(RAB!$F$14:$F$81,RAB!$C$14:$C$81,C1160)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SUMIFS(RAB!$F$14:$F$81,RAB!$C$14:$C$81,C1161)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SUMIFS(RAB!$F$14:$F$81,RAB!$C$14:$C$81,C1162)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SUMIFS(RAB!$F$14:$F$81,RAB!$C$14:$C$81,C1163)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SUMIFS(RAB!$F$14:$F$81,RAB!$C$14:$C$81,C1164)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SUMIFS(RAB!$F$14:$F$81,RAB!$C$14:$C$81,C1165)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SUMIFS(RAB!$F$14:$F$81,RAB!$C$14:$C$81,C1166)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SUMIFS(RAB!$F$14:$F$81,RAB!$C$14:$C$81,C1167)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SUMIFS(RAB!$F$14:$F$81,RAB!$C$14:$C$81,C1168)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SUMIFS(RAB!$F$14:$F$81,RAB!$C$14:$C$81,C1169)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SUMIFS(RAB!$F$14:$F$81,RAB!$C$14:$C$81,C1170)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SUMIFS(RAB!$F$14:$F$81,RAB!$C$14:$C$81,C1171)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SUMIFS(RAB!$F$14:$F$81,RAB!$C$14:$C$81,C1172)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SUMIFS(RAB!$F$14:$F$81,RAB!$C$14:$C$81,C1173)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SUMIFS(RAB!$F$14:$F$81,RAB!$C$14:$C$81,C1174)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SUMIFS(RAB!$F$14:$F$81,RAB!$C$14:$C$81,C1175)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SUMIFS(RAB!$F$14:$F$81,RAB!$C$14:$C$81,C1176)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SUMIFS(RAB!$F$14:$F$81,RAB!$C$14:$C$81,C1177)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SUMIFS(RAB!$F$14:$F$81,RAB!$C$14:$C$81,C1178)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SUMIFS(RAB!$F$14:$F$81,RAB!$C$14:$C$81,C1179)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SUMIFS(RAB!$F$14:$F$81,RAB!$C$14:$C$81,C1180)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SUMIFS(RAB!$F$14:$F$81,RAB!$C$14:$C$81,C1181)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SUMIFS(RAB!$F$14:$F$81,RAB!$C$14:$C$81,C1182)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SUMIFS(RAB!$F$14:$F$81,RAB!$C$14:$C$81,C1183)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SUMIFS(RAB!$F$14:$F$81,RAB!$C$14:$C$81,C1184)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SUMIFS(RAB!$F$14:$F$81,RAB!$C$14:$C$81,C1185)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SUMIFS(RAB!$F$14:$F$81,RAB!$C$14:$C$81,C1186)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SUMIFS(RAB!$F$14:$F$81,RAB!$C$14:$C$81,C1187)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SUMIFS(RAB!$F$14:$F$81,RAB!$C$14:$C$81,C1188)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SUMIFS(RAB!$F$14:$F$81,RAB!$C$14:$C$81,C1189)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SUMIFS(RAB!$F$14:$F$81,RAB!$C$14:$C$81,C1190)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SUMIFS(RAB!$F$14:$F$81,RAB!$C$14:$C$81,C1191)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SUMIFS(RAB!$F$14:$F$81,RAB!$C$14:$C$81,C1192)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SUMIFS(RAB!$F$14:$F$81,RAB!$C$14:$C$81,C1193)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SUMIFS(RAB!$F$14:$F$81,RAB!$C$14:$C$81,C1194)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SUMIFS(RAB!$F$14:$F$81,RAB!$C$14:$C$81,C1195)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SUMIFS(RAB!$F$14:$F$81,RAB!$C$14:$C$81,C1196)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SUMIFS(RAB!$F$14:$F$81,RAB!$C$14:$C$81,C1197)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SUMIFS(RAB!$F$14:$F$81,RAB!$C$14:$C$81,C1198)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SUMIFS(RAB!$F$14:$F$81,RAB!$C$14:$C$81,C1199)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SUMIFS(RAB!$F$14:$F$81,RAB!$C$14:$C$81,C1200)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SUMIFS(RAB!$F$14:$F$81,RAB!$C$14:$C$81,C1201)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SUMIFS(RAB!$F$14:$F$81,RAB!$C$14:$C$81,C1202)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SUMIFS(RAB!$F$14:$F$81,RAB!$C$14:$C$81,C1203)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SUMIFS(RAB!$F$14:$F$81,RAB!$C$14:$C$81,C1204)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SUMIFS(RAB!$F$14:$F$81,RAB!$C$14:$C$81,C1205)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SUMIFS(RAB!$F$14:$F$81,RAB!$C$14:$C$81,C1206)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SUMIFS(RAB!$F$14:$F$81,RAB!$C$14:$C$81,C1207)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SUMIFS(RAB!$F$14:$F$81,RAB!$C$14:$C$81,C1208)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SUMIFS(RAB!$F$14:$F$81,RAB!$C$14:$C$81,C1209)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SUMIFS(RAB!$F$14:$F$81,RAB!$C$14:$C$81,C1210)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SUMIFS(RAB!$F$14:$F$81,RAB!$C$14:$C$81,C1211)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SUMIFS(RAB!$F$14:$F$81,RAB!$C$14:$C$81,C1212)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SUMIFS(RAB!$F$14:$F$81,RAB!$C$14:$C$81,C1213)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SUMIFS(RAB!$F$14:$F$81,RAB!$C$14:$C$81,C1214)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SUMIFS(RAB!$F$14:$F$81,RAB!$C$14:$C$81,C1215)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SUMIFS(RAB!$F$14:$F$81,RAB!$C$14:$C$81,C1216)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SUMIFS(RAB!$F$14:$F$81,RAB!$C$14:$C$81,C1217)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SUMIFS(RAB!$F$14:$F$81,RAB!$C$14:$C$81,C1218)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SUMIFS(RAB!$F$14:$F$81,RAB!$C$14:$C$81,C1219)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SUMIFS(RAB!$F$14:$F$81,RAB!$C$14:$C$81,C1220)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SUMIFS(RAB!$F$14:$F$81,RAB!$C$14:$C$81,C1221)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SUMIFS(RAB!$F$14:$F$81,RAB!$C$14:$C$81,C1222)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SUMIFS(RAB!$F$14:$F$81,RAB!$C$14:$C$81,C1223)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SUMIFS(RAB!$F$14:$F$81,RAB!$C$14:$C$81,C1224)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SUMIFS(RAB!$F$14:$F$81,RAB!$C$14:$C$81,C1225)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SUMIFS(RAB!$F$14:$F$81,RAB!$C$14:$C$81,C1226)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SUMIFS(RAB!$F$14:$F$81,RAB!$C$14:$C$81,C1227)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SUMIFS(RAB!$F$14:$F$81,RAB!$C$14:$C$81,C1228)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SUMIFS(RAB!$F$14:$F$81,RAB!$C$14:$C$81,C1229)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SUMIFS(RAB!$F$14:$F$81,RAB!$C$14:$C$81,C1230)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SUMIFS(RAB!$F$14:$F$81,RAB!$C$14:$C$81,C1231)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SUMIFS(RAB!$F$14:$F$81,RAB!$C$14:$C$81,C1232)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SUMIFS(RAB!$F$14:$F$81,RAB!$C$14:$C$81,C1233)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SUMIFS(RAB!$F$14:$F$81,RAB!$C$14:$C$81,C1234)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SUMIFS(RAB!$F$14:$F$81,RAB!$C$14:$C$81,C1235)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SUMIFS(RAB!$F$14:$F$81,RAB!$C$14:$C$81,C1236)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SUMIFS(RAB!$F$14:$F$81,RAB!$C$14:$C$81,C1237)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SUMIFS(RAB!$F$14:$F$81,RAB!$C$14:$C$81,C1238)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SUMIFS(RAB!$F$14:$F$81,RAB!$C$14:$C$81,C1239)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SUMIFS(RAB!$F$14:$F$81,RAB!$C$14:$C$81,C1240)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SUMIFS(RAB!$F$14:$F$81,RAB!$C$14:$C$81,C1241)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SUMIFS(RAB!$F$14:$F$81,RAB!$C$14:$C$81,C1242)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SUMIFS(RAB!$F$14:$F$81,RAB!$C$14:$C$81,C1243)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SUMIFS(RAB!$F$14:$F$81,RAB!$C$14:$C$81,C1244)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SUMIFS(RAB!$F$14:$F$81,RAB!$C$14:$C$81,C1245)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SUMIFS(RAB!$F$14:$F$81,RAB!$C$14:$C$81,C1246)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SUMIFS(RAB!$F$14:$F$81,RAB!$C$14:$C$81,C1247)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SUMIFS(RAB!$F$14:$F$81,RAB!$C$14:$C$81,C1248)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SUMIFS(RAB!$F$14:$F$81,RAB!$C$14:$C$81,C1249)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SUMIFS(RAB!$F$14:$F$81,RAB!$C$14:$C$81,C1250)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SUMIFS(RAB!$F$14:$F$81,RAB!$C$14:$C$81,C1251)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SUMIFS(RAB!$F$14:$F$81,RAB!$C$14:$C$81,C1252)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SUMIFS(RAB!$F$14:$F$81,RAB!$C$14:$C$81,C1253)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SUMIFS(RAB!$F$14:$F$81,RAB!$C$14:$C$81,C1254)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SUMIFS(RAB!$F$14:$F$81,RAB!$C$14:$C$81,C1255)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SUMIFS(RAB!$F$14:$F$81,RAB!$C$14:$C$81,C1256)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SUMIFS(RAB!$F$14:$F$81,RAB!$C$14:$C$81,C1257)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SUMIFS(RAB!$F$14:$F$81,RAB!$C$14:$C$81,C1258)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SUMIFS(RAB!$F$14:$F$81,RAB!$C$14:$C$81,C1259)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SUMIFS(RAB!$F$14:$F$81,RAB!$C$14:$C$81,C1260)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SUMIFS(RAB!$F$14:$F$81,RAB!$C$14:$C$81,C1261)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SUMIFS(RAB!$F$14:$F$81,RAB!$C$14:$C$81,C1262)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SUMIFS(RAB!$F$14:$F$81,RAB!$C$14:$C$81,C1263)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SUMIFS(RAB!$F$14:$F$81,RAB!$C$14:$C$81,C1264)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SUMIFS(RAB!$F$14:$F$81,RAB!$C$14:$C$81,C1265)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SUMIFS(RAB!$F$14:$F$81,RAB!$C$14:$C$81,C1266)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SUMIFS(RAB!$F$14:$F$81,RAB!$C$14:$C$81,C1267)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SUMIFS(RAB!$F$14:$F$81,RAB!$C$14:$C$81,C1268)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SUMIFS(RAB!$F$14:$F$81,RAB!$C$14:$C$81,C1269)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SUMIFS(RAB!$F$14:$F$81,RAB!$C$14:$C$81,C1270)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SUMIFS(RAB!$F$14:$F$81,RAB!$C$14:$C$81,C1271)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SUMIFS(RAB!$F$14:$F$81,RAB!$C$14:$C$81,C1272)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SUMIFS(RAB!$F$14:$F$81,RAB!$C$14:$C$81,C1273)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SUMIFS(RAB!$F$14:$F$81,RAB!$C$14:$C$81,C1274)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SUMIFS(RAB!$F$14:$F$81,RAB!$C$14:$C$81,C1275)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SUMIFS(RAB!$F$14:$F$81,RAB!$C$14:$C$81,C1276)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SUMIFS(RAB!$F$14:$F$81,RAB!$C$14:$C$81,C1277)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SUMIFS(RAB!$F$14:$F$81,RAB!$C$14:$C$81,C1278)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SUMIFS(RAB!$F$14:$F$81,RAB!$C$14:$C$81,C1279)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SUMIFS(RAB!$F$14:$F$81,RAB!$C$14:$C$81,C1280)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SUMIFS(RAB!$F$14:$F$81,RAB!$C$14:$C$81,C1281)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SUMIFS(RAB!$F$14:$F$81,RAB!$C$14:$C$81,C1282)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SUMIFS(RAB!$F$14:$F$81,RAB!$C$14:$C$81,C1283)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SUMIFS(RAB!$F$14:$F$81,RAB!$C$14:$C$81,C1284)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SUMIFS(RAB!$F$14:$F$81,RAB!$C$14:$C$81,C1285)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SUMIFS(RAB!$F$14:$F$81,RAB!$C$14:$C$81,C1286)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SUMIFS(RAB!$F$14:$F$81,RAB!$C$14:$C$81,C1287)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SUMIFS(RAB!$F$14:$F$81,RAB!$C$14:$C$81,C1288)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SUMIFS(RAB!$F$14:$F$81,RAB!$C$14:$C$81,C1289)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SUMIFS(RAB!$F$14:$F$81,RAB!$C$14:$C$81,C1290)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SUMIFS(RAB!$F$14:$F$81,RAB!$C$14:$C$81,C1291)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SUMIFS(RAB!$F$14:$F$81,RAB!$C$14:$C$81,C1292)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SUMIFS(RAB!$F$14:$F$81,RAB!$C$14:$C$81,C1293)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SUMIFS(RAB!$F$14:$F$81,RAB!$C$14:$C$81,C1294)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SUMIFS(RAB!$F$14:$F$81,RAB!$C$14:$C$81,C1295)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SUMIFS(RAB!$F$14:$F$81,RAB!$C$14:$C$81,C1296)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SUMIFS(RAB!$F$14:$F$81,RAB!$C$14:$C$81,C1297)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SUMIFS(RAB!$F$14:$F$81,RAB!$C$14:$C$81,C1298)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SUMIFS(RAB!$F$14:$F$81,RAB!$C$14:$C$81,C1299)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SUMIFS(RAB!$F$14:$F$81,RAB!$C$14:$C$81,C1300)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SUMIFS(RAB!$F$14:$F$81,RAB!$C$14:$C$81,C1301)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SUMIFS(RAB!$F$14:$F$81,RAB!$C$14:$C$81,C1302)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SUMIFS(RAB!$F$14:$F$81,RAB!$C$14:$C$81,C1303)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SUMIFS(RAB!$F$14:$F$81,RAB!$C$14:$C$81,C1304)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SUMIFS(RAB!$F$14:$F$81,RAB!$C$14:$C$81,C1305)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SUMIFS(RAB!$F$14:$F$81,RAB!$C$14:$C$81,C1306)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SUMIFS(RAB!$F$14:$F$81,RAB!$C$14:$C$81,C1307)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SUMIFS(RAB!$F$14:$F$81,RAB!$C$14:$C$81,C1308)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SUMIFS(RAB!$F$14:$F$81,RAB!$C$14:$C$81,C1309)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SUMIFS(RAB!$F$14:$F$81,RAB!$C$14:$C$81,C1310)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SUMIFS(RAB!$F$14:$F$81,RAB!$C$14:$C$81,C1311)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SUMIFS(RAB!$F$14:$F$81,RAB!$C$14:$C$81,C1312)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SUMIFS(RAB!$F$14:$F$81,RAB!$C$14:$C$81,C1313)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SUMIFS(RAB!$F$14:$F$81,RAB!$C$14:$C$81,C1314)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SUMIFS(RAB!$F$14:$F$81,RAB!$C$14:$C$81,C1315)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SUMIFS(RAB!$F$14:$F$81,RAB!$C$14:$C$81,C1316)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SUMIFS(RAB!$F$14:$F$81,RAB!$C$14:$C$81,C1317)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SUMIFS(RAB!$F$14:$F$81,RAB!$C$14:$C$81,C1318)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SUMIFS(RAB!$F$14:$F$81,RAB!$C$14:$C$81,C1319)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SUMIFS(RAB!$F$14:$F$81,RAB!$C$14:$C$81,C1320)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KOST TRI WAHYU BUWONO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TEMBIRING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SUMIFS(RAB!$F$14:$F$81,RAB!$C$14:$C$81,'REKAP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SUMIFS(RAB!$F$14:$F$81,RAB!$C$14:$C$81,'REKAP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SUMIFS(RAB!$F$14:$F$81,RAB!$C$14:$C$81,'REKAP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SUMIFS(RAB!$F$14:$F$81,RAB!$C$14:$C$81,'REKAP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SUMIFS(RAB!$F$14:$F$81,RAB!$C$14:$C$81,'REKAP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SUMIFS(RAB!$F$14:$F$81,RAB!$C$14:$C$81,'REKAP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SUMIFS(RAB!$F$14:$F$81,RAB!$C$14:$C$81,'REKAP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SUMIFS(RAB!$F$14:$F$81,RAB!$C$14:$C$81,'REKAP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SUMIFS(RAB!$F$14:$F$81,RAB!$C$14:$C$81,'REKAP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SUMIFS(RAB!$F$14:$F$81,RAB!$C$14:$C$81,'REKAP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SUMIFS(RAB!$F$14:$F$81,RAB!$C$14:$C$81,'REKAP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SUMIFS(RAB!$F$14:$F$81,RAB!$C$14:$C$81,'REKAP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SUMIFS(RAB!$F$14:$F$81,RAB!$C$14:$C$81,'REKAP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SUMIFS(RAB!$F$14:$F$81,RAB!$C$14:$C$81,'REKAP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SUMIFS(RAB!$F$14:$F$81,RAB!$C$14:$C$81,'REKAP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SUMIFS(RAB!$F$14:$F$81,RAB!$C$14:$C$81,'REKAP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SUMIFS(RAB!$F$14:$F$81,RAB!$C$14:$C$81,'REKAP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SUMIFS(RAB!$F$14:$F$81,RAB!$C$14:$C$81,'REKAP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SUMIFS(RAB!$F$14:$F$81,RAB!$C$14:$C$81,'REKAP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SUMIFS(RAB!$F$14:$F$81,RAB!$C$14:$C$81,'REKAP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KOST TRI WAHYU BUWONO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TEMBIRING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6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1965600</v>
      </c>
      <c r="I16" s="42">
        <f t="shared" ca="1" si="2"/>
        <v>0</v>
      </c>
      <c r="J16" s="42">
        <f t="shared" ca="1" si="3"/>
        <v>0</v>
      </c>
      <c r="K16" s="43">
        <f t="shared" ca="1" si="0"/>
        <v>1965600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6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234000</v>
      </c>
      <c r="I17" s="42">
        <f t="shared" ca="1" si="2"/>
        <v>0</v>
      </c>
      <c r="J17" s="42">
        <f t="shared" ca="1" si="3"/>
        <v>0</v>
      </c>
      <c r="K17" s="43">
        <f t="shared" ca="1" si="0"/>
        <v>234000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180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9594000</v>
      </c>
      <c r="I18" s="42">
        <f t="shared" ca="1" si="2"/>
        <v>0</v>
      </c>
      <c r="J18" s="42">
        <f t="shared" ca="1" si="3"/>
        <v>0</v>
      </c>
      <c r="K18" s="43">
        <f t="shared" ca="1" si="0"/>
        <v>9594000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120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792000</v>
      </c>
      <c r="I19" s="42">
        <f t="shared" ca="1" si="2"/>
        <v>0</v>
      </c>
      <c r="J19" s="42">
        <f t="shared" ca="1" si="3"/>
        <v>0</v>
      </c>
      <c r="K19" s="43">
        <f t="shared" ca="1" si="0"/>
        <v>792000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12585600</v>
      </c>
      <c r="I168" s="55">
        <f ca="1">SUM(I14:I167)</f>
        <v>0</v>
      </c>
      <c r="J168" s="55">
        <f ca="1">SUM(J14:J167)</f>
        <v>0</v>
      </c>
      <c r="K168" s="55">
        <f ca="1">SUM(K14:K167)</f>
        <v>12585600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1258560</v>
      </c>
      <c r="I169" s="60">
        <f ca="1">I168*0.1</f>
        <v>0</v>
      </c>
      <c r="J169" s="60">
        <f ca="1">J168*0.1</f>
        <v>0</v>
      </c>
      <c r="K169" s="60">
        <f ca="1">K168*0.1</f>
        <v>1258560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13844160</v>
      </c>
      <c r="I170" s="78">
        <f ca="1">SUM(I168:I169)</f>
        <v>0</v>
      </c>
      <c r="J170" s="61">
        <f ca="1">SUM(J168:J169)</f>
        <v>0</v>
      </c>
      <c r="K170" s="61">
        <f ca="1">SUM(K168:K169)</f>
        <v>13844160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SUMIFS(RAB!$F$14:$F$81,RAB!$C$14:$C$81,C224)</f>
        <v>6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SUMIFS(RAB!$F$14:$F$81,RAB!$C$14:$C$81,C225)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SUMIFS(RAB!$F$14:$F$81,RAB!$C$14:$C$81,C226)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SUMIFS(RAB!$F$14:$F$81,RAB!$C$14:$C$81,C227)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SUMIFS(RAB!$F$14:$F$81,RAB!$C$14:$C$81,C228)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SUMIFS(RAB!$F$14:$F$81,RAB!$C$14:$C$81,C229)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SUMIFS(RAB!$F$14:$F$81,RAB!$C$14:$C$81,C230)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SUMIFS(RAB!$F$14:$F$81,RAB!$C$14:$C$81,C231)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SUMIFS(RAB!$F$14:$F$81,RAB!$C$14:$C$81,C232)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SUMIFS(RAB!$F$14:$F$81,RAB!$C$14:$C$81,C233)</f>
        <v>6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SUMIFS(RAB!$F$14:$F$81,RAB!$C$14:$C$81,C234)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SUMIFS(RAB!$F$14:$F$81,RAB!$C$14:$C$81,C235)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SUMIFS(RAB!$F$14:$F$81,RAB!$C$14:$C$81,C236)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SUMIFS(RAB!$F$14:$F$81,RAB!$C$14:$C$81,C237)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SUMIFS(RAB!$F$14:$F$81,RAB!$C$14:$C$81,C238)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SUMIFS(RAB!$F$14:$F$81,RAB!$C$14:$C$81,C239)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SUMIFS(RAB!$F$14:$F$81,RAB!$C$14:$C$81,C240)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SUMIFS(RAB!$F$14:$F$81,RAB!$C$14:$C$81,C241)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SUMIFS(RAB!$F$14:$F$81,RAB!$C$14:$C$81,C242)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SUMIFS(RAB!$F$14:$F$81,RAB!$C$14:$C$81,C243)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SUMIFS(RAB!$F$14:$F$81,RAB!$C$14:$C$81,C244)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SUMIFS(RAB!$F$14:$F$81,RAB!$C$14:$C$81,C245)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SUMIFS(RAB!$F$14:$F$81,RAB!$C$14:$C$81,C246)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SUMIFS(RAB!$F$14:$F$81,RAB!$C$14:$C$81,C247)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SUMIFS(RAB!$F$14:$F$81,RAB!$C$14:$C$81,C248)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SUMIFS(RAB!$F$14:$F$81,RAB!$C$14:$C$81,C249)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SUMIFS(RAB!$F$14:$F$81,RAB!$C$14:$C$81,C250)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SUMIFS(RAB!$F$14:$F$81,RAB!$C$14:$C$81,C251)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SUMIFS(RAB!$F$14:$F$81,RAB!$C$14:$C$81,C252)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SUMIFS(RAB!$F$14:$F$81,RAB!$C$14:$C$81,C253)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SUMIFS(RAB!$F$14:$F$81,RAB!$C$14:$C$81,C254)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SUMIFS(RAB!$F$14:$F$81,RAB!$C$14:$C$81,C255)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SUMIFS(RAB!$F$14:$F$81,RAB!$C$14:$C$81,C256)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SUMIFS(RAB!$F$14:$F$81,RAB!$C$14:$C$81,C257)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SUMIFS(RAB!$F$14:$F$81,RAB!$C$14:$C$81,C258)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SUMIFS(RAB!$F$14:$F$81,RAB!$C$14:$C$81,C259)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SUMIFS(RAB!$F$14:$F$81,RAB!$C$14:$C$81,C260)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SUMIFS(RAB!$F$14:$F$81,RAB!$C$14:$C$81,C261)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SUMIFS(RAB!$F$14:$F$81,RAB!$C$14:$C$81,C262)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SUMIFS(RAB!$F$14:$F$81,RAB!$C$14:$C$81,C263)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SUMIFS(RAB!$F$14:$F$81,RAB!$C$14:$C$81,C264)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SUMIFS(RAB!$F$14:$F$81,RAB!$C$14:$C$81,C265)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SUMIFS(RAB!$F$14:$F$81,RAB!$C$14:$C$81,C266)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SUMIFS(RAB!$F$14:$F$81,RAB!$C$14:$C$81,C267)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SUMIFS(RAB!$F$14:$F$81,RAB!$C$14:$C$81,C268)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SUMIFS(RAB!$F$14:$F$81,RAB!$C$14:$C$81,C269)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SUMIFS(RAB!$F$14:$F$81,RAB!$C$14:$C$81,C270)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SUMIFS(RAB!$F$14:$F$81,RAB!$C$14:$C$81,C271)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SUMIFS(RAB!$F$14:$F$81,RAB!$C$14:$C$81,C272)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SUMIFS(RAB!$F$14:$F$81,RAB!$C$14:$C$81,C273)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SUMIFS(RAB!$F$14:$F$81,RAB!$C$14:$C$81,C274)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SUMIFS(RAB!$F$14:$F$81,RAB!$C$14:$C$81,C275)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SUMIFS(RAB!$F$14:$F$81,RAB!$C$14:$C$81,C276)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SUMIFS(RAB!$F$14:$F$81,RAB!$C$14:$C$81,C277)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SUMIFS(RAB!$F$14:$F$81,RAB!$C$14:$C$81,C278)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SUMIFS(RAB!$F$14:$F$81,RAB!$C$14:$C$81,C279)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SUMIFS(RAB!$F$14:$F$81,RAB!$C$14:$C$81,C280)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SUMIFS(RAB!$F$14:$F$81,RAB!$C$14:$C$81,C281)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SUMIFS(RAB!$F$14:$F$81,RAB!$C$14:$C$81,C282)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SUMIFS(RAB!$F$14:$F$81,RAB!$C$14:$C$81,C283)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SUMIFS(RAB!$F$14:$F$81,RAB!$C$14:$C$81,C284)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SUMIFS(RAB!$F$14:$F$81,RAB!$C$14:$C$81,C285)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SUMIFS(RAB!$F$14:$F$81,RAB!$C$14:$C$81,C286)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SUMIFS(RAB!$F$14:$F$81,RAB!$C$14:$C$81,C287)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SUMIFS(RAB!$F$14:$F$81,RAB!$C$14:$C$81,C288)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SUMIFS(RAB!$F$14:$F$81,RAB!$C$14:$C$81,C289)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SUMIFS(RAB!$F$14:$F$81,RAB!$C$14:$C$81,C290)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SUMIFS(RAB!$F$14:$F$81,RAB!$C$14:$C$81,C291)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SUMIFS(RAB!$F$14:$F$81,RAB!$C$14:$C$81,C292)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SUMIFS(RAB!$F$14:$F$81,RAB!$C$14:$C$81,C293)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SUMIFS(RAB!$F$14:$F$81,RAB!$C$14:$C$81,C294)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SUMIFS(RAB!$F$14:$F$81,RAB!$C$14:$C$81,C295)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SUMIFS(RAB!$F$14:$F$81,RAB!$C$14:$C$81,C296)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SUMIFS(RAB!$F$14:$F$81,RAB!$C$14:$C$81,C297)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SUMIFS(RAB!$F$14:$F$81,RAB!$C$14:$C$81,C298)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SUMIFS(RAB!$F$14:$F$81,RAB!$C$14:$C$81,C299)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SUMIFS(RAB!$F$14:$F$81,RAB!$C$14:$C$81,C300)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SUMIFS(RAB!$F$14:$F$81,RAB!$C$14:$C$81,C301)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SUMIFS(RAB!$F$14:$F$81,RAB!$C$14:$C$81,C302)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SUMIFS(RAB!$F$14:$F$81,RAB!$C$14:$C$81,C303)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SUMIFS(RAB!$F$14:$F$81,RAB!$C$14:$C$81,C304)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SUMIFS(RAB!$F$14:$F$81,RAB!$C$14:$C$81,C305)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SUMIFS(RAB!$F$14:$F$81,RAB!$C$14:$C$81,C306)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SUMIFS(RAB!$F$14:$F$81,RAB!$C$14:$C$81,C307)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SUMIFS(RAB!$F$14:$F$81,RAB!$C$14:$C$81,C308)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SUMIFS(RAB!$F$14:$F$81,RAB!$C$14:$C$81,C309)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SUMIFS(RAB!$F$14:$F$81,RAB!$C$14:$C$81,C310)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SUMIFS(RAB!$F$14:$F$81,RAB!$C$14:$C$81,C311)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SUMIFS(RAB!$F$14:$F$81,RAB!$C$14:$C$81,C312)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SUMIFS(RAB!$F$14:$F$81,RAB!$C$14:$C$81,C313)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SUMIFS(RAB!$F$14:$F$81,RAB!$C$14:$C$81,C314)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SUMIFS(RAB!$F$14:$F$81,RAB!$C$14:$C$81,C315)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SUMIFS(RAB!$F$14:$F$81,RAB!$C$14:$C$81,C316)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SUMIFS(RAB!$F$14:$F$81,RAB!$C$14:$C$81,C317)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SUMIFS(RAB!$F$14:$F$81,RAB!$C$14:$C$81,C318)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SUMIFS(RAB!$F$14:$F$81,RAB!$C$14:$C$81,C319)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SUMIFS(RAB!$F$14:$F$81,RAB!$C$14:$C$81,C320)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SUMIFS(RAB!$F$14:$F$81,RAB!$C$14:$C$81,C321)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SUMIFS(RAB!$F$14:$F$81,RAB!$C$14:$C$81,C322)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SUMIFS(RAB!$F$14:$F$81,RAB!$C$14:$C$81,C323)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SUMIFS(RAB!$F$14:$F$81,RAB!$C$14:$C$81,C324)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SUMIFS(RAB!$F$14:$F$81,RAB!$C$14:$C$81,C325)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SUMIFS(RAB!$F$14:$F$81,RAB!$C$14:$C$81,C326)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SUMIFS(RAB!$F$14:$F$81,RAB!$C$14:$C$81,C327)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SUMIFS(RAB!$F$14:$F$81,RAB!$C$14:$C$81,C328)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SUMIFS(RAB!$F$14:$F$81,RAB!$C$14:$C$81,C329)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SUMIFS(RAB!$F$14:$F$81,RAB!$C$14:$C$81,C330)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SUMIFS(RAB!$F$14:$F$81,RAB!$C$14:$C$81,C331)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SUMIFS(RAB!$F$14:$F$81,RAB!$C$14:$C$81,C332)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SUMIFS(RAB!$F$14:$F$81,RAB!$C$14:$C$81,C333)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SUMIFS(RAB!$F$14:$F$81,RAB!$C$14:$C$81,C334)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SUMIFS(RAB!$F$14:$F$81,RAB!$C$14:$C$81,C335)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SUMIFS(RAB!$F$14:$F$81,RAB!$C$14:$C$81,C336)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SUMIFS(RAB!$F$14:$F$81,RAB!$C$14:$C$81,C337)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SUMIFS(RAB!$F$14:$F$81,RAB!$C$14:$C$81,C338)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SUMIFS(RAB!$F$14:$F$81,RAB!$C$14:$C$81,C339)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SUMIFS(RAB!$F$14:$F$81,RAB!$C$14:$C$81,C340)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SUMIFS(RAB!$F$14:$F$81,RAB!$C$14:$C$81,C341)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SUMIFS(RAB!$F$14:$F$81,RAB!$C$14:$C$81,C342)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SUMIFS(RAB!$F$14:$F$81,RAB!$C$14:$C$81,C343)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SUMIFS(RAB!$F$14:$F$81,RAB!$C$14:$C$81,C344)</f>
        <v>180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SUMIFS(RAB!$F$14:$F$81,RAB!$C$14:$C$81,C345)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SUMIFS(RAB!$F$14:$F$81,RAB!$C$14:$C$81,C346)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SUMIFS(RAB!$F$14:$F$81,RAB!$C$14:$C$81,C347)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SUMIFS(RAB!$F$14:$F$81,RAB!$C$14:$C$81,C348)</f>
        <v>120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SUMIFS(RAB!$F$14:$F$81,RAB!$C$14:$C$81,C349)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SUMIFS(RAB!$F$14:$F$81,RAB!$C$14:$C$81,C350)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SUMIFS(RAB!$F$14:$F$81,RAB!$C$14:$C$81,C351)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SUMIFS(RAB!$F$14:$F$81,RAB!$C$14:$C$81,C352)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SUMIFS(RAB!$F$14:$F$81,RAB!$C$14:$C$81,C353)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SUMIFS(RAB!$F$14:$F$81,RAB!$C$14:$C$81,C354)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SUMIFS(RAB!$F$14:$F$81,RAB!$C$14:$C$81,C355)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SUMIFS(RAB!$F$14:$F$81,RAB!$C$14:$C$81,C356)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SUMIFS(RAB!$F$14:$F$81,RAB!$C$14:$C$81,C357)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SUMIFS(RAB!$F$14:$F$81,RAB!$C$14:$C$81,C358)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SUMIFS(RAB!$F$14:$F$81,RAB!$C$14:$C$81,C359)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SUMIFS(RAB!$F$14:$F$81,RAB!$C$14:$C$81,C360)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SUMIFS(RAB!$F$14:$F$81,RAB!$C$14:$C$81,C361)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SUMIFS(RAB!$F$14:$F$81,RAB!$C$14:$C$81,C362)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SUMIFS(RAB!$F$14:$F$81,RAB!$C$14:$C$81,C363)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SUMIFS(RAB!$F$14:$F$81,RAB!$C$14:$C$81,C364)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SUMIFS(RAB!$F$14:$F$81,RAB!$C$14:$C$81,C365)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SUMIFS(RAB!$F$14:$F$81,RAB!$C$14:$C$81,C366)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SUMIFS(RAB!$F$14:$F$81,RAB!$C$14:$C$81,C367)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SUMIFS(RAB!$F$14:$F$81,RAB!$C$14:$C$81,C368)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SUMIFS(RAB!$F$14:$F$81,RAB!$C$14:$C$81,C369)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SUMIFS(RAB!$F$14:$F$81,RAB!$C$14:$C$81,C370)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SUMIFS(RAB!$F$14:$F$81,RAB!$C$14:$C$81,C371)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SUMIFS(RAB!$F$14:$F$81,RAB!$C$14:$C$81,C372)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SUMIFS(RAB!$F$14:$F$81,RAB!$C$14:$C$81,C373)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1609</v>
      </c>
      <c r="G4" s="108" t="s">
        <v>1608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4" priority="138" operator="equal">
      <formula>0</formula>
    </cfRule>
  </conditionalFormatting>
  <conditionalFormatting sqref="B8:C135">
    <cfRule type="cellIs" dxfId="23" priority="51" operator="equal">
      <formula>0</formula>
    </cfRule>
  </conditionalFormatting>
  <conditionalFormatting sqref="B150:G1493">
    <cfRule type="cellIs" dxfId="22" priority="1" operator="equal">
      <formula>0</formula>
    </cfRule>
  </conditionalFormatting>
  <conditionalFormatting sqref="C143:G149">
    <cfRule type="cellIs" dxfId="21" priority="5" operator="equal">
      <formula>0</formula>
    </cfRule>
  </conditionalFormatting>
  <conditionalFormatting sqref="D9:G142">
    <cfRule type="cellIs" dxfId="20" priority="11" operator="equal">
      <formula>0</formula>
    </cfRule>
  </conditionalFormatting>
  <conditionalFormatting sqref="D1:IV5 A1:C7 D6:K6 H1455:IV1457 H1458:XFD1485 H1486:H1493 I1486:XFD1494 A1494:H1494 A1495:XFD65536">
    <cfRule type="cellIs" dxfId="19" priority="163" operator="equal">
      <formula>0</formula>
    </cfRule>
  </conditionalFormatting>
  <conditionalFormatting sqref="D7:IV8 C136:C142 B136:B149">
    <cfRule type="cellIs" dxfId="18" priority="62" operator="equal">
      <formula>0</formula>
    </cfRule>
  </conditionalFormatting>
  <conditionalFormatting sqref="H9:H1418">
    <cfRule type="cellIs" dxfId="17" priority="129" operator="equal">
      <formula>0</formula>
    </cfRule>
  </conditionalFormatting>
  <conditionalFormatting sqref="H1419:I1454">
    <cfRule type="cellIs" dxfId="16" priority="128" operator="equal">
      <formula>0</formula>
    </cfRule>
  </conditionalFormatting>
  <conditionalFormatting sqref="I108:I1418">
    <cfRule type="cellIs" dxfId="15" priority="125" operator="equal">
      <formula>0</formula>
    </cfRule>
  </conditionalFormatting>
  <conditionalFormatting sqref="J108:IV1454">
    <cfRule type="cellIs" dxfId="14" priority="139" operator="equal">
      <formula>0</formula>
    </cfRule>
  </conditionalFormatting>
  <conditionalFormatting sqref="M6:IV6">
    <cfRule type="cellIs" dxfId="1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0" t="s">
        <v>1454</v>
      </c>
      <c r="C2" s="560"/>
      <c r="D2" s="560"/>
      <c r="E2" s="56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5" t="s">
        <v>1532</v>
      </c>
      <c r="C4" s="566"/>
      <c r="D4" s="566"/>
      <c r="E4" s="567"/>
      <c r="F4" s="441"/>
      <c r="G4" s="441"/>
      <c r="H4" s="442"/>
      <c r="I4" s="592" t="s">
        <v>1533</v>
      </c>
      <c r="J4" s="593"/>
      <c r="K4" s="593"/>
      <c r="L4" s="594"/>
    </row>
    <row r="5" spans="1:12" ht="34.5" customHeight="1">
      <c r="A5" s="204"/>
      <c r="B5" s="444" t="s">
        <v>1379</v>
      </c>
      <c r="C5" s="277" t="s">
        <v>9</v>
      </c>
      <c r="D5" s="561" t="str">
        <f>DATA!D14</f>
        <v>KOST TRI WAHYU BUWONO</v>
      </c>
      <c r="E5" s="562"/>
      <c r="F5" s="208"/>
      <c r="G5" s="208"/>
      <c r="I5" s="445" t="s">
        <v>1379</v>
      </c>
      <c r="J5" s="277" t="s">
        <v>9</v>
      </c>
      <c r="K5" s="595" t="str">
        <f>D5</f>
        <v>KOST TRI WAHYU BUWONO</v>
      </c>
      <c r="L5" s="596"/>
    </row>
    <row r="6" spans="1:12" ht="31.5" customHeight="1">
      <c r="A6" s="204"/>
      <c r="B6" s="444" t="s">
        <v>1529</v>
      </c>
      <c r="C6" s="277" t="s">
        <v>9</v>
      </c>
      <c r="D6" s="570">
        <f>DATA!D17*1000</f>
        <v>0</v>
      </c>
      <c r="E6" s="571"/>
      <c r="F6" s="208"/>
      <c r="G6" s="208"/>
      <c r="I6" s="445" t="s">
        <v>1530</v>
      </c>
      <c r="J6" s="277" t="s">
        <v>9</v>
      </c>
      <c r="K6" s="597">
        <f>DATA!D20*1000</f>
        <v>7800.0000000000009</v>
      </c>
      <c r="L6" s="598"/>
    </row>
    <row r="7" spans="1:12" ht="30.75" customHeight="1">
      <c r="A7" s="204"/>
      <c r="B7" s="444" t="s">
        <v>1441</v>
      </c>
      <c r="C7" s="277" t="s">
        <v>9</v>
      </c>
      <c r="D7" s="568">
        <f>DATA!D18</f>
        <v>1</v>
      </c>
      <c r="E7" s="569"/>
      <c r="F7" s="443" t="s">
        <v>1453</v>
      </c>
      <c r="I7" s="445" t="s">
        <v>1441</v>
      </c>
      <c r="J7" s="277" t="s">
        <v>9</v>
      </c>
      <c r="K7" s="599">
        <f>DATA!D21</f>
        <v>1</v>
      </c>
      <c r="L7" s="600"/>
    </row>
    <row r="8" spans="1:12" ht="51" customHeight="1">
      <c r="A8" s="204"/>
      <c r="B8" s="444" t="s">
        <v>1442</v>
      </c>
      <c r="C8" s="277" t="s">
        <v>9</v>
      </c>
      <c r="D8" s="568">
        <f>DATA!D19</f>
        <v>220</v>
      </c>
      <c r="E8" s="569"/>
      <c r="F8" s="443" t="s">
        <v>1453</v>
      </c>
      <c r="G8" s="438">
        <v>220</v>
      </c>
      <c r="I8" s="445" t="s">
        <v>1442</v>
      </c>
      <c r="J8" s="277" t="s">
        <v>9</v>
      </c>
      <c r="K8" s="599">
        <f>DATA!D22</f>
        <v>220</v>
      </c>
      <c r="L8" s="600"/>
    </row>
    <row r="9" spans="1:12" ht="30" customHeight="1" thickBot="1">
      <c r="A9" s="204"/>
      <c r="B9" s="450" t="s">
        <v>1541</v>
      </c>
      <c r="C9" s="440" t="s">
        <v>9</v>
      </c>
      <c r="D9" s="563">
        <f>IF(D7=1,D6/(380/3^0.5),(D6/(380*3^0.5)))</f>
        <v>0</v>
      </c>
      <c r="E9" s="564"/>
      <c r="F9" s="207"/>
      <c r="G9" s="439">
        <v>380</v>
      </c>
      <c r="I9" s="451" t="s">
        <v>1541</v>
      </c>
      <c r="J9" s="440" t="s">
        <v>9</v>
      </c>
      <c r="K9" s="601">
        <f>IF(K7=1,K6/(380/3^0.5),(K6/(380*3^0.5)))</f>
        <v>35.5526218395717</v>
      </c>
      <c r="L9" s="602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72"/>
      <c r="E12" s="573"/>
      <c r="F12" s="208"/>
      <c r="G12" s="208"/>
      <c r="I12" s="467" t="s">
        <v>1534</v>
      </c>
      <c r="J12" s="468" t="s">
        <v>9</v>
      </c>
      <c r="K12" s="572"/>
      <c r="L12" s="573"/>
    </row>
    <row r="13" spans="1:12" ht="31.5" customHeight="1">
      <c r="A13" s="204"/>
      <c r="B13" s="475" t="s">
        <v>1380</v>
      </c>
      <c r="C13" s="455" t="s">
        <v>9</v>
      </c>
      <c r="D13" s="576"/>
      <c r="E13" s="577"/>
      <c r="F13" s="208"/>
      <c r="G13" s="208"/>
      <c r="I13" s="469" t="s">
        <v>1380</v>
      </c>
      <c r="J13" s="455" t="s">
        <v>9</v>
      </c>
      <c r="K13" s="576"/>
      <c r="L13" s="577"/>
    </row>
    <row r="14" spans="1:12" ht="30.75" customHeight="1">
      <c r="A14" s="204"/>
      <c r="B14" s="475" t="s">
        <v>1535</v>
      </c>
      <c r="C14" s="455" t="s">
        <v>9</v>
      </c>
      <c r="D14" s="584"/>
      <c r="E14" s="585"/>
      <c r="F14" s="443" t="s">
        <v>1453</v>
      </c>
      <c r="G14" s="447">
        <v>50</v>
      </c>
      <c r="I14" s="469" t="s">
        <v>1535</v>
      </c>
      <c r="J14" s="455" t="s">
        <v>9</v>
      </c>
      <c r="K14" s="586"/>
      <c r="L14" s="587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88">
        <v>0</v>
      </c>
      <c r="E16" s="589"/>
      <c r="F16" s="443"/>
      <c r="G16" s="447">
        <v>160</v>
      </c>
      <c r="I16" s="469" t="s">
        <v>1537</v>
      </c>
      <c r="J16" s="455" t="s">
        <v>9</v>
      </c>
      <c r="K16" s="590">
        <f>K9</f>
        <v>35.5526218395717</v>
      </c>
      <c r="L16" s="591"/>
    </row>
    <row r="17" spans="1:12" ht="34.5" customHeight="1">
      <c r="A17" s="204"/>
      <c r="B17" s="475" t="s">
        <v>1538</v>
      </c>
      <c r="C17" s="455" t="s">
        <v>9</v>
      </c>
      <c r="D17" s="578">
        <f>IF(D15=1,D14/(20/3^0.5),(D14/(20*3^0.5)))</f>
        <v>0</v>
      </c>
      <c r="E17" s="579"/>
      <c r="F17" s="443" t="s">
        <v>1453</v>
      </c>
      <c r="G17" s="448">
        <v>200</v>
      </c>
      <c r="I17" s="469" t="s">
        <v>1538</v>
      </c>
      <c r="J17" s="455" t="s">
        <v>9</v>
      </c>
      <c r="K17" s="582">
        <f>IF(K15=1,K14/(20/3^0.5),(K14/(20*3^0.5)))</f>
        <v>0</v>
      </c>
      <c r="L17" s="583"/>
    </row>
    <row r="18" spans="1:12" ht="34.5" customHeight="1">
      <c r="A18" s="204"/>
      <c r="B18" s="475" t="s">
        <v>1539</v>
      </c>
      <c r="C18" s="455" t="s">
        <v>9</v>
      </c>
      <c r="D18" s="578">
        <f>IF(D15=1,D14/(380/3^0.5),(D14/(380*3^0.5)))*1000</f>
        <v>0</v>
      </c>
      <c r="E18" s="579"/>
      <c r="F18" s="443" t="s">
        <v>1453</v>
      </c>
      <c r="G18" s="448">
        <v>250</v>
      </c>
      <c r="I18" s="469" t="s">
        <v>1539</v>
      </c>
      <c r="J18" s="455" t="s">
        <v>9</v>
      </c>
      <c r="K18" s="582">
        <f>IF(K15=1,K14/(380/3^0.5),(K14/(380*3^0.5)))*1000</f>
        <v>0</v>
      </c>
      <c r="L18" s="583"/>
    </row>
    <row r="19" spans="1:12" ht="30" customHeight="1">
      <c r="A19" s="204"/>
      <c r="B19" s="476" t="s">
        <v>1531</v>
      </c>
      <c r="C19" s="454" t="s">
        <v>9</v>
      </c>
      <c r="D19" s="578">
        <f>IF(D15=1,D14/(380/3^0.5),(D14/(380*3^0.5)))</f>
        <v>0</v>
      </c>
      <c r="E19" s="579"/>
      <c r="F19" s="207"/>
      <c r="G19" s="439"/>
      <c r="I19" s="471" t="s">
        <v>1531</v>
      </c>
      <c r="J19" s="454" t="s">
        <v>9</v>
      </c>
      <c r="K19" s="582">
        <f>IF(K15=1,K14/(380/3^0.5),(K14/(380*3^0.5)))</f>
        <v>0</v>
      </c>
      <c r="L19" s="583"/>
    </row>
    <row r="20" spans="1:12" ht="30" customHeight="1" thickBot="1">
      <c r="A20" s="204"/>
      <c r="B20" s="477" t="s">
        <v>1540</v>
      </c>
      <c r="C20" s="473" t="s">
        <v>9</v>
      </c>
      <c r="D20" s="574" t="e">
        <f>D16/D18</f>
        <v>#DIV/0!</v>
      </c>
      <c r="E20" s="575"/>
      <c r="F20" s="207"/>
      <c r="G20" s="439"/>
      <c r="I20" s="472" t="s">
        <v>1531</v>
      </c>
      <c r="J20" s="473" t="s">
        <v>9</v>
      </c>
      <c r="K20" s="580" t="e">
        <f>K16/K18</f>
        <v>#DIV/0!</v>
      </c>
      <c r="L20" s="581"/>
    </row>
    <row r="21" spans="1:12" ht="9.75" customHeight="1">
      <c r="A21" s="204"/>
      <c r="B21" s="462" t="s">
        <v>1540</v>
      </c>
      <c r="C21" s="463" t="s">
        <v>9</v>
      </c>
      <c r="D21" s="559">
        <v>1</v>
      </c>
      <c r="E21" s="559"/>
      <c r="F21" s="464"/>
      <c r="G21" s="465"/>
      <c r="H21" s="466"/>
      <c r="I21" s="462" t="s">
        <v>1531</v>
      </c>
      <c r="J21" s="463" t="s">
        <v>9</v>
      </c>
      <c r="K21" s="559">
        <v>1</v>
      </c>
      <c r="L21" s="559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2" priority="5" stopIfTrue="1" operator="greaterThan">
      <formula>0.89</formula>
    </cfRule>
    <cfRule type="cellIs" dxfId="1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7.8000000000000007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7558200.0000000009</v>
      </c>
    </row>
    <row r="10" spans="2:11" ht="20.100000000000001" customHeight="1">
      <c r="B10" s="291" t="s">
        <v>1446</v>
      </c>
      <c r="C10" s="292" t="s">
        <v>9</v>
      </c>
      <c r="D10" s="298">
        <f ca="1">RAB!K87</f>
        <v>32913919.059999999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658278.38119999995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1629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1630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f>6*1.3</f>
        <v>7.8000000000000007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KOST TRI WAHYU BUWONO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6" t="s">
        <v>1349</v>
      </c>
      <c r="C5" s="606" t="s">
        <v>1358</v>
      </c>
      <c r="D5" s="607" t="s">
        <v>1359</v>
      </c>
      <c r="E5" s="607" t="s">
        <v>1360</v>
      </c>
      <c r="F5" s="606" t="s">
        <v>1361</v>
      </c>
      <c r="G5" s="606"/>
      <c r="H5" s="606"/>
      <c r="I5" s="606"/>
      <c r="J5" s="606"/>
      <c r="K5" s="606" t="s">
        <v>1362</v>
      </c>
      <c r="L5" s="606"/>
      <c r="M5" s="307"/>
      <c r="N5" s="610" t="s">
        <v>1363</v>
      </c>
      <c r="O5" s="607" t="s">
        <v>1364</v>
      </c>
      <c r="P5" s="607" t="s">
        <v>1365</v>
      </c>
      <c r="Q5" s="607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6"/>
      <c r="C6" s="606"/>
      <c r="D6" s="606"/>
      <c r="E6" s="60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6"/>
      <c r="P6" s="606"/>
      <c r="Q6" s="606"/>
      <c r="R6" s="308"/>
      <c r="S6" s="309"/>
      <c r="T6" s="606"/>
      <c r="U6" s="312"/>
    </row>
    <row r="7" spans="1:21" ht="20.100000000000001" customHeight="1">
      <c r="A7" s="313">
        <v>0</v>
      </c>
      <c r="B7" s="314">
        <v>2023</v>
      </c>
      <c r="C7" s="478">
        <f>DATA!D8*DATA!D26*8</f>
        <v>2496</v>
      </c>
      <c r="D7" s="316">
        <f>C7*4/24</f>
        <v>416</v>
      </c>
      <c r="E7" s="316">
        <f>C7-D7</f>
        <v>2080</v>
      </c>
      <c r="F7" s="317">
        <f ca="1">DATA!D10/1000000</f>
        <v>32.913919059999998</v>
      </c>
      <c r="G7" s="318">
        <f ca="1">DATA!$D$11/1000000</f>
        <v>0.65827838119999993</v>
      </c>
      <c r="H7" s="318">
        <f>C7*DATA!$D$5/1000000</f>
        <v>2.705976114532914</v>
      </c>
      <c r="I7" s="318">
        <f>(C7*DATA!$D$5*DATA!$D$7)/1000000</f>
        <v>6.088446257699056E-2</v>
      </c>
      <c r="J7" s="316">
        <f ca="1">SUM(F7:I7)</f>
        <v>36.339058018309906</v>
      </c>
      <c r="K7" s="319">
        <f>DATA!D9/1000000</f>
        <v>7.5582000000000011</v>
      </c>
      <c r="L7" s="316">
        <f>((D7*DATA!$D$23)/1000000)+((E7*DATA!$D$24)/1000000)</f>
        <v>3.6059711999999999</v>
      </c>
      <c r="M7" s="316">
        <f>K7+L7</f>
        <v>11.164171200000002</v>
      </c>
      <c r="N7" s="316">
        <f ca="1">M7-J7</f>
        <v>-25.174886818309904</v>
      </c>
      <c r="O7" s="314">
        <v>1</v>
      </c>
      <c r="P7" s="316">
        <f ca="1">O7*N7</f>
        <v>-25.174886818309904</v>
      </c>
      <c r="Q7" s="316">
        <f ca="1">P7</f>
        <v>-25.174886818309904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3744</v>
      </c>
      <c r="D8" s="316">
        <f>C8*4/24</f>
        <v>624</v>
      </c>
      <c r="E8" s="316">
        <f t="shared" ref="E8:E32" si="0">C8-D8</f>
        <v>3120</v>
      </c>
      <c r="F8" s="314"/>
      <c r="G8" s="318">
        <f ca="1">DATA!$D$11/1000000</f>
        <v>0.65827838119999993</v>
      </c>
      <c r="H8" s="318">
        <f>C8*DATA!$D$5/1000000</f>
        <v>4.0589641717993707</v>
      </c>
      <c r="I8" s="318">
        <f>(C8*DATA!$D$5*DATA!$D$7)/1000000</f>
        <v>9.1326693865485836E-2</v>
      </c>
      <c r="J8" s="316">
        <f t="shared" ref="J8:J32" ca="1" si="1">SUM(F8:I8)</f>
        <v>4.808569246864856</v>
      </c>
      <c r="K8" s="321"/>
      <c r="L8" s="316">
        <f>((D8*DATA!$D$23)/1000000)+((E8*DATA!$D$24)/1000000)</f>
        <v>5.4089567999999995</v>
      </c>
      <c r="M8" s="316">
        <f t="shared" ref="M8:M32" si="2">K8+L8</f>
        <v>5.4089567999999995</v>
      </c>
      <c r="N8" s="316">
        <f ca="1">M8-J8</f>
        <v>0.60038755313514347</v>
      </c>
      <c r="O8" s="315">
        <f>1/(1+'[93]Asumsi I'!$C$3)^(KKF!A8)</f>
        <v>0.89285714285714279</v>
      </c>
      <c r="P8" s="316">
        <f ca="1">O8*N8</f>
        <v>0.53606031529923526</v>
      </c>
      <c r="Q8" s="316">
        <f ca="1">Q7+P8</f>
        <v>-24.638826503010669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3744</v>
      </c>
      <c r="D9" s="316">
        <f t="shared" ref="D9:D32" si="5">C9*4/24</f>
        <v>624</v>
      </c>
      <c r="E9" s="316">
        <f t="shared" si="0"/>
        <v>3120</v>
      </c>
      <c r="F9" s="314"/>
      <c r="G9" s="318">
        <f ca="1">DATA!$D$11/1000000</f>
        <v>0.65827838119999993</v>
      </c>
      <c r="H9" s="318">
        <f>C9*DATA!$D$5/1000000</f>
        <v>4.0589641717993707</v>
      </c>
      <c r="I9" s="318">
        <f>(C9*DATA!$D$5*DATA!$D$7)/1000000</f>
        <v>9.1326693865485836E-2</v>
      </c>
      <c r="J9" s="316">
        <f t="shared" ca="1" si="1"/>
        <v>4.808569246864856</v>
      </c>
      <c r="K9" s="316"/>
      <c r="L9" s="316">
        <f>((D9*DATA!$D$23)/1000000)+((E9*DATA!$D$24)/1000000)</f>
        <v>5.4089567999999995</v>
      </c>
      <c r="M9" s="316">
        <f t="shared" si="2"/>
        <v>5.4089567999999995</v>
      </c>
      <c r="N9" s="316">
        <f t="shared" ref="N9:N32" ca="1" si="6">M9-J9</f>
        <v>0.60038755313514347</v>
      </c>
      <c r="O9" s="322">
        <f>1/(1+'[93]Asumsi I'!$C$3)^(KKF!A9)</f>
        <v>0.79719387755102034</v>
      </c>
      <c r="P9" s="316">
        <f t="shared" ref="P9:P32" ca="1" si="7">O9*N9</f>
        <v>0.47862528151717426</v>
      </c>
      <c r="Q9" s="316">
        <f ca="1">Q8+P9</f>
        <v>-24.160201221493494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3744</v>
      </c>
      <c r="D10" s="316">
        <f t="shared" si="5"/>
        <v>624</v>
      </c>
      <c r="E10" s="316">
        <f t="shared" si="0"/>
        <v>3120</v>
      </c>
      <c r="F10" s="314"/>
      <c r="G10" s="318">
        <f ca="1">DATA!$D$11/1000000</f>
        <v>0.65827838119999993</v>
      </c>
      <c r="H10" s="318">
        <f>C10*DATA!$D$5/1000000</f>
        <v>4.0589641717993707</v>
      </c>
      <c r="I10" s="318">
        <f>(C10*DATA!$D$5*DATA!$D$7)/1000000</f>
        <v>9.1326693865485836E-2</v>
      </c>
      <c r="J10" s="316">
        <f t="shared" ca="1" si="1"/>
        <v>4.808569246864856</v>
      </c>
      <c r="K10" s="314"/>
      <c r="L10" s="316">
        <f>((D10*DATA!$D$23)/1000000)+((E10*DATA!$D$24)/1000000)</f>
        <v>5.4089567999999995</v>
      </c>
      <c r="M10" s="316">
        <f t="shared" si="2"/>
        <v>5.4089567999999995</v>
      </c>
      <c r="N10" s="316">
        <f t="shared" ca="1" si="6"/>
        <v>0.60038755313514347</v>
      </c>
      <c r="O10" s="315">
        <f>1/(1+'[93]Asumsi I'!$C$3)^(KKF!A10)</f>
        <v>0.71178024781341087</v>
      </c>
      <c r="P10" s="316">
        <f t="shared" ca="1" si="7"/>
        <v>0.42734400135461981</v>
      </c>
      <c r="Q10" s="316">
        <f t="shared" ref="Q10:Q30" ca="1" si="9">Q9+P10</f>
        <v>-23.732857220138875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3744</v>
      </c>
      <c r="D11" s="316">
        <f t="shared" si="5"/>
        <v>624</v>
      </c>
      <c r="E11" s="316">
        <f t="shared" si="0"/>
        <v>3120</v>
      </c>
      <c r="F11" s="314"/>
      <c r="G11" s="318">
        <f ca="1">DATA!$D$11/1000000</f>
        <v>0.65827838119999993</v>
      </c>
      <c r="H11" s="318">
        <f>C11*DATA!$D$5/1000000</f>
        <v>4.0589641717993707</v>
      </c>
      <c r="I11" s="318">
        <f>(C11*DATA!$D$5*DATA!$D$7)/1000000</f>
        <v>9.1326693865485836E-2</v>
      </c>
      <c r="J11" s="316">
        <f t="shared" ca="1" si="1"/>
        <v>4.808569246864856</v>
      </c>
      <c r="K11" s="314"/>
      <c r="L11" s="316">
        <f>((D11*DATA!$D$23)/1000000)+((E11*DATA!$D$24)/1000000)</f>
        <v>5.4089567999999995</v>
      </c>
      <c r="M11" s="316">
        <f t="shared" si="2"/>
        <v>5.4089567999999995</v>
      </c>
      <c r="N11" s="316">
        <f t="shared" ca="1" si="6"/>
        <v>0.60038755313514347</v>
      </c>
      <c r="O11" s="315">
        <f>1/(1+'[93]Asumsi I'!$C$3)^(KKF!A11)</f>
        <v>0.63551807840483121</v>
      </c>
      <c r="P11" s="316">
        <f t="shared" ca="1" si="7"/>
        <v>0.38155714406662489</v>
      </c>
      <c r="Q11" s="316">
        <f t="shared" ca="1" si="9"/>
        <v>-23.351300076072249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3744</v>
      </c>
      <c r="D12" s="316">
        <f t="shared" si="5"/>
        <v>624</v>
      </c>
      <c r="E12" s="316">
        <f t="shared" si="0"/>
        <v>3120</v>
      </c>
      <c r="F12" s="314"/>
      <c r="G12" s="318">
        <f ca="1">DATA!$D$11/1000000</f>
        <v>0.65827838119999993</v>
      </c>
      <c r="H12" s="318">
        <f>C12*DATA!$D$5/1000000</f>
        <v>4.0589641717993707</v>
      </c>
      <c r="I12" s="318">
        <f>(C12*DATA!$D$5*DATA!$D$7)/1000000</f>
        <v>9.1326693865485836E-2</v>
      </c>
      <c r="J12" s="316">
        <f t="shared" ca="1" si="1"/>
        <v>4.808569246864856</v>
      </c>
      <c r="K12" s="314"/>
      <c r="L12" s="316">
        <f>((D12*DATA!$D$23)/1000000)+((E12*DATA!$D$24)/1000000)</f>
        <v>5.4089567999999995</v>
      </c>
      <c r="M12" s="316">
        <f t="shared" si="2"/>
        <v>5.4089567999999995</v>
      </c>
      <c r="N12" s="316">
        <f t="shared" ca="1" si="6"/>
        <v>0.60038755313514347</v>
      </c>
      <c r="O12" s="315">
        <f>1/(1+'[93]Asumsi I'!$C$3)^(KKF!A12)</f>
        <v>0.56742685571859919</v>
      </c>
      <c r="P12" s="316">
        <f t="shared" ca="1" si="7"/>
        <v>0.34067602148805787</v>
      </c>
      <c r="Q12" s="316">
        <f t="shared" ca="1" si="9"/>
        <v>-23.010624054584191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3744</v>
      </c>
      <c r="D13" s="316">
        <f t="shared" si="5"/>
        <v>624</v>
      </c>
      <c r="E13" s="316">
        <f t="shared" si="0"/>
        <v>3120</v>
      </c>
      <c r="F13" s="314"/>
      <c r="G13" s="318">
        <f ca="1">DATA!$D$11/1000000</f>
        <v>0.65827838119999993</v>
      </c>
      <c r="H13" s="318">
        <f>C13*DATA!$D$5/1000000</f>
        <v>4.0589641717993707</v>
      </c>
      <c r="I13" s="318">
        <f>(C13*DATA!$D$5*DATA!$D$7)/1000000</f>
        <v>9.1326693865485836E-2</v>
      </c>
      <c r="J13" s="316">
        <f t="shared" ca="1" si="1"/>
        <v>4.808569246864856</v>
      </c>
      <c r="K13" s="314"/>
      <c r="L13" s="316">
        <f>((D13*DATA!$D$23)/1000000)+((E13*DATA!$D$24)/1000000)</f>
        <v>5.4089567999999995</v>
      </c>
      <c r="M13" s="316">
        <f t="shared" si="2"/>
        <v>5.4089567999999995</v>
      </c>
      <c r="N13" s="316">
        <f t="shared" ca="1" si="6"/>
        <v>0.60038755313514347</v>
      </c>
      <c r="O13" s="315">
        <f>1/(1+'[93]Asumsi I'!$C$3)^(KKF!A13)</f>
        <v>0.50663112117732068</v>
      </c>
      <c r="P13" s="316">
        <f t="shared" ca="1" si="7"/>
        <v>0.30417501918576595</v>
      </c>
      <c r="Q13" s="316">
        <f t="shared" ca="1" si="9"/>
        <v>-22.706449035398425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3744</v>
      </c>
      <c r="D14" s="316">
        <f t="shared" si="5"/>
        <v>624</v>
      </c>
      <c r="E14" s="316">
        <f t="shared" si="0"/>
        <v>3120</v>
      </c>
      <c r="F14" s="314"/>
      <c r="G14" s="318">
        <f ca="1">DATA!$D$11/1000000</f>
        <v>0.65827838119999993</v>
      </c>
      <c r="H14" s="318">
        <f>C14*DATA!$D$5/1000000</f>
        <v>4.0589641717993707</v>
      </c>
      <c r="I14" s="318">
        <f>(C14*DATA!$D$5*DATA!$D$7)/1000000</f>
        <v>9.1326693865485836E-2</v>
      </c>
      <c r="J14" s="316">
        <f t="shared" ca="1" si="1"/>
        <v>4.808569246864856</v>
      </c>
      <c r="K14" s="314"/>
      <c r="L14" s="316">
        <f>((D14*DATA!$D$23)/1000000)+((E14*DATA!$D$24)/1000000)</f>
        <v>5.4089567999999995</v>
      </c>
      <c r="M14" s="316">
        <f t="shared" si="2"/>
        <v>5.4089567999999995</v>
      </c>
      <c r="N14" s="316">
        <f t="shared" ca="1" si="6"/>
        <v>0.60038755313514347</v>
      </c>
      <c r="O14" s="315">
        <f>1/(1+'[93]Asumsi I'!$C$3)^(KKF!A14)</f>
        <v>0.45234921533689343</v>
      </c>
      <c r="P14" s="316">
        <f t="shared" ca="1" si="7"/>
        <v>0.27158483855871957</v>
      </c>
      <c r="Q14" s="316">
        <f t="shared" ca="1" si="9"/>
        <v>-22.434864196839705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3744</v>
      </c>
      <c r="D15" s="316">
        <f t="shared" si="5"/>
        <v>624</v>
      </c>
      <c r="E15" s="316">
        <f t="shared" si="0"/>
        <v>3120</v>
      </c>
      <c r="F15" s="314"/>
      <c r="G15" s="318">
        <f ca="1">DATA!$D$11/1000000</f>
        <v>0.65827838119999993</v>
      </c>
      <c r="H15" s="318">
        <f>C15*DATA!$D$5/1000000</f>
        <v>4.0589641717993707</v>
      </c>
      <c r="I15" s="318">
        <f>(C15*DATA!$D$5*DATA!$D$7)/1000000</f>
        <v>9.1326693865485836E-2</v>
      </c>
      <c r="J15" s="316">
        <f t="shared" ca="1" si="1"/>
        <v>4.808569246864856</v>
      </c>
      <c r="K15" s="314"/>
      <c r="L15" s="316">
        <f>((D15*DATA!$D$23)/1000000)+((E15*DATA!$D$24)/1000000)</f>
        <v>5.4089567999999995</v>
      </c>
      <c r="M15" s="316">
        <f t="shared" si="2"/>
        <v>5.4089567999999995</v>
      </c>
      <c r="N15" s="316">
        <f t="shared" ca="1" si="6"/>
        <v>0.60038755313514347</v>
      </c>
      <c r="O15" s="315">
        <f>1/(1+'[93]Asumsi I'!$C$3)^(KKF!A15)</f>
        <v>0.4038832279793691</v>
      </c>
      <c r="P15" s="316">
        <f t="shared" ca="1" si="7"/>
        <v>0.24248646299885673</v>
      </c>
      <c r="Q15" s="316">
        <f t="shared" ca="1" si="9"/>
        <v>-22.192377733840846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3744</v>
      </c>
      <c r="D16" s="316">
        <f t="shared" si="5"/>
        <v>624</v>
      </c>
      <c r="E16" s="316">
        <f t="shared" si="0"/>
        <v>3120</v>
      </c>
      <c r="F16" s="314"/>
      <c r="G16" s="318">
        <f ca="1">DATA!$D$11/1000000</f>
        <v>0.65827838119999993</v>
      </c>
      <c r="H16" s="318">
        <f>C16*DATA!$D$5/1000000</f>
        <v>4.0589641717993707</v>
      </c>
      <c r="I16" s="318">
        <f>(C16*DATA!$D$5*DATA!$D$7)/1000000</f>
        <v>9.1326693865485836E-2</v>
      </c>
      <c r="J16" s="316">
        <f t="shared" ca="1" si="1"/>
        <v>4.808569246864856</v>
      </c>
      <c r="K16" s="314"/>
      <c r="L16" s="316">
        <f>((D16*DATA!$D$23)/1000000)+((E16*DATA!$D$24)/1000000)</f>
        <v>5.4089567999999995</v>
      </c>
      <c r="M16" s="316">
        <f t="shared" si="2"/>
        <v>5.4089567999999995</v>
      </c>
      <c r="N16" s="316">
        <f t="shared" ca="1" si="6"/>
        <v>0.60038755313514347</v>
      </c>
      <c r="O16" s="315">
        <f>1/(1+'[93]Asumsi I'!$C$3)^(KKF!A16)</f>
        <v>0.36061002498157957</v>
      </c>
      <c r="P16" s="316">
        <f t="shared" ca="1" si="7"/>
        <v>0.21650577053469353</v>
      </c>
      <c r="Q16" s="316">
        <f t="shared" ca="1" si="9"/>
        <v>-21.975871963306155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3744</v>
      </c>
      <c r="D17" s="316">
        <f t="shared" si="5"/>
        <v>624</v>
      </c>
      <c r="E17" s="316">
        <f t="shared" si="0"/>
        <v>3120</v>
      </c>
      <c r="F17" s="314"/>
      <c r="G17" s="318">
        <f ca="1">DATA!$D$11/1000000</f>
        <v>0.65827838119999993</v>
      </c>
      <c r="H17" s="318">
        <f>C17*DATA!$D$5/1000000</f>
        <v>4.0589641717993707</v>
      </c>
      <c r="I17" s="318">
        <f>(C17*DATA!$D$5*DATA!$D$7)/1000000</f>
        <v>9.1326693865485836E-2</v>
      </c>
      <c r="J17" s="316">
        <f t="shared" ca="1" si="1"/>
        <v>4.808569246864856</v>
      </c>
      <c r="K17" s="314"/>
      <c r="L17" s="316">
        <f>((D17*DATA!$D$23)/1000000)+((E17*DATA!$D$24)/1000000)</f>
        <v>5.4089567999999995</v>
      </c>
      <c r="M17" s="316">
        <f t="shared" si="2"/>
        <v>5.4089567999999995</v>
      </c>
      <c r="N17" s="316">
        <f t="shared" ca="1" si="6"/>
        <v>0.60038755313514347</v>
      </c>
      <c r="O17" s="315">
        <f>1/(1+'[93]Asumsi I'!$C$3)^(KKF!A17)</f>
        <v>0.32197323659069599</v>
      </c>
      <c r="P17" s="316">
        <f t="shared" ca="1" si="7"/>
        <v>0.19330872369169061</v>
      </c>
      <c r="Q17" s="316">
        <f t="shared" ca="1" si="9"/>
        <v>-21.782563239614465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3744</v>
      </c>
      <c r="D18" s="316">
        <f t="shared" si="5"/>
        <v>624</v>
      </c>
      <c r="E18" s="316">
        <f t="shared" si="0"/>
        <v>3120</v>
      </c>
      <c r="F18" s="314"/>
      <c r="G18" s="318">
        <f ca="1">DATA!$D$11/1000000</f>
        <v>0.65827838119999993</v>
      </c>
      <c r="H18" s="318">
        <f>C18*DATA!$D$5/1000000</f>
        <v>4.0589641717993707</v>
      </c>
      <c r="I18" s="318">
        <f>(C18*DATA!$D$5*DATA!$D$7)/1000000</f>
        <v>9.1326693865485836E-2</v>
      </c>
      <c r="J18" s="316">
        <f t="shared" ca="1" si="1"/>
        <v>4.808569246864856</v>
      </c>
      <c r="K18" s="314"/>
      <c r="L18" s="316">
        <f>((D18*DATA!$D$23)/1000000)+((E18*DATA!$D$24)/1000000)</f>
        <v>5.4089567999999995</v>
      </c>
      <c r="M18" s="316">
        <f t="shared" si="2"/>
        <v>5.4089567999999995</v>
      </c>
      <c r="N18" s="316">
        <f t="shared" ca="1" si="6"/>
        <v>0.60038755313514347</v>
      </c>
      <c r="O18" s="315">
        <f>1/(1+'[93]Asumsi I'!$C$3)^(KKF!A18)</f>
        <v>0.28747610409883567</v>
      </c>
      <c r="P18" s="316">
        <f t="shared" ca="1" si="7"/>
        <v>0.17259707472472374</v>
      </c>
      <c r="Q18" s="316">
        <f t="shared" ca="1" si="9"/>
        <v>-21.609966164889741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3744</v>
      </c>
      <c r="D19" s="316">
        <f t="shared" si="5"/>
        <v>624</v>
      </c>
      <c r="E19" s="316">
        <f t="shared" si="0"/>
        <v>3120</v>
      </c>
      <c r="F19" s="314"/>
      <c r="G19" s="318">
        <f ca="1">DATA!$D$11/1000000</f>
        <v>0.65827838119999993</v>
      </c>
      <c r="H19" s="318">
        <f>C19*DATA!$D$5/1000000</f>
        <v>4.0589641717993707</v>
      </c>
      <c r="I19" s="318">
        <f>(C19*DATA!$D$5*DATA!$D$7)/1000000</f>
        <v>9.1326693865485836E-2</v>
      </c>
      <c r="J19" s="316">
        <f t="shared" ca="1" si="1"/>
        <v>4.808569246864856</v>
      </c>
      <c r="K19" s="314"/>
      <c r="L19" s="316">
        <f>((D19*DATA!$D$23)/1000000)+((E19*DATA!$D$24)/1000000)</f>
        <v>5.4089567999999995</v>
      </c>
      <c r="M19" s="316">
        <f t="shared" si="2"/>
        <v>5.4089567999999995</v>
      </c>
      <c r="N19" s="316">
        <f t="shared" ca="1" si="6"/>
        <v>0.60038755313514347</v>
      </c>
      <c r="O19" s="315">
        <f>1/(1+'[93]Asumsi I'!$C$3)^(KKF!A19)</f>
        <v>0.25667509294538904</v>
      </c>
      <c r="P19" s="316">
        <f t="shared" ca="1" si="7"/>
        <v>0.15410453100421764</v>
      </c>
      <c r="Q19" s="316">
        <f t="shared" ca="1" si="9"/>
        <v>-21.455861633885522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3744</v>
      </c>
      <c r="D20" s="316">
        <f t="shared" si="5"/>
        <v>624</v>
      </c>
      <c r="E20" s="316">
        <f t="shared" si="0"/>
        <v>3120</v>
      </c>
      <c r="F20" s="314"/>
      <c r="G20" s="318">
        <f ca="1">DATA!$D$11/1000000</f>
        <v>0.65827838119999993</v>
      </c>
      <c r="H20" s="318">
        <f>C20*DATA!$D$5/1000000</f>
        <v>4.0589641717993707</v>
      </c>
      <c r="I20" s="318">
        <f>(C20*DATA!$D$5*DATA!$D$7)/1000000</f>
        <v>9.1326693865485836E-2</v>
      </c>
      <c r="J20" s="316">
        <f t="shared" ca="1" si="1"/>
        <v>4.808569246864856</v>
      </c>
      <c r="K20" s="314"/>
      <c r="L20" s="316">
        <f>((D20*DATA!$D$23)/1000000)+((E20*DATA!$D$24)/1000000)</f>
        <v>5.4089567999999995</v>
      </c>
      <c r="M20" s="316">
        <f t="shared" si="2"/>
        <v>5.4089567999999995</v>
      </c>
      <c r="N20" s="316">
        <f t="shared" ca="1" si="6"/>
        <v>0.60038755313514347</v>
      </c>
      <c r="O20" s="315">
        <f>1/(1+'[93]Asumsi I'!$C$3)^(KKF!A20)</f>
        <v>0.22917419012981158</v>
      </c>
      <c r="P20" s="316">
        <f t="shared" ca="1" si="7"/>
        <v>0.13759333125376572</v>
      </c>
      <c r="Q20" s="316">
        <f t="shared" ca="1" si="9"/>
        <v>-21.318268302631758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3744</v>
      </c>
      <c r="D21" s="316">
        <f t="shared" si="5"/>
        <v>624</v>
      </c>
      <c r="E21" s="316">
        <f t="shared" si="0"/>
        <v>3120</v>
      </c>
      <c r="F21" s="314"/>
      <c r="G21" s="318">
        <f ca="1">DATA!$D$11/1000000</f>
        <v>0.65827838119999993</v>
      </c>
      <c r="H21" s="318">
        <f>C21*DATA!$D$5/1000000</f>
        <v>4.0589641717993707</v>
      </c>
      <c r="I21" s="318">
        <f>(C21*DATA!$D$5*DATA!$D$7)/1000000</f>
        <v>9.1326693865485836E-2</v>
      </c>
      <c r="J21" s="316">
        <f t="shared" ca="1" si="1"/>
        <v>4.808569246864856</v>
      </c>
      <c r="K21" s="314"/>
      <c r="L21" s="316">
        <f>((D21*DATA!$D$23)/1000000)+((E21*DATA!$D$24)/1000000)</f>
        <v>5.4089567999999995</v>
      </c>
      <c r="M21" s="316">
        <f t="shared" si="2"/>
        <v>5.4089567999999995</v>
      </c>
      <c r="N21" s="316">
        <f t="shared" ca="1" si="6"/>
        <v>0.60038755313514347</v>
      </c>
      <c r="O21" s="315">
        <f>1/(1+'[93]Asumsi I'!$C$3)^(KKF!A21)</f>
        <v>0.20461981261590317</v>
      </c>
      <c r="P21" s="316">
        <f t="shared" ca="1" si="7"/>
        <v>0.12285118861943367</v>
      </c>
      <c r="Q21" s="316">
        <f t="shared" ca="1" si="9"/>
        <v>-21.195417114012322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3744</v>
      </c>
      <c r="D22" s="316">
        <f t="shared" si="5"/>
        <v>624</v>
      </c>
      <c r="E22" s="316">
        <f t="shared" si="0"/>
        <v>3120</v>
      </c>
      <c r="F22" s="314"/>
      <c r="G22" s="318">
        <f ca="1">DATA!$D$11/1000000</f>
        <v>0.65827838119999993</v>
      </c>
      <c r="H22" s="318">
        <f>C22*DATA!$D$5/1000000</f>
        <v>4.0589641717993707</v>
      </c>
      <c r="I22" s="318">
        <f>(C22*DATA!$D$5*DATA!$D$7)/1000000</f>
        <v>9.1326693865485836E-2</v>
      </c>
      <c r="J22" s="316">
        <f t="shared" ca="1" si="1"/>
        <v>4.808569246864856</v>
      </c>
      <c r="K22" s="314"/>
      <c r="L22" s="316">
        <f>((D22*DATA!$D$23)/1000000)+((E22*DATA!$D$24)/1000000)</f>
        <v>5.4089567999999995</v>
      </c>
      <c r="M22" s="316">
        <f t="shared" si="2"/>
        <v>5.4089567999999995</v>
      </c>
      <c r="N22" s="316">
        <f t="shared" ca="1" si="6"/>
        <v>0.60038755313514347</v>
      </c>
      <c r="O22" s="315">
        <f>1/(1+'[93]Asumsi I'!$C$3)^(KKF!A22)</f>
        <v>0.18269626126419927</v>
      </c>
      <c r="P22" s="316">
        <f t="shared" ca="1" si="7"/>
        <v>0.10968856126735149</v>
      </c>
      <c r="Q22" s="316">
        <f t="shared" ca="1" si="9"/>
        <v>-21.085728552744971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3744</v>
      </c>
      <c r="D23" s="316">
        <f t="shared" si="5"/>
        <v>624</v>
      </c>
      <c r="E23" s="316">
        <f t="shared" si="0"/>
        <v>3120</v>
      </c>
      <c r="F23" s="314"/>
      <c r="G23" s="318">
        <f ca="1">DATA!$D$11/1000000</f>
        <v>0.65827838119999993</v>
      </c>
      <c r="H23" s="318">
        <f>C23*DATA!$D$5/1000000</f>
        <v>4.0589641717993707</v>
      </c>
      <c r="I23" s="318">
        <f>(C23*DATA!$D$5*DATA!$D$7)/1000000</f>
        <v>9.1326693865485836E-2</v>
      </c>
      <c r="J23" s="316">
        <f t="shared" ca="1" si="1"/>
        <v>4.808569246864856</v>
      </c>
      <c r="K23" s="314"/>
      <c r="L23" s="316">
        <f>((D23*DATA!$D$23)/1000000)+((E23*DATA!$D$24)/1000000)</f>
        <v>5.4089567999999995</v>
      </c>
      <c r="M23" s="316">
        <f t="shared" si="2"/>
        <v>5.4089567999999995</v>
      </c>
      <c r="N23" s="316">
        <f t="shared" ca="1" si="6"/>
        <v>0.60038755313514347</v>
      </c>
      <c r="O23" s="315">
        <f>1/(1+'[93]Asumsi I'!$C$3)^(KKF!A23)</f>
        <v>0.16312166184303503</v>
      </c>
      <c r="P23" s="316">
        <f t="shared" ca="1" si="7"/>
        <v>9.7936215417278094E-2</v>
      </c>
      <c r="Q23" s="316">
        <f t="shared" ca="1" si="9"/>
        <v>-20.987792337327694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3744</v>
      </c>
      <c r="D24" s="316">
        <f t="shared" si="5"/>
        <v>624</v>
      </c>
      <c r="E24" s="316">
        <f t="shared" si="0"/>
        <v>3120</v>
      </c>
      <c r="F24" s="314"/>
      <c r="G24" s="318">
        <f ca="1">DATA!$D$11/1000000</f>
        <v>0.65827838119999993</v>
      </c>
      <c r="H24" s="318">
        <f>C24*DATA!$D$5/1000000</f>
        <v>4.0589641717993707</v>
      </c>
      <c r="I24" s="318">
        <f>(C24*DATA!$D$5*DATA!$D$7)/1000000</f>
        <v>9.1326693865485836E-2</v>
      </c>
      <c r="J24" s="316">
        <f t="shared" ca="1" si="1"/>
        <v>4.808569246864856</v>
      </c>
      <c r="K24" s="314"/>
      <c r="L24" s="316">
        <f>((D24*DATA!$D$23)/1000000)+((E24*DATA!$D$24)/1000000)</f>
        <v>5.4089567999999995</v>
      </c>
      <c r="M24" s="316">
        <f t="shared" si="2"/>
        <v>5.4089567999999995</v>
      </c>
      <c r="N24" s="316">
        <f t="shared" ca="1" si="6"/>
        <v>0.60038755313514347</v>
      </c>
      <c r="O24" s="315">
        <f>1/(1+'[93]Asumsi I'!$C$3)^(KKF!A24)</f>
        <v>0.14564434093128129</v>
      </c>
      <c r="P24" s="316">
        <f t="shared" ca="1" si="7"/>
        <v>8.7443049479712598E-2</v>
      </c>
      <c r="Q24" s="316">
        <f t="shared" ca="1" si="9"/>
        <v>-20.90034928784798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3744</v>
      </c>
      <c r="D25" s="316">
        <f t="shared" si="5"/>
        <v>624</v>
      </c>
      <c r="E25" s="316">
        <f t="shared" si="0"/>
        <v>3120</v>
      </c>
      <c r="F25" s="314"/>
      <c r="G25" s="318">
        <f ca="1">DATA!$D$11/1000000</f>
        <v>0.65827838119999993</v>
      </c>
      <c r="H25" s="318">
        <f>C25*DATA!$D$5/1000000</f>
        <v>4.0589641717993707</v>
      </c>
      <c r="I25" s="318">
        <f>(C25*DATA!$D$5*DATA!$D$7)/1000000</f>
        <v>9.1326693865485836E-2</v>
      </c>
      <c r="J25" s="316">
        <f t="shared" ca="1" si="1"/>
        <v>4.808569246864856</v>
      </c>
      <c r="K25" s="314"/>
      <c r="L25" s="316">
        <f>((D25*DATA!$D$23)/1000000)+((E25*DATA!$D$24)/1000000)</f>
        <v>5.4089567999999995</v>
      </c>
      <c r="M25" s="316">
        <f t="shared" si="2"/>
        <v>5.4089567999999995</v>
      </c>
      <c r="N25" s="316">
        <f t="shared" ca="1" si="6"/>
        <v>0.60038755313514347</v>
      </c>
      <c r="O25" s="315">
        <f>1/(1+'[93]Asumsi I'!$C$3)^(KKF!A25)</f>
        <v>0.13003959011721541</v>
      </c>
      <c r="P25" s="316">
        <f t="shared" ca="1" si="7"/>
        <v>7.8074151321171945E-2</v>
      </c>
      <c r="Q25" s="316">
        <f t="shared" ca="1" si="9"/>
        <v>-20.822275136526809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3744</v>
      </c>
      <c r="D26" s="316">
        <f t="shared" si="5"/>
        <v>624</v>
      </c>
      <c r="E26" s="316">
        <f t="shared" si="0"/>
        <v>3120</v>
      </c>
      <c r="F26" s="314"/>
      <c r="G26" s="318">
        <f ca="1">DATA!$D$11/1000000</f>
        <v>0.65827838119999993</v>
      </c>
      <c r="H26" s="318">
        <f>C26*DATA!$D$5/1000000</f>
        <v>4.0589641717993707</v>
      </c>
      <c r="I26" s="318">
        <f>(C26*DATA!$D$5*DATA!$D$7)/1000000</f>
        <v>9.1326693865485836E-2</v>
      </c>
      <c r="J26" s="316">
        <f t="shared" ca="1" si="1"/>
        <v>4.808569246864856</v>
      </c>
      <c r="K26" s="314"/>
      <c r="L26" s="316">
        <f>((D26*DATA!$D$23)/1000000)+((E26*DATA!$D$24)/1000000)</f>
        <v>5.4089567999999995</v>
      </c>
      <c r="M26" s="316">
        <f t="shared" si="2"/>
        <v>5.4089567999999995</v>
      </c>
      <c r="N26" s="316">
        <f t="shared" ca="1" si="6"/>
        <v>0.60038755313514347</v>
      </c>
      <c r="O26" s="315">
        <f>1/(1+'[93]Asumsi I'!$C$3)^(KKF!A26)</f>
        <v>0.1161067768903709</v>
      </c>
      <c r="P26" s="316">
        <f t="shared" ca="1" si="7"/>
        <v>6.9709063679617808E-2</v>
      </c>
      <c r="Q26" s="316">
        <f t="shared" ca="1" si="9"/>
        <v>-20.752566072847191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3744</v>
      </c>
      <c r="D27" s="316">
        <f t="shared" si="5"/>
        <v>624</v>
      </c>
      <c r="E27" s="316">
        <f t="shared" si="0"/>
        <v>3120</v>
      </c>
      <c r="F27" s="314"/>
      <c r="G27" s="318">
        <f ca="1">DATA!$D$11/1000000</f>
        <v>0.65827838119999993</v>
      </c>
      <c r="H27" s="318">
        <f>C27*DATA!$D$5/1000000</f>
        <v>4.0589641717993707</v>
      </c>
      <c r="I27" s="318">
        <f>(C27*DATA!$D$5*DATA!$D$7)/1000000</f>
        <v>9.1326693865485836E-2</v>
      </c>
      <c r="J27" s="316">
        <f t="shared" ca="1" si="1"/>
        <v>4.808569246864856</v>
      </c>
      <c r="K27" s="314"/>
      <c r="L27" s="316">
        <f>((D27*DATA!$D$23)/1000000)+((E27*DATA!$D$24)/1000000)</f>
        <v>5.4089567999999995</v>
      </c>
      <c r="M27" s="316">
        <f t="shared" si="2"/>
        <v>5.4089567999999995</v>
      </c>
      <c r="N27" s="316">
        <f t="shared" ca="1" si="6"/>
        <v>0.60038755313514347</v>
      </c>
      <c r="O27" s="315">
        <f>1/(1+'[93]Asumsi I'!$C$3)^(KKF!A27)</f>
        <v>0.1036667650806883</v>
      </c>
      <c r="P27" s="316">
        <f t="shared" ca="1" si="7"/>
        <v>6.2240235428230178E-2</v>
      </c>
      <c r="Q27" s="316">
        <f t="shared" ca="1" si="9"/>
        <v>-20.69032583741896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3744</v>
      </c>
      <c r="D28" s="316">
        <f t="shared" si="5"/>
        <v>624</v>
      </c>
      <c r="E28" s="316">
        <f t="shared" si="0"/>
        <v>3120</v>
      </c>
      <c r="F28" s="314"/>
      <c r="G28" s="318">
        <f ca="1">DATA!$D$11/1000000</f>
        <v>0.65827838119999993</v>
      </c>
      <c r="H28" s="318">
        <f>C28*DATA!$D$5/1000000</f>
        <v>4.0589641717993707</v>
      </c>
      <c r="I28" s="318">
        <f>(C28*DATA!$D$5*DATA!$D$7)/1000000</f>
        <v>9.1326693865485836E-2</v>
      </c>
      <c r="J28" s="316">
        <f t="shared" ca="1" si="1"/>
        <v>4.808569246864856</v>
      </c>
      <c r="K28" s="314"/>
      <c r="L28" s="316">
        <f>((D28*DATA!$D$23)/1000000)+((E28*DATA!$D$24)/1000000)</f>
        <v>5.4089567999999995</v>
      </c>
      <c r="M28" s="316">
        <f t="shared" si="2"/>
        <v>5.4089567999999995</v>
      </c>
      <c r="N28" s="316">
        <f t="shared" ca="1" si="6"/>
        <v>0.60038755313514347</v>
      </c>
      <c r="O28" s="315">
        <f>1/(1+'[93]Asumsi I'!$C$3)^(KKF!A28)</f>
        <v>9.2559611679185971E-2</v>
      </c>
      <c r="P28" s="316">
        <f t="shared" ca="1" si="7"/>
        <v>5.557163877520551E-2</v>
      </c>
      <c r="Q28" s="316">
        <f t="shared" ca="1" si="9"/>
        <v>-20.634754198643755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3744</v>
      </c>
      <c r="D29" s="316">
        <f t="shared" si="5"/>
        <v>624</v>
      </c>
      <c r="E29" s="316">
        <f t="shared" si="0"/>
        <v>3120</v>
      </c>
      <c r="F29" s="314"/>
      <c r="G29" s="318">
        <f ca="1">DATA!$D$11/1000000</f>
        <v>0.65827838119999993</v>
      </c>
      <c r="H29" s="318">
        <f>C29*DATA!$D$5/1000000</f>
        <v>4.0589641717993707</v>
      </c>
      <c r="I29" s="318">
        <f>(C29*DATA!$D$5*DATA!$D$7)/1000000</f>
        <v>9.1326693865485836E-2</v>
      </c>
      <c r="J29" s="316">
        <f t="shared" ca="1" si="1"/>
        <v>4.808569246864856</v>
      </c>
      <c r="K29" s="314"/>
      <c r="L29" s="316">
        <f>((D29*DATA!$D$23)/1000000)+((E29*DATA!$D$24)/1000000)</f>
        <v>5.4089567999999995</v>
      </c>
      <c r="M29" s="316">
        <f t="shared" si="2"/>
        <v>5.4089567999999995</v>
      </c>
      <c r="N29" s="316">
        <f t="shared" ca="1" si="6"/>
        <v>0.60038755313514347</v>
      </c>
      <c r="O29" s="315">
        <f>1/(1+'[93]Asumsi I'!$C$3)^(KKF!A29)</f>
        <v>8.2642510427844609E-2</v>
      </c>
      <c r="P29" s="316">
        <f t="shared" ca="1" si="7"/>
        <v>4.9617534620719203E-2</v>
      </c>
      <c r="Q29" s="316">
        <f t="shared" ca="1" si="9"/>
        <v>-20.585136664023036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3744</v>
      </c>
      <c r="D30" s="316">
        <f t="shared" si="5"/>
        <v>624</v>
      </c>
      <c r="E30" s="316">
        <f t="shared" si="0"/>
        <v>3120</v>
      </c>
      <c r="F30" s="314"/>
      <c r="G30" s="318">
        <f ca="1">DATA!$D$11/1000000</f>
        <v>0.65827838119999993</v>
      </c>
      <c r="H30" s="318">
        <f>C30*DATA!$D$5/1000000</f>
        <v>4.0589641717993707</v>
      </c>
      <c r="I30" s="318">
        <f>(C30*DATA!$D$5*DATA!$D$7)/1000000</f>
        <v>9.1326693865485836E-2</v>
      </c>
      <c r="J30" s="316">
        <f t="shared" ca="1" si="1"/>
        <v>4.808569246864856</v>
      </c>
      <c r="K30" s="314"/>
      <c r="L30" s="316">
        <f>((D30*DATA!$D$23)/1000000)+((E30*DATA!$D$24)/1000000)</f>
        <v>5.4089567999999995</v>
      </c>
      <c r="M30" s="316">
        <f t="shared" si="2"/>
        <v>5.4089567999999995</v>
      </c>
      <c r="N30" s="316">
        <f t="shared" ca="1" si="6"/>
        <v>0.60038755313514347</v>
      </c>
      <c r="O30" s="315">
        <f>1/(1+'[93]Asumsi I'!$C$3)^(KKF!A30)</f>
        <v>7.3787955739146982E-2</v>
      </c>
      <c r="P30" s="316">
        <f t="shared" ca="1" si="7"/>
        <v>4.430137019707072E-2</v>
      </c>
      <c r="Q30" s="316">
        <f t="shared" ca="1" si="9"/>
        <v>-20.540835293825964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3744</v>
      </c>
      <c r="D31" s="316">
        <f t="shared" si="5"/>
        <v>624</v>
      </c>
      <c r="E31" s="316">
        <f t="shared" si="0"/>
        <v>3120</v>
      </c>
      <c r="F31" s="314"/>
      <c r="G31" s="318">
        <f ca="1">DATA!$D$11/1000000</f>
        <v>0.65827838119999993</v>
      </c>
      <c r="H31" s="318">
        <f>C31*DATA!$D$5/1000000</f>
        <v>4.0589641717993707</v>
      </c>
      <c r="I31" s="318">
        <f>(C31*DATA!$D$5*DATA!$D$7)/1000000</f>
        <v>9.1326693865485836E-2</v>
      </c>
      <c r="J31" s="316">
        <f t="shared" ca="1" si="1"/>
        <v>4.808569246864856</v>
      </c>
      <c r="K31" s="314"/>
      <c r="L31" s="316">
        <f>((D31*DATA!$D$23)/1000000)+((E31*DATA!$D$24)/1000000)</f>
        <v>5.4089567999999995</v>
      </c>
      <c r="M31" s="316">
        <f t="shared" si="2"/>
        <v>5.4089567999999995</v>
      </c>
      <c r="N31" s="316">
        <f t="shared" ca="1" si="6"/>
        <v>0.60038755313514347</v>
      </c>
      <c r="O31" s="315">
        <f>1/(1+'[93]Asumsi I'!$C$3)^(KKF!A31)</f>
        <v>6.5882103338524081E-2</v>
      </c>
      <c r="P31" s="316">
        <f t="shared" ca="1" si="7"/>
        <v>3.955479481881314E-2</v>
      </c>
      <c r="Q31" s="316">
        <f ca="1">Q30+P31</f>
        <v>-20.501280499007152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3744</v>
      </c>
      <c r="D32" s="316">
        <f t="shared" si="5"/>
        <v>624</v>
      </c>
      <c r="E32" s="316">
        <f t="shared" si="0"/>
        <v>3120</v>
      </c>
      <c r="F32" s="314"/>
      <c r="G32" s="318">
        <f ca="1">DATA!$D$11/1000000</f>
        <v>0.65827838119999993</v>
      </c>
      <c r="H32" s="318">
        <f>C32*DATA!$D$5/1000000</f>
        <v>4.0589641717993707</v>
      </c>
      <c r="I32" s="318">
        <f>(C32*DATA!$D$5*DATA!$D$7)/1000000</f>
        <v>9.1326693865485836E-2</v>
      </c>
      <c r="J32" s="316">
        <f t="shared" ca="1" si="1"/>
        <v>4.808569246864856</v>
      </c>
      <c r="K32" s="314"/>
      <c r="L32" s="316">
        <f>((D32*DATA!$D$23)/1000000)+((E32*DATA!$D$24)/1000000)</f>
        <v>5.4089567999999995</v>
      </c>
      <c r="M32" s="316">
        <f t="shared" si="2"/>
        <v>5.4089567999999995</v>
      </c>
      <c r="N32" s="316">
        <f t="shared" ca="1" si="6"/>
        <v>0.60038755313514347</v>
      </c>
      <c r="O32" s="315">
        <f>1/(1+'[93]Asumsi I'!$C$3)^(KKF!A32)</f>
        <v>5.8823306552253637E-2</v>
      </c>
      <c r="P32" s="316">
        <f t="shared" ca="1" si="7"/>
        <v>3.5316781088226015E-2</v>
      </c>
      <c r="Q32" s="316">
        <f ca="1">Q31+P32</f>
        <v>-20.465963717918925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156.55328918993143</v>
      </c>
      <c r="K33" s="609" t="s">
        <v>1375</v>
      </c>
      <c r="L33" s="609"/>
      <c r="M33" s="325">
        <f>SUM(M7:M32)</f>
        <v>146.38809119999999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60.526001627702321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0.93506876768587743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-18.273181890999041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-3.6376116137952219E-2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0" priority="1" stopIfTrue="1" operator="greaterThanOrEqual">
      <formula>$F$7</formula>
    </cfRule>
    <cfRule type="cellIs" dxfId="9" priority="2" stopIfTrue="1" operator="lessThan">
      <formula>$F$7</formula>
    </cfRule>
  </conditionalFormatting>
  <conditionalFormatting sqref="Q7:Q32">
    <cfRule type="cellIs" dxfId="8" priority="3" operator="lessThan">
      <formula>0</formula>
    </cfRule>
    <cfRule type="cellIs" dxfId="7" priority="4" operator="lessThan">
      <formula>0</formula>
    </cfRule>
    <cfRule type="cellIs" dxfId="6" priority="5" operator="lessThan">
      <formula>-6395.81</formula>
    </cfRule>
    <cfRule type="cellIs" dxfId="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2"/>
  <sheetViews>
    <sheetView showGridLines="0" tabSelected="1" zoomScaleNormal="100" zoomScaleSheetLayoutView="70" workbookViewId="0">
      <pane ySplit="13" topLeftCell="A20" activePane="bottomLeft" state="frozen"/>
      <selection activeCell="H1093" sqref="H1093"/>
      <selection pane="bottomLeft" activeCell="F29" sqref="F2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2" t="s">
        <v>1036</v>
      </c>
      <c r="P3" s="612"/>
      <c r="Q3" s="346"/>
      <c r="T3" s="344"/>
      <c r="U3" s="345" t="s">
        <v>1041</v>
      </c>
      <c r="V3" s="344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9" t="str">
        <f>DATA!D14</f>
        <v>KOST TRI WAHYU BUWONO</v>
      </c>
      <c r="H6" s="630"/>
      <c r="I6" s="630"/>
      <c r="J6" s="630"/>
      <c r="K6" s="63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4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:J17" ca="1" si="2">IF(D14="JASA",G14*F14,0)</f>
        <v>0</v>
      </c>
      <c r="K14" s="362">
        <f t="shared" ref="K14:K17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>
        <v>3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4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4"/>
        <v>0</v>
      </c>
      <c r="I16" s="361">
        <f t="shared" ca="1" si="5"/>
        <v>13530400</v>
      </c>
      <c r="J16" s="361">
        <f t="shared" ca="1" si="2"/>
        <v>0</v>
      </c>
      <c r="K16" s="362">
        <f t="shared" ca="1" si="3"/>
        <v>13530400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4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4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ca="1" si="4"/>
        <v>0</v>
      </c>
      <c r="I17" s="361">
        <f t="shared" ca="1" si="5"/>
        <v>0</v>
      </c>
      <c r="J17" s="361">
        <f t="shared" ca="1" si="2"/>
        <v>40266.666666666672</v>
      </c>
      <c r="K17" s="362">
        <f t="shared" ca="1" si="3"/>
        <v>40266.666666666672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1613</v>
      </c>
      <c r="C19" s="367" t="s">
        <v>1618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31" ca="1" si="6">IF(OR(D19="MDU",D19="MDU-KD"),(IF($O$3="RAB NON MDU","PLN KD",G19*F19)),0)</f>
        <v>0</v>
      </c>
      <c r="I19" s="361">
        <f t="shared" ref="I19:I31" ca="1" si="7">IF(D19="HDW",G19*F19,0)</f>
        <v>0</v>
      </c>
      <c r="J19" s="361">
        <f t="shared" ref="J19:J31" ca="1" si="8">IF(D19="JASA",G19*F19,0)</f>
        <v>0</v>
      </c>
      <c r="K19" s="362">
        <f t="shared" ref="K19:K31" ca="1" si="9">SUM(H19:J19)</f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503"/>
      <c r="C20" s="504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49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6"/>
        <v>0</v>
      </c>
      <c r="I20" s="361">
        <f t="shared" ca="1" si="7"/>
        <v>0</v>
      </c>
      <c r="J20" s="361">
        <f t="shared" ca="1" si="8"/>
        <v>0</v>
      </c>
      <c r="K20" s="362">
        <f t="shared" ca="1" si="9"/>
        <v>0</v>
      </c>
      <c r="L20" s="342"/>
      <c r="M20" s="342"/>
      <c r="N20" s="369"/>
      <c r="O20" s="344"/>
      <c r="P20" s="396"/>
      <c r="Q20" s="344"/>
    </row>
    <row r="21" spans="1:22" s="365" customFormat="1">
      <c r="A21" s="336"/>
      <c r="B21" s="500"/>
      <c r="C21" s="501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49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" ca="1" si="10">IF(OR(D21="MDU",D21="MDU-KD"),(IF($O$3="RAB NON MDU","PLN KD",G21*F21)),0)</f>
        <v>0</v>
      </c>
      <c r="I21" s="361">
        <f t="shared" ref="I21" ca="1" si="11">IF(D21="HDW",G21*F21,0)</f>
        <v>0</v>
      </c>
      <c r="J21" s="361">
        <f t="shared" ref="J21" ca="1" si="12">IF(D21="JASA",G21*F21,0)</f>
        <v>0</v>
      </c>
      <c r="K21" s="362">
        <f t="shared" ref="K21" ca="1" si="13">SUM(H21:J21)</f>
        <v>0</v>
      </c>
      <c r="L21" s="342"/>
      <c r="M21" s="342"/>
      <c r="N21" s="369"/>
      <c r="O21" s="344"/>
      <c r="P21" s="396"/>
      <c r="Q21" s="344"/>
    </row>
    <row r="22" spans="1:22" s="365" customFormat="1">
      <c r="A22" s="336"/>
      <c r="B22" s="503" t="s">
        <v>1035</v>
      </c>
      <c r="C22" s="504" t="s">
        <v>1624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98">
        <v>3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6"/>
        <v>0</v>
      </c>
      <c r="I22" s="361">
        <f t="shared" ca="1" si="7"/>
        <v>0</v>
      </c>
      <c r="J22" s="361">
        <f t="shared" ca="1" si="8"/>
        <v>0</v>
      </c>
      <c r="K22" s="362">
        <f t="shared" ca="1" si="9"/>
        <v>0</v>
      </c>
      <c r="L22" s="342"/>
      <c r="M22" s="342"/>
      <c r="N22" s="369"/>
      <c r="O22" s="344"/>
      <c r="P22" s="396"/>
      <c r="Q22" s="344"/>
    </row>
    <row r="23" spans="1:22" s="365" customFormat="1">
      <c r="A23" s="336"/>
      <c r="B23" s="500">
        <v>1</v>
      </c>
      <c r="C23" s="501" t="s">
        <v>30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8">
        <f>F22*1</f>
        <v>3</v>
      </c>
      <c r="G23" s="360">
        <f ca="1">IF(ISERROR(OFFSET('HARGA SATUAN'!$I$6,MATCH(RAB!C23,'HARGA SATUAN'!$C$7:$C$1492,0),0)),0,OFFSET('HARGA SATUAN'!$I$6,MATCH(RAB!C23,'HARGA SATUAN'!$C$7:$C$1492,0),0))</f>
        <v>47459</v>
      </c>
      <c r="H23" s="361">
        <f t="shared" ca="1" si="6"/>
        <v>0</v>
      </c>
      <c r="I23" s="361">
        <f t="shared" ca="1" si="7"/>
        <v>142377</v>
      </c>
      <c r="J23" s="361">
        <f t="shared" ca="1" si="8"/>
        <v>0</v>
      </c>
      <c r="K23" s="362">
        <f t="shared" ca="1" si="9"/>
        <v>142377</v>
      </c>
      <c r="L23" s="342"/>
      <c r="M23" s="342"/>
      <c r="N23" s="369"/>
      <c r="O23" s="344"/>
      <c r="P23" s="396"/>
      <c r="Q23" s="344"/>
    </row>
    <row r="24" spans="1:22" s="365" customFormat="1">
      <c r="A24" s="336"/>
      <c r="B24" s="500">
        <v>2</v>
      </c>
      <c r="C24" s="501" t="s">
        <v>32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8">
        <f>F22*0.8</f>
        <v>2.4000000000000004</v>
      </c>
      <c r="G24" s="360">
        <f ca="1">IF(ISERROR(OFFSET('HARGA SATUAN'!$I$6,MATCH(RAB!C24,'HARGA SATUAN'!$C$7:$C$1492,0),0)),0,OFFSET('HARGA SATUAN'!$I$6,MATCH(RAB!C24,'HARGA SATUAN'!$C$7:$C$1492,0),0))</f>
        <v>30000</v>
      </c>
      <c r="H24" s="361">
        <f t="shared" ca="1" si="6"/>
        <v>0</v>
      </c>
      <c r="I24" s="361">
        <f t="shared" ca="1" si="7"/>
        <v>72000.000000000015</v>
      </c>
      <c r="J24" s="361">
        <f t="shared" ca="1" si="8"/>
        <v>0</v>
      </c>
      <c r="K24" s="362">
        <f t="shared" ca="1" si="9"/>
        <v>72000.000000000015</v>
      </c>
      <c r="L24" s="342"/>
      <c r="M24" s="342"/>
      <c r="N24" s="369"/>
      <c r="O24" s="344"/>
      <c r="P24" s="396"/>
      <c r="Q24" s="344"/>
    </row>
    <row r="25" spans="1:22" s="365" customFormat="1">
      <c r="A25" s="336"/>
      <c r="B25" s="500">
        <v>3</v>
      </c>
      <c r="C25" s="501" t="s">
        <v>33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F22*1</f>
        <v>3</v>
      </c>
      <c r="G25" s="360">
        <f ca="1">IF(ISERROR(OFFSET('HARGA SATUAN'!$I$6,MATCH(RAB!C25,'HARGA SATUAN'!$C$7:$C$1492,0),0)),0,OFFSET('HARGA SATUAN'!$I$6,MATCH(RAB!C25,'HARGA SATUAN'!$C$7:$C$1492,0),0))</f>
        <v>9500</v>
      </c>
      <c r="H25" s="361">
        <f t="shared" ca="1" si="6"/>
        <v>0</v>
      </c>
      <c r="I25" s="361">
        <f t="shared" ca="1" si="7"/>
        <v>28500</v>
      </c>
      <c r="J25" s="361">
        <f t="shared" ca="1" si="8"/>
        <v>0</v>
      </c>
      <c r="K25" s="362">
        <f t="shared" ca="1" si="9"/>
        <v>28500</v>
      </c>
      <c r="L25" s="342"/>
      <c r="M25" s="342"/>
      <c r="N25" s="369"/>
      <c r="O25" s="344"/>
      <c r="P25" s="396"/>
      <c r="Q25" s="344"/>
    </row>
    <row r="26" spans="1:22" s="365" customFormat="1">
      <c r="A26" s="336"/>
      <c r="B26" s="500">
        <v>4</v>
      </c>
      <c r="C26" s="501" t="s">
        <v>737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8">
        <f>F22*1</f>
        <v>3</v>
      </c>
      <c r="G26" s="360">
        <f ca="1">IF(ISERROR(OFFSET('HARGA SATUAN'!$I$6,MATCH(RAB!C26,'HARGA SATUAN'!$C$7:$C$1492,0),0)),0,OFFSET('HARGA SATUAN'!$I$6,MATCH(RAB!C26,'HARGA SATUAN'!$C$7:$C$1492,0),0))</f>
        <v>16200</v>
      </c>
      <c r="H26" s="361">
        <f t="shared" ca="1" si="6"/>
        <v>0</v>
      </c>
      <c r="I26" s="361">
        <f t="shared" ca="1" si="7"/>
        <v>0</v>
      </c>
      <c r="J26" s="361">
        <f t="shared" ca="1" si="8"/>
        <v>48600</v>
      </c>
      <c r="K26" s="362">
        <f t="shared" ca="1" si="9"/>
        <v>48600</v>
      </c>
      <c r="L26" s="342"/>
      <c r="M26" s="342"/>
      <c r="N26" s="369"/>
      <c r="O26" s="344"/>
      <c r="P26" s="396"/>
      <c r="Q26" s="344"/>
    </row>
    <row r="27" spans="1:22" s="365" customFormat="1">
      <c r="A27" s="336"/>
      <c r="B27" s="500"/>
      <c r="C27" s="501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6"/>
        <v>0</v>
      </c>
      <c r="I27" s="361">
        <f t="shared" ca="1" si="7"/>
        <v>0</v>
      </c>
      <c r="J27" s="361">
        <f t="shared" ca="1" si="8"/>
        <v>0</v>
      </c>
      <c r="K27" s="362">
        <f t="shared" ca="1" si="9"/>
        <v>0</v>
      </c>
      <c r="L27" s="342"/>
      <c r="M27" s="342"/>
      <c r="N27" s="369"/>
      <c r="O27" s="344"/>
      <c r="P27" s="396"/>
      <c r="Q27" s="344"/>
    </row>
    <row r="28" spans="1:22" s="365" customFormat="1">
      <c r="A28" s="336"/>
      <c r="B28" s="500" t="s">
        <v>1035</v>
      </c>
      <c r="C28" s="501" t="s">
        <v>1625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8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6"/>
        <v>0</v>
      </c>
      <c r="I28" s="361">
        <f t="shared" ca="1" si="7"/>
        <v>0</v>
      </c>
      <c r="J28" s="361">
        <f t="shared" ca="1" si="8"/>
        <v>0</v>
      </c>
      <c r="K28" s="362">
        <f t="shared" ca="1" si="9"/>
        <v>0</v>
      </c>
      <c r="L28" s="342"/>
      <c r="M28" s="342"/>
      <c r="N28" s="369"/>
      <c r="O28" s="344"/>
      <c r="P28" s="396"/>
      <c r="Q28" s="344"/>
    </row>
    <row r="29" spans="1:22" s="365" customFormat="1">
      <c r="A29" s="336"/>
      <c r="B29" s="495">
        <v>1</v>
      </c>
      <c r="C29" s="496" t="s">
        <v>30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F28*1</f>
        <v>1</v>
      </c>
      <c r="G29" s="360">
        <f ca="1">IF(ISERROR(OFFSET('HARGA SATUAN'!$I$6,MATCH(RAB!C29,'HARGA SATUAN'!$C$7:$C$1492,0),0)),0,OFFSET('HARGA SATUAN'!$I$6,MATCH(RAB!C29,'HARGA SATUAN'!$C$7:$C$1492,0),0))</f>
        <v>47459</v>
      </c>
      <c r="H29" s="361">
        <f t="shared" ca="1" si="6"/>
        <v>0</v>
      </c>
      <c r="I29" s="361">
        <f t="shared" ca="1" si="7"/>
        <v>47459</v>
      </c>
      <c r="J29" s="361">
        <f t="shared" ca="1" si="8"/>
        <v>0</v>
      </c>
      <c r="K29" s="362">
        <f t="shared" ca="1" si="9"/>
        <v>47459</v>
      </c>
      <c r="L29" s="342"/>
      <c r="M29" s="342"/>
      <c r="N29" s="369"/>
      <c r="O29" s="344"/>
      <c r="P29" s="396"/>
      <c r="Q29" s="344"/>
    </row>
    <row r="30" spans="1:22" s="365" customFormat="1">
      <c r="A30" s="336"/>
      <c r="B30" s="503">
        <v>2</v>
      </c>
      <c r="C30" s="504" t="s">
        <v>32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Mtr</v>
      </c>
      <c r="F30" s="498">
        <f>F28*1</f>
        <v>1</v>
      </c>
      <c r="G30" s="360">
        <f ca="1">IF(ISERROR(OFFSET('HARGA SATUAN'!$I$6,MATCH(RAB!C30,'HARGA SATUAN'!$C$7:$C$1492,0),0)),0,OFFSET('HARGA SATUAN'!$I$6,MATCH(RAB!C30,'HARGA SATUAN'!$C$7:$C$1492,0),0))</f>
        <v>30000</v>
      </c>
      <c r="H30" s="361">
        <f t="shared" ca="1" si="6"/>
        <v>0</v>
      </c>
      <c r="I30" s="361">
        <f t="shared" ca="1" si="7"/>
        <v>30000</v>
      </c>
      <c r="J30" s="361">
        <f t="shared" ca="1" si="8"/>
        <v>0</v>
      </c>
      <c r="K30" s="362">
        <f t="shared" ca="1" si="9"/>
        <v>30000</v>
      </c>
      <c r="L30" s="342"/>
      <c r="M30" s="342"/>
      <c r="N30" s="369"/>
      <c r="O30" s="344"/>
      <c r="P30" s="396"/>
      <c r="Q30" s="344"/>
    </row>
    <row r="31" spans="1:22" s="365" customFormat="1">
      <c r="A31" s="336"/>
      <c r="B31" s="503">
        <v>3</v>
      </c>
      <c r="C31" s="504" t="s">
        <v>33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F28*1</f>
        <v>1</v>
      </c>
      <c r="G31" s="360">
        <f ca="1">IF(ISERROR(OFFSET('HARGA SATUAN'!$I$6,MATCH(RAB!C31,'HARGA SATUAN'!$C$7:$C$1492,0),0)),0,OFFSET('HARGA SATUAN'!$I$6,MATCH(RAB!C31,'HARGA SATUAN'!$C$7:$C$1492,0),0))</f>
        <v>9500</v>
      </c>
      <c r="H31" s="361">
        <f t="shared" ca="1" si="6"/>
        <v>0</v>
      </c>
      <c r="I31" s="361">
        <f t="shared" ca="1" si="7"/>
        <v>9500</v>
      </c>
      <c r="J31" s="361">
        <f t="shared" ca="1" si="8"/>
        <v>0</v>
      </c>
      <c r="K31" s="362">
        <f t="shared" ca="1" si="9"/>
        <v>9500</v>
      </c>
      <c r="L31" s="342"/>
      <c r="M31" s="342"/>
      <c r="N31" s="369"/>
      <c r="O31" s="344"/>
      <c r="P31" s="396"/>
      <c r="Q31" s="344"/>
    </row>
    <row r="32" spans="1:22" s="365" customFormat="1">
      <c r="A32" s="336"/>
      <c r="B32" s="503">
        <v>4</v>
      </c>
      <c r="C32" s="504" t="s">
        <v>738</v>
      </c>
      <c r="D32" s="358" t="str">
        <f ca="1">IF(ISERROR(OFFSET('HARGA SATUAN'!$D$6,MATCH(RAB!C32,'HARGA SATUAN'!$C$7:$C$1492,0),0)),"",OFFSET('HARGA SATUAN'!$D$6,MATCH(RAB!C32,'HARGA SATUAN'!$C$7:$C$1492,0),0))</f>
        <v>JASA</v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498">
        <f>F28*1</f>
        <v>1</v>
      </c>
      <c r="G32" s="360">
        <f ca="1">IF(ISERROR(OFFSET('HARGA SATUAN'!$I$6,MATCH(RAB!C32,'HARGA SATUAN'!$C$7:$C$1492,0),0)),0,OFFSET('HARGA SATUAN'!$I$6,MATCH(RAB!C32,'HARGA SATUAN'!$C$7:$C$1492,0),0))</f>
        <v>21200</v>
      </c>
      <c r="H32" s="361">
        <f t="shared" ref="H32:H56" ca="1" si="14">IF(OR(D32="MDU",D32="MDU-KD"),(IF($O$3="RAB NON MDU","PLN KD",G32*F32)),0)</f>
        <v>0</v>
      </c>
      <c r="I32" s="361">
        <f t="shared" ref="I32:I56" ca="1" si="15">IF(D32="HDW",G32*F32,0)</f>
        <v>0</v>
      </c>
      <c r="J32" s="361">
        <f t="shared" ref="J32:J56" ca="1" si="16">IF(D32="JASA",G32*F32,0)</f>
        <v>21200</v>
      </c>
      <c r="K32" s="362">
        <f t="shared" ref="K32:K56" ca="1" si="17">SUM(H32:J32)</f>
        <v>21200</v>
      </c>
      <c r="L32" s="342"/>
      <c r="M32" s="342"/>
      <c r="N32" s="369"/>
      <c r="O32" s="344"/>
      <c r="P32" s="396"/>
      <c r="Q32" s="344"/>
    </row>
    <row r="33" spans="1:17" s="365" customFormat="1">
      <c r="A33" s="336"/>
      <c r="B33" s="503">
        <v>3</v>
      </c>
      <c r="C33" s="504" t="s">
        <v>26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8">
        <f>F30*2</f>
        <v>2</v>
      </c>
      <c r="G33" s="360">
        <f ca="1">IF(ISERROR(OFFSET('HARGA SATUAN'!$I$6,MATCH(RAB!C33,'HARGA SATUAN'!$C$7:$C$1492,0),0)),0,OFFSET('HARGA SATUAN'!$I$6,MATCH(RAB!C33,'HARGA SATUAN'!$C$7:$C$1492,0),0))</f>
        <v>2500</v>
      </c>
      <c r="H33" s="361">
        <f t="shared" ca="1" si="14"/>
        <v>0</v>
      </c>
      <c r="I33" s="361">
        <f t="shared" ca="1" si="15"/>
        <v>5000</v>
      </c>
      <c r="J33" s="361">
        <f t="shared" ca="1" si="16"/>
        <v>0</v>
      </c>
      <c r="K33" s="362">
        <f t="shared" ca="1" si="17"/>
        <v>5000</v>
      </c>
      <c r="L33" s="342"/>
      <c r="M33" s="342"/>
      <c r="N33" s="369"/>
      <c r="O33" s="344"/>
      <c r="P33" s="396"/>
      <c r="Q33" s="344"/>
    </row>
    <row r="34" spans="1:17" s="365" customFormat="1">
      <c r="A34" s="336"/>
      <c r="B34" s="500">
        <v>4</v>
      </c>
      <c r="C34" s="501" t="s">
        <v>157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F30*2</f>
        <v>2</v>
      </c>
      <c r="G34" s="360">
        <f ca="1">IF(ISERROR(OFFSET('HARGA SATUAN'!$I$6,MATCH(RAB!C34,'HARGA SATUAN'!$C$7:$C$1492,0),0)),0,OFFSET('HARGA SATUAN'!$I$6,MATCH(RAB!C34,'HARGA SATUAN'!$C$7:$C$1492,0),0))</f>
        <v>40000</v>
      </c>
      <c r="H34" s="361">
        <f t="shared" ca="1" si="14"/>
        <v>0</v>
      </c>
      <c r="I34" s="361">
        <f t="shared" ca="1" si="15"/>
        <v>80000</v>
      </c>
      <c r="J34" s="361">
        <f t="shared" ca="1" si="16"/>
        <v>0</v>
      </c>
      <c r="K34" s="362">
        <f t="shared" ca="1" si="17"/>
        <v>80000</v>
      </c>
      <c r="L34" s="342"/>
      <c r="M34" s="342"/>
      <c r="N34" s="369"/>
      <c r="O34" s="344"/>
      <c r="P34" s="396"/>
      <c r="Q34" s="344"/>
    </row>
    <row r="35" spans="1:17" s="365" customFormat="1">
      <c r="A35" s="336"/>
      <c r="B35" s="500">
        <v>5</v>
      </c>
      <c r="C35" s="501" t="s">
        <v>755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8">
        <f>F30*1</f>
        <v>1</v>
      </c>
      <c r="G35" s="360">
        <f ca="1">IF(ISERROR(OFFSET('HARGA SATUAN'!$I$6,MATCH(RAB!C35,'HARGA SATUAN'!$C$7:$C$1492,0),0)),0,OFFSET('HARGA SATUAN'!$I$6,MATCH(RAB!C35,'HARGA SATUAN'!$C$7:$C$1492,0),0))</f>
        <v>69000</v>
      </c>
      <c r="H35" s="361">
        <f t="shared" ca="1" si="14"/>
        <v>0</v>
      </c>
      <c r="I35" s="361">
        <f t="shared" ca="1" si="15"/>
        <v>0</v>
      </c>
      <c r="J35" s="361">
        <f t="shared" ca="1" si="16"/>
        <v>69000</v>
      </c>
      <c r="K35" s="362">
        <f t="shared" ca="1" si="17"/>
        <v>69000</v>
      </c>
      <c r="L35" s="342"/>
      <c r="M35" s="342"/>
      <c r="N35" s="369"/>
      <c r="O35" s="344"/>
      <c r="P35" s="396"/>
      <c r="Q35" s="344"/>
    </row>
    <row r="36" spans="1:17" s="365" customFormat="1">
      <c r="A36" s="336"/>
      <c r="B36" s="500"/>
      <c r="C36" s="501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49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14"/>
        <v>0</v>
      </c>
      <c r="I36" s="361">
        <f t="shared" ca="1" si="15"/>
        <v>0</v>
      </c>
      <c r="J36" s="361">
        <f t="shared" ca="1" si="16"/>
        <v>0</v>
      </c>
      <c r="K36" s="362">
        <f t="shared" ca="1" si="17"/>
        <v>0</v>
      </c>
      <c r="L36" s="342"/>
      <c r="M36" s="342"/>
      <c r="N36" s="369"/>
      <c r="O36" s="344"/>
      <c r="P36" s="396"/>
      <c r="Q36" s="344"/>
    </row>
    <row r="37" spans="1:17" s="365" customFormat="1">
      <c r="A37" s="336"/>
      <c r="B37" s="500" t="s">
        <v>1035</v>
      </c>
      <c r="C37" s="501" t="s">
        <v>1623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498">
        <v>3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4"/>
        <v>0</v>
      </c>
      <c r="I37" s="361">
        <f t="shared" ca="1" si="15"/>
        <v>0</v>
      </c>
      <c r="J37" s="361">
        <f t="shared" ca="1" si="16"/>
        <v>0</v>
      </c>
      <c r="K37" s="362">
        <f t="shared" ca="1" si="17"/>
        <v>0</v>
      </c>
      <c r="L37" s="342"/>
      <c r="M37" s="342"/>
      <c r="N37" s="369"/>
      <c r="O37" s="344"/>
      <c r="P37" s="396"/>
      <c r="Q37" s="344"/>
    </row>
    <row r="38" spans="1:17" s="365" customFormat="1">
      <c r="A38" s="336"/>
      <c r="B38" s="500">
        <v>1</v>
      </c>
      <c r="C38" s="501" t="s">
        <v>229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8">
        <f>F37*1</f>
        <v>3</v>
      </c>
      <c r="G38" s="360">
        <f ca="1">IF(ISERROR(OFFSET('HARGA SATUAN'!$I$6,MATCH(RAB!C38,'HARGA SATUAN'!$C$7:$C$1492,0),0)),0,OFFSET('HARGA SATUAN'!$I$6,MATCH(RAB!C38,'HARGA SATUAN'!$C$7:$C$1492,0),0))</f>
        <v>4212</v>
      </c>
      <c r="H38" s="361">
        <f t="shared" ca="1" si="14"/>
        <v>0</v>
      </c>
      <c r="I38" s="361">
        <f t="shared" ca="1" si="15"/>
        <v>12636</v>
      </c>
      <c r="J38" s="361">
        <f t="shared" ca="1" si="16"/>
        <v>0</v>
      </c>
      <c r="K38" s="362">
        <f t="shared" ca="1" si="17"/>
        <v>12636</v>
      </c>
      <c r="L38" s="342"/>
      <c r="M38" s="342"/>
      <c r="N38" s="369"/>
      <c r="O38" s="344"/>
      <c r="P38" s="396"/>
      <c r="Q38" s="344"/>
    </row>
    <row r="39" spans="1:17" s="365" customFormat="1">
      <c r="A39" s="336"/>
      <c r="B39" s="500">
        <v>2</v>
      </c>
      <c r="C39" s="501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98">
        <f>F37*1</f>
        <v>3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ca="1" si="14"/>
        <v>0</v>
      </c>
      <c r="I39" s="361">
        <f t="shared" ca="1" si="15"/>
        <v>69930</v>
      </c>
      <c r="J39" s="361">
        <f t="shared" ca="1" si="16"/>
        <v>0</v>
      </c>
      <c r="K39" s="362">
        <f t="shared" ca="1" si="17"/>
        <v>69930</v>
      </c>
      <c r="L39" s="342"/>
      <c r="M39" s="342"/>
      <c r="N39" s="369"/>
      <c r="O39" s="344"/>
      <c r="P39" s="396"/>
      <c r="Q39" s="344"/>
    </row>
    <row r="40" spans="1:17" s="365" customFormat="1">
      <c r="A40" s="336"/>
      <c r="B40" s="500">
        <v>3</v>
      </c>
      <c r="C40" s="501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8">
        <f>F37*1</f>
        <v>3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ref="H40:H43" ca="1" si="18">IF(OR(D40="MDU",D40="MDU-KD"),(IF($O$3="RAB NON MDU","PLN KD",G40*F40)),0)</f>
        <v>0</v>
      </c>
      <c r="I40" s="361">
        <f t="shared" ref="I40:I43" ca="1" si="19">IF(D40="HDW",G40*F40,0)</f>
        <v>6900</v>
      </c>
      <c r="J40" s="361">
        <f t="shared" ref="J40:J43" ca="1" si="20">IF(D40="JASA",G40*F40,0)</f>
        <v>0</v>
      </c>
      <c r="K40" s="362">
        <f t="shared" ref="K40:K43" ca="1" si="21">SUM(H40:J40)</f>
        <v>6900</v>
      </c>
      <c r="L40" s="342"/>
      <c r="M40" s="342"/>
      <c r="N40" s="369"/>
      <c r="O40" s="344"/>
      <c r="P40" s="396"/>
      <c r="Q40" s="344"/>
    </row>
    <row r="41" spans="1:17" s="365" customFormat="1">
      <c r="A41" s="336"/>
      <c r="B41" s="500">
        <v>4</v>
      </c>
      <c r="C41" s="501" t="s">
        <v>609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F37*1</f>
        <v>3</v>
      </c>
      <c r="G41" s="360">
        <f ca="1">IF(ISERROR(OFFSET('HARGA SATUAN'!$I$6,MATCH(RAB!C41,'HARGA SATUAN'!$C$7:$C$1492,0),0)),0,OFFSET('HARGA SATUAN'!$I$6,MATCH(RAB!C41,'HARGA SATUAN'!$C$7:$C$1492,0),0))</f>
        <v>71000</v>
      </c>
      <c r="H41" s="361">
        <f t="shared" ca="1" si="18"/>
        <v>0</v>
      </c>
      <c r="I41" s="361">
        <f t="shared" ca="1" si="19"/>
        <v>213000</v>
      </c>
      <c r="J41" s="361">
        <f t="shared" ca="1" si="20"/>
        <v>0</v>
      </c>
      <c r="K41" s="362">
        <f t="shared" ca="1" si="21"/>
        <v>213000</v>
      </c>
      <c r="L41" s="342"/>
      <c r="M41" s="342"/>
      <c r="N41" s="369"/>
      <c r="O41" s="344"/>
      <c r="P41" s="396"/>
      <c r="Q41" s="344"/>
    </row>
    <row r="42" spans="1:17" s="365" customFormat="1">
      <c r="A42" s="336"/>
      <c r="B42" s="500">
        <v>5</v>
      </c>
      <c r="C42" s="501" t="s">
        <v>629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498">
        <f>F37*1</f>
        <v>3</v>
      </c>
      <c r="G42" s="360">
        <f ca="1">IF(ISERROR(OFFSET('HARGA SATUAN'!$I$6,MATCH(RAB!C42,'HARGA SATUAN'!$C$7:$C$1492,0),0)),0,OFFSET('HARGA SATUAN'!$I$6,MATCH(RAB!C42,'HARGA SATUAN'!$C$7:$C$1492,0),0))</f>
        <v>29400</v>
      </c>
      <c r="H42" s="361">
        <f t="shared" ca="1" si="18"/>
        <v>0</v>
      </c>
      <c r="I42" s="361">
        <f t="shared" ca="1" si="19"/>
        <v>0</v>
      </c>
      <c r="J42" s="361">
        <f t="shared" ca="1" si="20"/>
        <v>88200</v>
      </c>
      <c r="K42" s="362">
        <f t="shared" ca="1" si="21"/>
        <v>88200</v>
      </c>
      <c r="L42" s="342"/>
      <c r="M42" s="342"/>
      <c r="N42" s="369"/>
      <c r="O42" s="344"/>
      <c r="P42" s="396"/>
      <c r="Q42" s="344"/>
    </row>
    <row r="43" spans="1:17" s="365" customFormat="1">
      <c r="A43" s="336"/>
      <c r="B43" s="500"/>
      <c r="C43" s="501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49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18"/>
        <v>0</v>
      </c>
      <c r="I43" s="361">
        <f t="shared" ca="1" si="19"/>
        <v>0</v>
      </c>
      <c r="J43" s="361">
        <f t="shared" ca="1" si="20"/>
        <v>0</v>
      </c>
      <c r="K43" s="362">
        <f t="shared" ca="1" si="21"/>
        <v>0</v>
      </c>
      <c r="L43" s="342"/>
      <c r="M43" s="342"/>
      <c r="N43" s="369"/>
      <c r="O43" s="344"/>
      <c r="P43" s="396"/>
      <c r="Q43" s="344"/>
    </row>
    <row r="44" spans="1:17" s="365" customFormat="1">
      <c r="A44" s="336"/>
      <c r="B44" s="500" t="s">
        <v>1035</v>
      </c>
      <c r="C44" s="501" t="s">
        <v>1622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98">
        <v>2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7" ca="1" si="22">IF(OR(D44="MDU",D44="MDU-KD"),(IF($O$3="RAB NON MDU","PLN KD",G44*F44)),0)</f>
        <v>0</v>
      </c>
      <c r="I44" s="361">
        <f t="shared" ref="I44:I47" ca="1" si="23">IF(D44="HDW",G44*F44,0)</f>
        <v>0</v>
      </c>
      <c r="J44" s="361">
        <f t="shared" ref="J44:J47" ca="1" si="24">IF(D44="JASA",G44*F44,0)</f>
        <v>0</v>
      </c>
      <c r="K44" s="362">
        <f t="shared" ref="K44:K47" ca="1" si="25">SUM(H44:J44)</f>
        <v>0</v>
      </c>
      <c r="L44" s="342"/>
      <c r="M44" s="342"/>
      <c r="N44" s="369"/>
      <c r="O44" s="344"/>
      <c r="P44" s="396"/>
      <c r="Q44" s="344"/>
    </row>
    <row r="45" spans="1:17" s="365" customFormat="1">
      <c r="A45" s="336"/>
      <c r="B45" s="500">
        <v>1</v>
      </c>
      <c r="C45" s="501" t="s">
        <v>595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8">
        <f>F44*1</f>
        <v>2</v>
      </c>
      <c r="G45" s="360">
        <f ca="1">IF(ISERROR(OFFSET('HARGA SATUAN'!$I$6,MATCH(RAB!C45,'HARGA SATUAN'!$C$7:$C$1492,0),0)),0,OFFSET('HARGA SATUAN'!$I$6,MATCH(RAB!C45,'HARGA SATUAN'!$C$7:$C$1492,0),0))</f>
        <v>78500</v>
      </c>
      <c r="H45" s="361">
        <f t="shared" ca="1" si="22"/>
        <v>0</v>
      </c>
      <c r="I45" s="361">
        <f t="shared" ca="1" si="23"/>
        <v>157000</v>
      </c>
      <c r="J45" s="361">
        <f t="shared" ca="1" si="24"/>
        <v>0</v>
      </c>
      <c r="K45" s="362">
        <f t="shared" ca="1" si="25"/>
        <v>157000</v>
      </c>
      <c r="L45" s="342"/>
      <c r="M45" s="342"/>
      <c r="N45" s="369"/>
      <c r="O45" s="344"/>
      <c r="P45" s="396"/>
      <c r="Q45" s="344"/>
    </row>
    <row r="46" spans="1:17" s="365" customFormat="1">
      <c r="A46" s="336"/>
      <c r="B46" s="500">
        <v>2</v>
      </c>
      <c r="C46" s="501" t="s">
        <v>229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8">
        <f>F44*1</f>
        <v>2</v>
      </c>
      <c r="G46" s="360">
        <f ca="1">IF(ISERROR(OFFSET('HARGA SATUAN'!$I$6,MATCH(RAB!C46,'HARGA SATUAN'!$C$7:$C$1492,0),0)),0,OFFSET('HARGA SATUAN'!$I$6,MATCH(RAB!C46,'HARGA SATUAN'!$C$7:$C$1492,0),0))</f>
        <v>4212</v>
      </c>
      <c r="H46" s="361">
        <f t="shared" ca="1" si="22"/>
        <v>0</v>
      </c>
      <c r="I46" s="361">
        <f t="shared" ca="1" si="23"/>
        <v>8424</v>
      </c>
      <c r="J46" s="361">
        <f t="shared" ca="1" si="24"/>
        <v>0</v>
      </c>
      <c r="K46" s="362">
        <f t="shared" ca="1" si="25"/>
        <v>8424</v>
      </c>
      <c r="L46" s="342"/>
      <c r="M46" s="342"/>
      <c r="N46" s="369"/>
      <c r="O46" s="344"/>
      <c r="P46" s="396"/>
      <c r="Q46" s="344"/>
    </row>
    <row r="47" spans="1:17" s="365" customFormat="1">
      <c r="A47" s="336"/>
      <c r="B47" s="500">
        <v>3</v>
      </c>
      <c r="C47" s="501" t="s">
        <v>266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498">
        <f>F44*1</f>
        <v>2</v>
      </c>
      <c r="G47" s="360">
        <f ca="1">IF(ISERROR(OFFSET('HARGA SATUAN'!$I$6,MATCH(RAB!C47,'HARGA SATUAN'!$C$7:$C$1492,0),0)),0,OFFSET('HARGA SATUAN'!$I$6,MATCH(RAB!C47,'HARGA SATUAN'!$C$7:$C$1492,0),0))</f>
        <v>23310</v>
      </c>
      <c r="H47" s="361">
        <f t="shared" ca="1" si="22"/>
        <v>0</v>
      </c>
      <c r="I47" s="361">
        <f t="shared" ca="1" si="23"/>
        <v>46620</v>
      </c>
      <c r="J47" s="361">
        <f t="shared" ca="1" si="24"/>
        <v>0</v>
      </c>
      <c r="K47" s="362">
        <f t="shared" ca="1" si="25"/>
        <v>46620</v>
      </c>
      <c r="L47" s="342"/>
      <c r="M47" s="342"/>
      <c r="N47" s="369"/>
      <c r="O47" s="344"/>
      <c r="P47" s="396"/>
      <c r="Q47" s="344"/>
    </row>
    <row r="48" spans="1:17" s="365" customFormat="1">
      <c r="A48" s="336"/>
      <c r="B48" s="500">
        <v>4</v>
      </c>
      <c r="C48" s="501" t="s">
        <v>35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8">
        <f>F44*1</f>
        <v>2</v>
      </c>
      <c r="G48" s="360">
        <f ca="1">IF(ISERROR(OFFSET('HARGA SATUAN'!$I$6,MATCH(RAB!C48,'HARGA SATUAN'!$C$7:$C$1492,0),0)),0,OFFSET('HARGA SATUAN'!$I$6,MATCH(RAB!C48,'HARGA SATUAN'!$C$7:$C$1492,0),0))</f>
        <v>2300</v>
      </c>
      <c r="H48" s="361">
        <f t="shared" ca="1" si="14"/>
        <v>0</v>
      </c>
      <c r="I48" s="361">
        <f t="shared" ca="1" si="15"/>
        <v>4600</v>
      </c>
      <c r="J48" s="361">
        <f t="shared" ca="1" si="16"/>
        <v>0</v>
      </c>
      <c r="K48" s="362">
        <f t="shared" ca="1" si="17"/>
        <v>4600</v>
      </c>
      <c r="L48" s="342"/>
      <c r="M48" s="342"/>
      <c r="N48" s="369"/>
      <c r="O48" s="344"/>
      <c r="P48" s="396"/>
      <c r="Q48" s="344"/>
    </row>
    <row r="49" spans="1:17" s="365" customFormat="1">
      <c r="A49" s="336"/>
      <c r="B49" s="500">
        <v>5</v>
      </c>
      <c r="C49" s="501" t="s">
        <v>630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98">
        <f>F44*1</f>
        <v>2</v>
      </c>
      <c r="G49" s="360">
        <f ca="1">IF(ISERROR(OFFSET('HARGA SATUAN'!$I$6,MATCH(RAB!C49,'HARGA SATUAN'!$C$7:$C$1492,0),0)),0,OFFSET('HARGA SATUAN'!$I$6,MATCH(RAB!C49,'HARGA SATUAN'!$C$7:$C$1492,0),0))</f>
        <v>35700</v>
      </c>
      <c r="H49" s="361">
        <f t="shared" ref="H49" ca="1" si="26">IF(OR(D49="MDU",D49="MDU-KD"),(IF($O$3="RAB NON MDU","PLN KD",G49*F49)),0)</f>
        <v>0</v>
      </c>
      <c r="I49" s="361">
        <f t="shared" ref="I49" ca="1" si="27">IF(D49="HDW",G49*F49,0)</f>
        <v>0</v>
      </c>
      <c r="J49" s="361">
        <f t="shared" ref="J49" ca="1" si="28">IF(D49="JASA",G49*F49,0)</f>
        <v>71400</v>
      </c>
      <c r="K49" s="362">
        <f t="shared" ref="K49" ca="1" si="29">SUM(H49:J49)</f>
        <v>71400</v>
      </c>
      <c r="L49" s="342"/>
      <c r="M49" s="342"/>
      <c r="N49" s="369"/>
      <c r="O49" s="344"/>
      <c r="P49" s="396"/>
      <c r="Q49" s="344"/>
    </row>
    <row r="50" spans="1:17" s="365" customFormat="1">
      <c r="A50" s="336"/>
      <c r="B50" s="500"/>
      <c r="C50" s="501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49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14"/>
        <v>0</v>
      </c>
      <c r="I50" s="361">
        <f t="shared" ca="1" si="15"/>
        <v>0</v>
      </c>
      <c r="J50" s="361">
        <f t="shared" ca="1" si="16"/>
        <v>0</v>
      </c>
      <c r="K50" s="362">
        <f t="shared" ca="1" si="17"/>
        <v>0</v>
      </c>
      <c r="L50" s="342"/>
      <c r="M50" s="342"/>
      <c r="N50" s="369"/>
      <c r="O50" s="344"/>
      <c r="P50" s="396"/>
      <c r="Q50" s="344"/>
    </row>
    <row r="51" spans="1:17" s="365" customFormat="1">
      <c r="A51" s="336"/>
      <c r="B51" s="500" t="s">
        <v>1035</v>
      </c>
      <c r="C51" s="501" t="s">
        <v>1619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498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14"/>
        <v>0</v>
      </c>
      <c r="I51" s="361">
        <f t="shared" ca="1" si="15"/>
        <v>0</v>
      </c>
      <c r="J51" s="361">
        <f t="shared" ca="1" si="16"/>
        <v>0</v>
      </c>
      <c r="K51" s="362">
        <f t="shared" ca="1" si="17"/>
        <v>0</v>
      </c>
      <c r="L51" s="342"/>
      <c r="M51" s="342"/>
      <c r="N51" s="369"/>
      <c r="O51" s="344"/>
      <c r="P51" s="396"/>
      <c r="Q51" s="344"/>
    </row>
    <row r="52" spans="1:17" s="365" customFormat="1">
      <c r="A52" s="336"/>
      <c r="B52" s="500">
        <v>1</v>
      </c>
      <c r="C52" s="501" t="s">
        <v>28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8">
        <f>F51*1</f>
        <v>1</v>
      </c>
      <c r="G52" s="360">
        <f ca="1">IF(ISERROR(OFFSET('HARGA SATUAN'!$I$6,MATCH(RAB!C52,'HARGA SATUAN'!$C$7:$C$1492,0),0)),0,OFFSET('HARGA SATUAN'!$I$6,MATCH(RAB!C52,'HARGA SATUAN'!$C$7:$C$1492,0),0))</f>
        <v>26500</v>
      </c>
      <c r="H52" s="361">
        <f t="shared" ca="1" si="14"/>
        <v>0</v>
      </c>
      <c r="I52" s="361">
        <f t="shared" ca="1" si="15"/>
        <v>26500</v>
      </c>
      <c r="J52" s="361">
        <f t="shared" ca="1" si="16"/>
        <v>0</v>
      </c>
      <c r="K52" s="362">
        <f t="shared" ca="1" si="17"/>
        <v>26500</v>
      </c>
      <c r="L52" s="342"/>
      <c r="M52" s="342"/>
      <c r="N52" s="369"/>
      <c r="O52" s="344"/>
      <c r="P52" s="396"/>
      <c r="Q52" s="344"/>
    </row>
    <row r="53" spans="1:17" s="365" customFormat="1">
      <c r="A53" s="336"/>
      <c r="B53" s="500">
        <v>2</v>
      </c>
      <c r="C53" s="501" t="s">
        <v>203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8">
        <f>F51*1</f>
        <v>1</v>
      </c>
      <c r="G53" s="360">
        <f ca="1">IF(ISERROR(OFFSET('HARGA SATUAN'!$I$6,MATCH(RAB!C53,'HARGA SATUAN'!$C$7:$C$1492,0),0)),0,OFFSET('HARGA SATUAN'!$I$6,MATCH(RAB!C53,'HARGA SATUAN'!$C$7:$C$1492,0),0))</f>
        <v>12500</v>
      </c>
      <c r="H53" s="361">
        <f t="shared" ca="1" si="14"/>
        <v>0</v>
      </c>
      <c r="I53" s="361">
        <f t="shared" ca="1" si="15"/>
        <v>12500</v>
      </c>
      <c r="J53" s="361">
        <f t="shared" ca="1" si="16"/>
        <v>0</v>
      </c>
      <c r="K53" s="362">
        <f t="shared" ca="1" si="17"/>
        <v>12500</v>
      </c>
      <c r="L53" s="342"/>
      <c r="M53" s="342"/>
      <c r="N53" s="369"/>
      <c r="O53" s="344"/>
      <c r="P53" s="396"/>
      <c r="Q53" s="344"/>
    </row>
    <row r="54" spans="1:17" s="365" customFormat="1">
      <c r="A54" s="336"/>
      <c r="B54" s="495">
        <v>3</v>
      </c>
      <c r="C54" s="707" t="s">
        <v>205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498">
        <f>F51*12</f>
        <v>12</v>
      </c>
      <c r="G54" s="360">
        <f ca="1">IF(ISERROR(OFFSET('HARGA SATUAN'!$I$6,MATCH(RAB!C54,'HARGA SATUAN'!$C$7:$C$1492,0),0)),0,OFFSET('HARGA SATUAN'!$I$6,MATCH(RAB!C54,'HARGA SATUAN'!$C$7:$C$1492,0),0))</f>
        <v>24300</v>
      </c>
      <c r="H54" s="361">
        <f t="shared" ca="1" si="14"/>
        <v>0</v>
      </c>
      <c r="I54" s="361">
        <f t="shared" ca="1" si="15"/>
        <v>291600</v>
      </c>
      <c r="J54" s="361">
        <f t="shared" ca="1" si="16"/>
        <v>0</v>
      </c>
      <c r="K54" s="362">
        <f t="shared" ca="1" si="17"/>
        <v>291600</v>
      </c>
      <c r="L54" s="342"/>
      <c r="M54" s="342"/>
      <c r="N54" s="369"/>
      <c r="O54" s="344"/>
      <c r="P54" s="396"/>
      <c r="Q54" s="344"/>
    </row>
    <row r="55" spans="1:17" s="365" customFormat="1">
      <c r="A55" s="336"/>
      <c r="B55" s="503">
        <v>4</v>
      </c>
      <c r="C55" s="504" t="s">
        <v>287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8">
        <f>F51*2</f>
        <v>2</v>
      </c>
      <c r="G55" s="360">
        <f ca="1">IF(ISERROR(OFFSET('HARGA SATUAN'!$I$6,MATCH(RAB!C55,'HARGA SATUAN'!$C$7:$C$1492,0),0)),0,OFFSET('HARGA SATUAN'!$I$6,MATCH(RAB!C55,'HARGA SATUAN'!$C$7:$C$1492,0),0))</f>
        <v>40000</v>
      </c>
      <c r="H55" s="361">
        <f t="shared" ca="1" si="14"/>
        <v>0</v>
      </c>
      <c r="I55" s="361">
        <f t="shared" ca="1" si="15"/>
        <v>80000</v>
      </c>
      <c r="J55" s="361">
        <f t="shared" ca="1" si="16"/>
        <v>0</v>
      </c>
      <c r="K55" s="362">
        <f t="shared" ca="1" si="17"/>
        <v>80000</v>
      </c>
      <c r="L55" s="342"/>
      <c r="M55" s="342"/>
      <c r="N55" s="369"/>
      <c r="O55" s="344"/>
      <c r="P55" s="396"/>
      <c r="Q55" s="344"/>
    </row>
    <row r="56" spans="1:17" s="365" customFormat="1">
      <c r="A56" s="336"/>
      <c r="B56" s="503">
        <v>5</v>
      </c>
      <c r="C56" s="504" t="s">
        <v>26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8">
        <f>F51*1</f>
        <v>1</v>
      </c>
      <c r="G56" s="360">
        <f ca="1">IF(ISERROR(OFFSET('HARGA SATUAN'!$I$6,MATCH(RAB!C56,'HARGA SATUAN'!$C$7:$C$1492,0),0)),0,OFFSET('HARGA SATUAN'!$I$6,MATCH(RAB!C56,'HARGA SATUAN'!$C$7:$C$1492,0),0))</f>
        <v>2500</v>
      </c>
      <c r="H56" s="361">
        <f t="shared" ca="1" si="14"/>
        <v>0</v>
      </c>
      <c r="I56" s="361">
        <f t="shared" ca="1" si="15"/>
        <v>2500</v>
      </c>
      <c r="J56" s="361">
        <f t="shared" ca="1" si="16"/>
        <v>0</v>
      </c>
      <c r="K56" s="362">
        <f t="shared" ca="1" si="17"/>
        <v>2500</v>
      </c>
      <c r="L56" s="342"/>
      <c r="M56" s="342"/>
      <c r="N56" s="369"/>
      <c r="O56" s="344"/>
      <c r="P56" s="396"/>
      <c r="Q56" s="344"/>
    </row>
    <row r="57" spans="1:17" s="365" customFormat="1">
      <c r="A57" s="336"/>
      <c r="B57" s="503">
        <v>6</v>
      </c>
      <c r="C57" s="504" t="s">
        <v>760</v>
      </c>
      <c r="D57" s="358" t="str">
        <f ca="1">IF(ISERROR(OFFSET('HARGA SATUAN'!$D$6,MATCH(RAB!C57,'HARGA SATUAN'!$C$7:$C$1492,0),0)),"",OFFSET('HARGA SATUAN'!$D$6,MATCH(RAB!C57,'HARGA SATUAN'!$C$7:$C$1492,0),0))</f>
        <v>JASA</v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498">
        <f>F51*1</f>
        <v>1</v>
      </c>
      <c r="G57" s="360">
        <f ca="1">IF(ISERROR(OFFSET('HARGA SATUAN'!$I$6,MATCH(RAB!C57,'HARGA SATUAN'!$C$7:$C$1492,0),0)),0,OFFSET('HARGA SATUAN'!$I$6,MATCH(RAB!C57,'HARGA SATUAN'!$C$7:$C$1492,0),0))</f>
        <v>36600</v>
      </c>
      <c r="H57" s="361">
        <f t="shared" ref="H57:H65" ca="1" si="30">IF(OR(D57="MDU",D57="MDU-KD"),(IF($O$3="RAB NON MDU","PLN KD",G57*F57)),0)</f>
        <v>0</v>
      </c>
      <c r="I57" s="361">
        <f t="shared" ref="I57:I65" ca="1" si="31">IF(D57="HDW",G57*F57,0)</f>
        <v>0</v>
      </c>
      <c r="J57" s="361">
        <f t="shared" ref="J57:J65" ca="1" si="32">IF(D57="JASA",G57*F57,0)</f>
        <v>36600</v>
      </c>
      <c r="K57" s="362">
        <f t="shared" ref="K57:K65" ca="1" si="33">SUM(H57:J57)</f>
        <v>36600</v>
      </c>
      <c r="L57" s="342"/>
      <c r="M57" s="342"/>
      <c r="N57" s="369"/>
      <c r="O57" s="344"/>
      <c r="P57" s="396"/>
      <c r="Q57" s="344"/>
    </row>
    <row r="58" spans="1:17" s="365" customFormat="1">
      <c r="A58" s="336"/>
      <c r="B58" s="503"/>
      <c r="C58" s="504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498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30"/>
        <v>0</v>
      </c>
      <c r="I58" s="361">
        <f t="shared" ca="1" si="31"/>
        <v>0</v>
      </c>
      <c r="J58" s="361">
        <f t="shared" ca="1" si="32"/>
        <v>0</v>
      </c>
      <c r="K58" s="362">
        <f t="shared" ca="1" si="33"/>
        <v>0</v>
      </c>
      <c r="L58" s="342"/>
      <c r="M58" s="342"/>
      <c r="N58" s="369"/>
      <c r="O58" s="344"/>
      <c r="P58" s="396"/>
      <c r="Q58" s="344"/>
    </row>
    <row r="59" spans="1:17" s="365" customFormat="1">
      <c r="A59" s="336"/>
      <c r="B59" s="708" t="s">
        <v>1035</v>
      </c>
      <c r="C59" s="707" t="s">
        <v>1632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8">
        <v>1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30"/>
        <v>0</v>
      </c>
      <c r="I59" s="361">
        <f t="shared" ca="1" si="31"/>
        <v>0</v>
      </c>
      <c r="J59" s="361">
        <f t="shared" ca="1" si="32"/>
        <v>0</v>
      </c>
      <c r="K59" s="362">
        <f t="shared" ca="1" si="33"/>
        <v>0</v>
      </c>
      <c r="L59" s="342"/>
      <c r="M59" s="342"/>
      <c r="N59" s="369"/>
      <c r="O59" s="344"/>
      <c r="P59" s="396"/>
      <c r="Q59" s="344"/>
    </row>
    <row r="60" spans="1:17" s="365" customFormat="1">
      <c r="A60" s="336"/>
      <c r="B60" s="708">
        <v>1</v>
      </c>
      <c r="C60" s="707" t="s">
        <v>262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98">
        <f>F59*1</f>
        <v>1</v>
      </c>
      <c r="G60" s="360">
        <f ca="1">IF(ISERROR(OFFSET('HARGA SATUAN'!$I$6,MATCH(RAB!C60,'HARGA SATUAN'!$C$7:$C$1492,0),0)),0,OFFSET('HARGA SATUAN'!$I$6,MATCH(RAB!C60,'HARGA SATUAN'!$C$7:$C$1492,0),0))</f>
        <v>104200</v>
      </c>
      <c r="H60" s="361">
        <f t="shared" ca="1" si="30"/>
        <v>0</v>
      </c>
      <c r="I60" s="361">
        <f t="shared" ca="1" si="31"/>
        <v>104200</v>
      </c>
      <c r="J60" s="361">
        <f t="shared" ca="1" si="32"/>
        <v>0</v>
      </c>
      <c r="K60" s="362">
        <f t="shared" ca="1" si="33"/>
        <v>104200</v>
      </c>
      <c r="L60" s="342"/>
      <c r="M60" s="342"/>
      <c r="N60" s="369"/>
      <c r="O60" s="344"/>
      <c r="P60" s="396"/>
      <c r="Q60" s="344"/>
    </row>
    <row r="61" spans="1:17" s="365" customFormat="1">
      <c r="A61" s="336"/>
      <c r="B61" s="708">
        <v>2</v>
      </c>
      <c r="C61" s="707" t="s">
        <v>596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98">
        <f>F59*1</f>
        <v>1</v>
      </c>
      <c r="G61" s="360">
        <f ca="1">IF(ISERROR(OFFSET('HARGA SATUAN'!$I$6,MATCH(RAB!C61,'HARGA SATUAN'!$C$7:$C$1492,0),0)),0,OFFSET('HARGA SATUAN'!$I$6,MATCH(RAB!C61,'HARGA SATUAN'!$C$7:$C$1492,0),0))</f>
        <v>120000</v>
      </c>
      <c r="H61" s="361">
        <f t="shared" ca="1" si="30"/>
        <v>0</v>
      </c>
      <c r="I61" s="361">
        <f t="shared" ca="1" si="31"/>
        <v>120000</v>
      </c>
      <c r="J61" s="361">
        <f t="shared" ca="1" si="32"/>
        <v>0</v>
      </c>
      <c r="K61" s="362">
        <f t="shared" ca="1" si="33"/>
        <v>120000</v>
      </c>
      <c r="L61" s="342"/>
      <c r="M61" s="342"/>
      <c r="N61" s="369"/>
      <c r="O61" s="344"/>
      <c r="P61" s="396"/>
      <c r="Q61" s="344"/>
    </row>
    <row r="62" spans="1:17" s="365" customFormat="1">
      <c r="A62" s="336"/>
      <c r="B62" s="708">
        <v>4</v>
      </c>
      <c r="C62" s="707" t="s">
        <v>214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8">
        <f>F59*1</f>
        <v>1</v>
      </c>
      <c r="G62" s="360">
        <f ca="1">IF(ISERROR(OFFSET('HARGA SATUAN'!$I$6,MATCH(RAB!C62,'HARGA SATUAN'!$C$7:$C$1492,0),0)),0,OFFSET('HARGA SATUAN'!$I$6,MATCH(RAB!C62,'HARGA SATUAN'!$C$7:$C$1492,0),0))</f>
        <v>4500</v>
      </c>
      <c r="H62" s="361">
        <f t="shared" ca="1" si="30"/>
        <v>0</v>
      </c>
      <c r="I62" s="361">
        <f t="shared" ca="1" si="31"/>
        <v>4500</v>
      </c>
      <c r="J62" s="361">
        <f t="shared" ca="1" si="32"/>
        <v>0</v>
      </c>
      <c r="K62" s="362">
        <f t="shared" ca="1" si="33"/>
        <v>4500</v>
      </c>
      <c r="L62" s="342"/>
      <c r="M62" s="342"/>
      <c r="N62" s="369"/>
      <c r="O62" s="344"/>
      <c r="P62" s="396"/>
      <c r="Q62" s="344"/>
    </row>
    <row r="63" spans="1:17" s="365" customFormat="1">
      <c r="A63" s="336"/>
      <c r="B63" s="708">
        <v>3</v>
      </c>
      <c r="C63" s="707" t="s">
        <v>767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98">
        <f>F59*1</f>
        <v>1</v>
      </c>
      <c r="G63" s="360">
        <f ca="1">IF(ISERROR(OFFSET('HARGA SATUAN'!$I$6,MATCH(RAB!C63,'HARGA SATUAN'!$C$7:$C$1492,0),0)),0,OFFSET('HARGA SATUAN'!$I$6,MATCH(RAB!C63,'HARGA SATUAN'!$C$7:$C$1492,0),0))</f>
        <v>55500</v>
      </c>
      <c r="H63" s="361">
        <f t="shared" ca="1" si="30"/>
        <v>0</v>
      </c>
      <c r="I63" s="361">
        <f t="shared" ca="1" si="31"/>
        <v>0</v>
      </c>
      <c r="J63" s="361">
        <f t="shared" ca="1" si="32"/>
        <v>55500</v>
      </c>
      <c r="K63" s="362">
        <f t="shared" ca="1" si="33"/>
        <v>55500</v>
      </c>
      <c r="L63" s="342"/>
      <c r="M63" s="342"/>
      <c r="N63" s="369"/>
      <c r="O63" s="344"/>
      <c r="P63" s="396"/>
      <c r="Q63" s="344"/>
    </row>
    <row r="64" spans="1:17" s="365" customFormat="1">
      <c r="A64" s="336"/>
      <c r="B64" s="500"/>
      <c r="C64" s="501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98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30"/>
        <v>0</v>
      </c>
      <c r="I64" s="361">
        <f t="shared" ca="1" si="31"/>
        <v>0</v>
      </c>
      <c r="J64" s="361">
        <f t="shared" ca="1" si="32"/>
        <v>0</v>
      </c>
      <c r="K64" s="362">
        <f t="shared" ca="1" si="33"/>
        <v>0</v>
      </c>
      <c r="L64" s="342"/>
      <c r="M64" s="342"/>
      <c r="N64" s="369"/>
      <c r="O64" s="344"/>
      <c r="P64" s="396"/>
      <c r="Q64" s="344"/>
    </row>
    <row r="65" spans="1:17" s="365" customFormat="1">
      <c r="A65" s="336"/>
      <c r="B65" s="495"/>
      <c r="C65" s="496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9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30"/>
        <v>0</v>
      </c>
      <c r="I65" s="361">
        <f t="shared" ca="1" si="31"/>
        <v>0</v>
      </c>
      <c r="J65" s="361">
        <f t="shared" ca="1" si="32"/>
        <v>0</v>
      </c>
      <c r="K65" s="362">
        <f t="shared" ca="1" si="33"/>
        <v>0</v>
      </c>
      <c r="L65" s="342"/>
      <c r="M65" s="342"/>
      <c r="N65" s="369"/>
      <c r="O65" s="344"/>
      <c r="P65" s="396"/>
      <c r="Q65" s="344"/>
    </row>
    <row r="66" spans="1:17" s="365" customFormat="1">
      <c r="A66" s="336"/>
      <c r="B66" s="495">
        <v>3</v>
      </c>
      <c r="C66" s="109" t="s">
        <v>1402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498">
        <v>180</v>
      </c>
      <c r="G66" s="360">
        <f ca="1">IF(ISERROR(OFFSET('HARGA SATUAN'!$I$6,MATCH(RAB!C66,'HARGA SATUAN'!$C$7:$C$1492,0),0)),0,OFFSET('HARGA SATUAN'!$I$6,MATCH(RAB!C66,'HARGA SATUAN'!$C$7:$C$1492,0),0))</f>
        <v>53300</v>
      </c>
      <c r="H66" s="361">
        <f t="shared" ref="H66" ca="1" si="34">IF(OR(D66="MDU",D66="MDU-KD"),(IF($O$3="RAB NON MDU","PLN KD",G66*F66)),0)</f>
        <v>9594000</v>
      </c>
      <c r="I66" s="361">
        <f t="shared" ref="I66" ca="1" si="35">IF(D66="HDW",G66*F66,0)</f>
        <v>0</v>
      </c>
      <c r="J66" s="361">
        <f t="shared" ref="J66" ca="1" si="36">IF(D66="JASA",G66*F66,0)</f>
        <v>0</v>
      </c>
      <c r="K66" s="362">
        <f t="shared" ref="K66" ca="1" si="37">SUM(H66:J66)</f>
        <v>9594000</v>
      </c>
      <c r="L66" s="342"/>
      <c r="M66" s="342"/>
      <c r="N66" s="369"/>
      <c r="O66" s="344"/>
      <c r="P66" s="396"/>
      <c r="Q66" s="344"/>
    </row>
    <row r="67" spans="1:17" s="365" customFormat="1">
      <c r="A67" s="336"/>
      <c r="B67" s="495">
        <v>4</v>
      </c>
      <c r="C67" s="109" t="s">
        <v>342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498">
        <f>F66/50</f>
        <v>3.6</v>
      </c>
      <c r="G67" s="360">
        <f ca="1">IF(ISERROR(OFFSET('HARGA SATUAN'!$I$6,MATCH(RAB!C67,'HARGA SATUAN'!$C$7:$C$1492,0),0)),0,OFFSET('HARGA SATUAN'!$I$6,MATCH(RAB!C67,'HARGA SATUAN'!$C$7:$C$1492,0),0))</f>
        <v>240000</v>
      </c>
      <c r="H67" s="361">
        <f t="shared" ref="H67:H68" ca="1" si="38">IF(OR(D67="MDU",D67="MDU-KD"),(IF($O$3="RAB NON MDU","PLN KD",G67*F67)),0)</f>
        <v>0</v>
      </c>
      <c r="I67" s="361">
        <f t="shared" ref="I67:I68" ca="1" si="39">IF(D67="HDW",G67*F67,0)</f>
        <v>0</v>
      </c>
      <c r="J67" s="361">
        <f t="shared" ref="J67:J68" ca="1" si="40">IF(D67="JASA",G67*F67,0)</f>
        <v>864000</v>
      </c>
      <c r="K67" s="362">
        <f t="shared" ref="K67:K68" ca="1" si="41">SUM(H67:J67)</f>
        <v>864000</v>
      </c>
      <c r="L67" s="342"/>
      <c r="M67" s="342"/>
      <c r="N67" s="369"/>
      <c r="O67" s="344"/>
      <c r="P67" s="396"/>
      <c r="Q67" s="344"/>
    </row>
    <row r="68" spans="1:17">
      <c r="B68" s="366" t="s">
        <v>1614</v>
      </c>
      <c r="C68" s="367" t="s">
        <v>1616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49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8"/>
        <v>0</v>
      </c>
      <c r="I68" s="361">
        <f t="shared" ca="1" si="39"/>
        <v>0</v>
      </c>
      <c r="J68" s="361">
        <f t="shared" ca="1" si="40"/>
        <v>0</v>
      </c>
      <c r="K68" s="362">
        <f t="shared" ca="1" si="41"/>
        <v>0</v>
      </c>
    </row>
    <row r="69" spans="1:17">
      <c r="B69" s="491"/>
      <c r="C69" s="494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49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2">IF(OR(D69="MDU",D69="MDU-KD"),(IF($O$3="RAB NON MDU","PLN KD",G69*F69)),0)</f>
        <v>0</v>
      </c>
      <c r="I69" s="361">
        <f t="shared" ref="I69" ca="1" si="43">IF(D69="HDW",G69*F69,0)</f>
        <v>0</v>
      </c>
      <c r="J69" s="361">
        <f t="shared" ref="J69" ca="1" si="44">IF(D69="JASA",G69*F69,0)</f>
        <v>0</v>
      </c>
      <c r="K69" s="362">
        <f t="shared" ref="K69" ca="1" si="45">SUM(H69:J69)</f>
        <v>0</v>
      </c>
    </row>
    <row r="70" spans="1:17">
      <c r="B70" s="491"/>
      <c r="C70" s="494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49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2" ca="1" si="46">IF(OR(D70="MDU",D70="MDU-KD"),(IF($O$3="RAB NON MDU","PLN KD",G70*F70)),0)</f>
        <v>0</v>
      </c>
      <c r="I70" s="361">
        <f t="shared" ref="I70:I72" ca="1" si="47">IF(D70="HDW",G70*F70,0)</f>
        <v>0</v>
      </c>
      <c r="J70" s="361">
        <f t="shared" ref="J70:J72" ca="1" si="48">IF(D70="JASA",G70*F70,0)</f>
        <v>0</v>
      </c>
      <c r="K70" s="362">
        <f t="shared" ref="K70:K72" ca="1" si="49">SUM(H70:J70)</f>
        <v>0</v>
      </c>
    </row>
    <row r="71" spans="1:17">
      <c r="B71" s="492" t="s">
        <v>1615</v>
      </c>
      <c r="C71" s="497" t="s">
        <v>1617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98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6"/>
        <v>0</v>
      </c>
      <c r="I71" s="361">
        <f t="shared" ca="1" si="47"/>
        <v>0</v>
      </c>
      <c r="J71" s="361">
        <f t="shared" ca="1" si="48"/>
        <v>0</v>
      </c>
      <c r="K71" s="362">
        <f t="shared" ca="1" si="49"/>
        <v>0</v>
      </c>
    </row>
    <row r="72" spans="1:17">
      <c r="B72" s="492"/>
      <c r="C72" s="493"/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49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46"/>
        <v>0</v>
      </c>
      <c r="I72" s="361">
        <f t="shared" ca="1" si="47"/>
        <v>0</v>
      </c>
      <c r="J72" s="361">
        <f t="shared" ca="1" si="48"/>
        <v>0</v>
      </c>
      <c r="K72" s="362">
        <f t="shared" ca="1" si="49"/>
        <v>0</v>
      </c>
    </row>
    <row r="73" spans="1:17">
      <c r="B73" s="492" t="s">
        <v>1035</v>
      </c>
      <c r="C73" s="493" t="s">
        <v>1633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2">
        <v>6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ref="H73:H77" ca="1" si="50">IF(OR(D73="MDU",D73="MDU-KD"),(IF($O$3="RAB NON MDU","PLN KD",G73*F73)),0)</f>
        <v>0</v>
      </c>
      <c r="I73" s="361">
        <f t="shared" ref="I73:I77" ca="1" si="51">IF(D73="HDW",G73*F73,0)</f>
        <v>0</v>
      </c>
      <c r="J73" s="361">
        <f t="shared" ref="J73:J77" ca="1" si="52">IF(D73="JASA",G73*F73,0)</f>
        <v>0</v>
      </c>
      <c r="K73" s="362">
        <f t="shared" ref="K73:K77" ca="1" si="53">SUM(H73:J73)</f>
        <v>0</v>
      </c>
    </row>
    <row r="74" spans="1:17">
      <c r="B74" s="505">
        <v>1</v>
      </c>
      <c r="C74" s="109" t="s">
        <v>482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2">
        <f>F73*1</f>
        <v>6</v>
      </c>
      <c r="G74" s="360">
        <f ca="1">IF(ISERROR(OFFSET('HARGA SATUAN'!$I$6,MATCH(RAB!C74,'HARGA SATUAN'!$C$7:$C$1492,0),0)),0,OFFSET('HARGA SATUAN'!$I$6,MATCH(RAB!C74,'HARGA SATUAN'!$C$7:$C$1492,0),0))</f>
        <v>327600</v>
      </c>
      <c r="H74" s="361">
        <f t="shared" ca="1" si="50"/>
        <v>1965600</v>
      </c>
      <c r="I74" s="361">
        <f t="shared" ca="1" si="51"/>
        <v>0</v>
      </c>
      <c r="J74" s="361">
        <f t="shared" ca="1" si="52"/>
        <v>0</v>
      </c>
      <c r="K74" s="362">
        <f t="shared" ca="1" si="53"/>
        <v>1965600</v>
      </c>
    </row>
    <row r="75" spans="1:17">
      <c r="B75" s="505">
        <v>2</v>
      </c>
      <c r="C75" s="709" t="s">
        <v>487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2">
        <f>F73*1</f>
        <v>6</v>
      </c>
      <c r="G75" s="360">
        <f ca="1">IF(ISERROR(OFFSET('HARGA SATUAN'!$I$6,MATCH(RAB!C75,'HARGA SATUAN'!$C$7:$C$1492,0),0)),0,OFFSET('HARGA SATUAN'!$I$6,MATCH(RAB!C75,'HARGA SATUAN'!$C$7:$C$1492,0),0))</f>
        <v>39000</v>
      </c>
      <c r="H75" s="361">
        <f t="shared" ca="1" si="50"/>
        <v>234000</v>
      </c>
      <c r="I75" s="361">
        <f t="shared" ca="1" si="51"/>
        <v>0</v>
      </c>
      <c r="J75" s="361">
        <f t="shared" ca="1" si="52"/>
        <v>0</v>
      </c>
      <c r="K75" s="362">
        <f t="shared" ca="1" si="53"/>
        <v>234000</v>
      </c>
    </row>
    <row r="76" spans="1:17">
      <c r="B76" s="505">
        <v>3</v>
      </c>
      <c r="C76" s="506" t="s">
        <v>74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502">
        <f>F73*20</f>
        <v>120</v>
      </c>
      <c r="G76" s="360">
        <f ca="1">IF(ISERROR(OFFSET('HARGA SATUAN'!$I$6,MATCH(RAB!C76,'HARGA SATUAN'!$C$7:$C$1492,0),0)),0,OFFSET('HARGA SATUAN'!$I$6,MATCH(RAB!C76,'HARGA SATUAN'!$C$7:$C$1492,0),0))</f>
        <v>6600</v>
      </c>
      <c r="H76" s="361">
        <f t="shared" ca="1" si="50"/>
        <v>792000</v>
      </c>
      <c r="I76" s="361">
        <f t="shared" ca="1" si="51"/>
        <v>0</v>
      </c>
      <c r="J76" s="361">
        <f t="shared" ca="1" si="52"/>
        <v>0</v>
      </c>
      <c r="K76" s="362">
        <f t="shared" ca="1" si="53"/>
        <v>792000</v>
      </c>
    </row>
    <row r="77" spans="1:17">
      <c r="B77" s="505">
        <v>4</v>
      </c>
      <c r="C77" s="506" t="s">
        <v>798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2">
        <f>F73*1</f>
        <v>6</v>
      </c>
      <c r="G77" s="360">
        <f ca="1">IF(ISERROR(OFFSET('HARGA SATUAN'!$I$6,MATCH(RAB!C77,'HARGA SATUAN'!$C$7:$C$1492,0),0)),0,OFFSET('HARGA SATUAN'!$I$6,MATCH(RAB!C77,'HARGA SATUAN'!$C$7:$C$1492,0),0))</f>
        <v>54400</v>
      </c>
      <c r="H77" s="361">
        <f t="shared" ca="1" si="50"/>
        <v>0</v>
      </c>
      <c r="I77" s="361">
        <f t="shared" ca="1" si="51"/>
        <v>0</v>
      </c>
      <c r="J77" s="361">
        <f t="shared" ca="1" si="52"/>
        <v>326400</v>
      </c>
      <c r="K77" s="362">
        <f t="shared" ca="1" si="53"/>
        <v>326400</v>
      </c>
    </row>
    <row r="78" spans="1:17">
      <c r="B78" s="373"/>
      <c r="C78" s="499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81" ca="1" si="54">IF(OR(D78="MDU",D78="MDU-KD"),(IF($O$3="RAB NON MDU","PLN KD",G78*F78)),0)</f>
        <v>0</v>
      </c>
      <c r="I78" s="361">
        <f t="shared" ref="I78:I81" ca="1" si="55">IF(D78="HDW",G78*F78,0)</f>
        <v>0</v>
      </c>
      <c r="J78" s="361">
        <f t="shared" ref="J78:J81" ca="1" si="56">IF(D78="JASA",G78*F78,0)</f>
        <v>0</v>
      </c>
      <c r="K78" s="362">
        <f t="shared" ref="K78:K81" ca="1" si="57">SUM(H78:J78)</f>
        <v>0</v>
      </c>
    </row>
    <row r="79" spans="1:17">
      <c r="B79" s="366" t="s">
        <v>22</v>
      </c>
      <c r="C79" s="367" t="s">
        <v>1621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54"/>
        <v>0</v>
      </c>
      <c r="I79" s="361">
        <f t="shared" ca="1" si="55"/>
        <v>0</v>
      </c>
      <c r="J79" s="361">
        <f t="shared" ca="1" si="56"/>
        <v>0</v>
      </c>
      <c r="K79" s="362">
        <f t="shared" ca="1" si="57"/>
        <v>0</v>
      </c>
    </row>
    <row r="80" spans="1:17">
      <c r="B80" s="373"/>
      <c r="C80" s="372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54"/>
        <v>0</v>
      </c>
      <c r="I80" s="361">
        <f t="shared" ca="1" si="55"/>
        <v>0</v>
      </c>
      <c r="J80" s="361">
        <f t="shared" ca="1" si="56"/>
        <v>0</v>
      </c>
      <c r="K80" s="362">
        <f t="shared" ca="1" si="57"/>
        <v>0</v>
      </c>
    </row>
    <row r="81" spans="2:13">
      <c r="B81" s="374"/>
      <c r="C81" s="375" t="s">
        <v>475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36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54"/>
        <v>0</v>
      </c>
      <c r="I81" s="361">
        <f t="shared" ca="1" si="55"/>
        <v>0</v>
      </c>
      <c r="J81" s="361">
        <f t="shared" ca="1" si="56"/>
        <v>0</v>
      </c>
      <c r="K81" s="362">
        <f t="shared" ca="1" si="57"/>
        <v>0</v>
      </c>
    </row>
    <row r="82" spans="2:13">
      <c r="B82" s="377">
        <v>1</v>
      </c>
      <c r="C82" s="378" t="s">
        <v>1091</v>
      </c>
      <c r="D82" s="379" t="str">
        <f ca="1">IF(ISERROR(OFFSET('HARGA SATUAN'!$D$6,MATCH(RAB!C82,'HARGA SATUAN'!$C$7:$C$1492,0),0)),"",OFFSET('HARGA SATUAN'!$D$6,MATCH(RAB!C82,'HARGA SATUAN'!$C$7:$C$1492,0),0))</f>
        <v>JASA</v>
      </c>
      <c r="E82" s="380" t="str">
        <f ca="1">IF(ISERROR(OFFSET('HARGA SATUAN'!$E$6,MATCH(RAB!C82,'HARGA SATUAN'!$C$7:$C$1492,0),0)),"",OFFSET('HARGA SATUAN'!$E$6,MATCH(RAB!C82,'HARGA SATUAN'!$C$7:$C$1492,0),0))</f>
        <v>Lot</v>
      </c>
      <c r="F82" s="381">
        <v>1</v>
      </c>
      <c r="G82" s="382">
        <f ca="1">IF(ISERROR(OFFSET('HARGA SATUAN'!$I$6,MATCH(RAB!C82,'HARGA SATUAN'!$C$7:$C$1492,0),0)),0,OFFSET('HARGA SATUAN'!$I$6,MATCH(RAB!C82,'HARGA SATUAN'!$C$7:$C$1492,0),0))</f>
        <v>2.5000000000000001E-2</v>
      </c>
      <c r="H82" s="383"/>
      <c r="I82" s="383"/>
      <c r="J82" s="383">
        <f ca="1">SUM(K15:K19)*G82</f>
        <v>339266.66666666669</v>
      </c>
      <c r="K82" s="384">
        <f ca="1">SUM(H82:J82)</f>
        <v>339266.66666666669</v>
      </c>
    </row>
    <row r="83" spans="2:13">
      <c r="B83" s="385"/>
      <c r="C83" s="386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IF(ISERROR(OFFSET('HARGA SATUAN'!$E$6,MATCH(RAB!C83,'HARGA SATUAN'!$C$7:$C$1492,0),0)),"",OFFSET('HARGA SATUAN'!$E$6,MATCH(RAB!C83,'HARGA SATUAN'!$C$7:$C$1492,0),0))</f>
        <v/>
      </c>
      <c r="F83" s="376"/>
      <c r="G83" s="360" t="str">
        <f ca="1">IF(ISERROR(OFFSET('HARGA SATUAN'!$I$6,MATCH(RAB!C83,'HARGA SATUAN'!$C$7:$C$1492,0),0)),"",OFFSET('HARGA SATUAN'!$I$6,MATCH(RAB!C83,'HARGA SATUAN'!$C$7:$C$1492,0),0))</f>
        <v/>
      </c>
      <c r="H83" s="361">
        <f ca="1">IF(OR(D83="MDU",D83="MDU-KD"),IF(G83="PLN",0,G83*F83),0)</f>
        <v>0</v>
      </c>
      <c r="I83" s="361">
        <f ca="1">IF(D83="HDW",IF(G83="PLN",0,G83*F83),0)</f>
        <v>0</v>
      </c>
      <c r="J83" s="361">
        <f ca="1">IF(D83="JASA",IF(G83="PLN",0,G83*F83),0)</f>
        <v>0</v>
      </c>
      <c r="K83" s="362">
        <f ca="1">SUM(H83:J83)</f>
        <v>0</v>
      </c>
    </row>
    <row r="84" spans="2:13" ht="15.75" thickBot="1">
      <c r="B84" s="387"/>
      <c r="C84" s="388"/>
      <c r="D84" s="389"/>
      <c r="E84" s="390"/>
      <c r="F84" s="390"/>
      <c r="G84" s="390"/>
      <c r="H84" s="391"/>
      <c r="I84" s="391"/>
      <c r="J84" s="391"/>
      <c r="K84" s="392"/>
    </row>
    <row r="85" spans="2:13">
      <c r="B85" s="393"/>
      <c r="C85" s="614" t="s">
        <v>1008</v>
      </c>
      <c r="D85" s="614"/>
      <c r="E85" s="614"/>
      <c r="F85" s="614"/>
      <c r="G85" s="394" t="s">
        <v>9</v>
      </c>
      <c r="H85" s="395">
        <f ca="1">SUM(H14:H83)</f>
        <v>12585600</v>
      </c>
      <c r="I85" s="395">
        <f ca="1">SUM(I14:I83)</f>
        <v>15106146</v>
      </c>
      <c r="J85" s="395">
        <f ca="1">SUM(J14:J83)</f>
        <v>1960433.3333333335</v>
      </c>
      <c r="K85" s="395">
        <f ca="1">SUM(K14:K83)</f>
        <v>29652179.333333332</v>
      </c>
    </row>
    <row r="86" spans="2:13">
      <c r="B86" s="397"/>
      <c r="C86" s="631" t="s">
        <v>1457</v>
      </c>
      <c r="D86" s="631"/>
      <c r="E86" s="631"/>
      <c r="F86" s="631"/>
      <c r="G86" s="398" t="s">
        <v>9</v>
      </c>
      <c r="H86" s="399">
        <f ca="1">H85*0.11</f>
        <v>1384416</v>
      </c>
      <c r="I86" s="399">
        <f ca="1">I85*0.11</f>
        <v>1661676.06</v>
      </c>
      <c r="J86" s="399">
        <f ca="1">J85*0.11</f>
        <v>215647.66666666669</v>
      </c>
      <c r="K86" s="399">
        <f ca="1">K85*0.11</f>
        <v>3261739.7266666666</v>
      </c>
    </row>
    <row r="87" spans="2:13" ht="15.75" thickBot="1">
      <c r="B87" s="397"/>
      <c r="C87" s="628" t="s">
        <v>463</v>
      </c>
      <c r="D87" s="628"/>
      <c r="E87" s="628"/>
      <c r="F87" s="628"/>
      <c r="G87" s="400" t="s">
        <v>9</v>
      </c>
      <c r="H87" s="401">
        <f ca="1">SUM(H85:H86)</f>
        <v>13970016</v>
      </c>
      <c r="I87" s="401">
        <f ca="1">SUM(I85:I86)</f>
        <v>16767822.060000001</v>
      </c>
      <c r="J87" s="400">
        <f ca="1">SUM(J85:J86)</f>
        <v>2176081</v>
      </c>
      <c r="K87" s="400">
        <f ca="1">SUM(K85:K86)</f>
        <v>32913919.059999999</v>
      </c>
      <c r="M87" s="482"/>
    </row>
    <row r="88" spans="2:13">
      <c r="B88" s="632" t="str">
        <f ca="1">"Terbilang : "&amp;PROPER(IF(K87=0,"nol",IF(K87&lt;0,"minus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IF(--MID(TEXT(ABS(K87),"000000000000000"),1,3)=0,"",MID(TEXT(ABS(K87),"000000000000000"),1,1)&amp;" ratus "&amp;MID(TEXT(ABS(K87),"000000000000000"),2,1)&amp;" puluh "&amp;MID(TEXT(ABS(K87),"000000000000000"),3,1)&amp;" trilyun ")&amp; IF(--MID(TEXT(ABS(K87),"000000000000000"),4,3)=0,"",MID(TEXT(ABS(K87),"000000000000000"),4,1)&amp;" ratus "&amp;MID(TEXT(ABS(K87),"000000000000000"),5,1)&amp;" puluh "&amp;MID(TEXT(ABS(K87),"000000000000000"),6,1)&amp;" milyar ")&amp; IF(--MID(TEXT(ABS(K87),"000000000000000"),7,3)=0,"",MID(TEXT(ABS(K87),"000000000000000"),7,1)&amp;" ratus "&amp;MID(TEXT(ABS(K87),"000000000000000"),8,1)&amp;" puluh "&amp;MID(TEXT(ABS(K87),"000000000000000"),9,1)&amp;" juta ")&amp; IF(--MID(TEXT(ABS(K87),"000000000000000"),10,3)=0,"",IF(--MID(TEXT(ABS(K87),"000000000000000"),10,3)=1,"*",MID(TEXT(ABS(K87),"000000000000000"),10,1)&amp;" ratus "&amp;MID(TEXT(ABS(K87),"000000000000000"),11,1)&amp;" puluh ")&amp;MID(TEXT(ABS(K87),"000000000000000"),12,1)&amp;" ribu ")&amp; IF(--MID(TEXT(ABS(K87),"000000000000000"),13,3)=0,"",MID(TEXT(ABS(K87),"000000000000000"),13,1)&amp;" ratus "&amp;MID(TEXT(ABS(K87),"000000000000000"),14,1)&amp;" puluh "&amp;MID(TEXT(ABS(K87),"000000000000000"),15,1)),1,"satu"),2,"dua"),3,"tiga"),4,"empat"),5,"lima"),6,"enam"),7,"tujuh"),8,"delapan"),9,"sembilan"),"0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Dua Juta Sembilan Ratus Tiga Belas Ribu Sembilan Ratus Sembilan Belas Rupiah</v>
      </c>
      <c r="C88" s="633"/>
      <c r="D88" s="633"/>
      <c r="E88" s="633"/>
      <c r="F88" s="633"/>
      <c r="G88" s="633"/>
      <c r="H88" s="633"/>
      <c r="I88" s="633"/>
      <c r="J88" s="633"/>
      <c r="K88" s="634"/>
    </row>
    <row r="89" spans="2:13">
      <c r="B89" s="635"/>
      <c r="C89" s="636"/>
      <c r="D89" s="636"/>
      <c r="E89" s="636"/>
      <c r="F89" s="636"/>
      <c r="G89" s="636"/>
      <c r="H89" s="636"/>
      <c r="I89" s="636"/>
      <c r="J89" s="636"/>
      <c r="K89" s="637"/>
    </row>
    <row r="90" spans="2:13" ht="15.75" thickBot="1">
      <c r="B90" s="402" t="str">
        <f>"Harga yang dipakai adalah "&amp;'HARGA SATUAN'!I5&amp;""</f>
        <v>Harga yang dipakai adalah RAB HSS 2023</v>
      </c>
      <c r="C90" s="403"/>
      <c r="D90" s="404"/>
      <c r="E90" s="404"/>
      <c r="F90" s="404"/>
      <c r="G90" s="405"/>
      <c r="H90" s="405"/>
      <c r="I90" s="405"/>
      <c r="J90" s="405"/>
      <c r="K90" s="406"/>
    </row>
    <row r="91" spans="2:13">
      <c r="C91" s="407"/>
      <c r="E91" s="409"/>
      <c r="F91" s="409"/>
      <c r="G91" s="409"/>
    </row>
    <row r="92" spans="2:13">
      <c r="C92" s="337"/>
      <c r="E92" s="409"/>
      <c r="F92" s="409"/>
      <c r="G92" s="409"/>
      <c r="H92" s="638"/>
      <c r="I92" s="638"/>
      <c r="J92" s="639"/>
      <c r="K92" s="639"/>
    </row>
    <row r="93" spans="2:13">
      <c r="C93" s="337"/>
      <c r="E93" s="409"/>
      <c r="F93" s="409"/>
      <c r="G93" s="409"/>
      <c r="H93" s="410"/>
      <c r="I93" s="627" t="s">
        <v>1610</v>
      </c>
      <c r="J93" s="627"/>
      <c r="K93" s="627"/>
    </row>
    <row r="94" spans="2:13">
      <c r="C94" s="337"/>
      <c r="E94" s="409"/>
      <c r="F94" s="409"/>
      <c r="G94" s="409"/>
      <c r="H94" s="410"/>
      <c r="I94" s="627" t="s">
        <v>1546</v>
      </c>
      <c r="J94" s="627"/>
      <c r="K94" s="627"/>
    </row>
    <row r="95" spans="2:13">
      <c r="C95" s="337"/>
      <c r="E95" s="409"/>
      <c r="F95" s="409"/>
      <c r="G95" s="409"/>
      <c r="H95" s="411"/>
      <c r="I95" s="412"/>
      <c r="J95" s="412"/>
      <c r="K95" s="412"/>
    </row>
    <row r="96" spans="2:13">
      <c r="C96" s="337"/>
      <c r="E96" s="409"/>
      <c r="F96" s="409"/>
      <c r="G96" s="409"/>
      <c r="H96" s="411"/>
      <c r="I96" s="411"/>
      <c r="J96" s="411"/>
      <c r="K96" s="411"/>
    </row>
    <row r="97" spans="3:11">
      <c r="C97" s="337"/>
      <c r="E97" s="409"/>
      <c r="F97" s="409"/>
      <c r="G97" s="409"/>
      <c r="H97" s="411"/>
      <c r="I97" s="411"/>
      <c r="J97" s="411"/>
      <c r="K97" s="411"/>
    </row>
    <row r="98" spans="3:11">
      <c r="C98" s="337"/>
      <c r="E98" s="409"/>
      <c r="F98" s="409"/>
      <c r="G98" s="409"/>
      <c r="H98" s="411"/>
      <c r="I98" s="411"/>
      <c r="J98" s="411"/>
      <c r="K98" s="411"/>
    </row>
    <row r="99" spans="3:11">
      <c r="C99" s="337"/>
      <c r="E99" s="409"/>
      <c r="F99" s="409"/>
      <c r="G99" s="409"/>
      <c r="H99" s="413"/>
      <c r="I99" s="627" t="s">
        <v>1547</v>
      </c>
      <c r="J99" s="627"/>
      <c r="K99" s="627"/>
    </row>
    <row r="100" spans="3:11">
      <c r="C100" s="407"/>
      <c r="E100" s="409"/>
      <c r="F100" s="409"/>
      <c r="G100" s="409"/>
      <c r="H100" s="411"/>
      <c r="I100" s="411"/>
      <c r="J100" s="411"/>
      <c r="K100" s="411"/>
    </row>
    <row r="101" spans="3:11">
      <c r="C101" s="407"/>
      <c r="E101" s="409"/>
      <c r="F101" s="409"/>
      <c r="G101" s="409"/>
      <c r="H101" s="411"/>
      <c r="I101" s="411"/>
      <c r="J101" s="411"/>
      <c r="K101" s="411"/>
    </row>
    <row r="102" spans="3:11">
      <c r="C102" s="407"/>
      <c r="E102" s="409"/>
      <c r="F102" s="409"/>
      <c r="G102" s="409"/>
      <c r="H102" s="411"/>
      <c r="I102" s="411"/>
      <c r="J102" s="411"/>
      <c r="K102" s="411"/>
    </row>
  </sheetData>
  <sheetProtection sort="0" autoFilter="0"/>
  <protectedRanges>
    <protectedRange sqref="B80 B72:B78" name="Range1_1"/>
    <protectedRange sqref="F14:F81" name="Range1_1_2_2"/>
    <protectedRange sqref="C72:C75 C80 C77:C78" name="Range1_1_1"/>
    <protectedRange sqref="B69:C71" name="Range1_6_2"/>
    <protectedRange sqref="C76" name="Range1_1_3_13"/>
    <protectedRange sqref="C18" name="Range1_1_3_16"/>
    <protectedRange sqref="C66" name="Range1_1_3_1"/>
    <protectedRange sqref="C67" name="Range1_1_3_6"/>
    <protectedRange sqref="C16" name="Range1_1_3_9"/>
    <protectedRange sqref="C17" name="Range1_1_3_16_1"/>
  </protectedRanges>
  <mergeCells count="22">
    <mergeCell ref="I94:K94"/>
    <mergeCell ref="I99:K99"/>
    <mergeCell ref="C87:F87"/>
    <mergeCell ref="G6:K6"/>
    <mergeCell ref="I93:K93"/>
    <mergeCell ref="C86:F86"/>
    <mergeCell ref="B88:K89"/>
    <mergeCell ref="H92:K92"/>
    <mergeCell ref="H11:K11"/>
    <mergeCell ref="H12:H13"/>
    <mergeCell ref="J12:J13"/>
    <mergeCell ref="K12:K13"/>
    <mergeCell ref="O3:P4"/>
    <mergeCell ref="B4:K4"/>
    <mergeCell ref="C85:F85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:C19 C66:C68">
    <cfRule type="cellIs" dxfId="4" priority="1" operator="equal">
      <formula>0</formula>
    </cfRule>
  </conditionalFormatting>
  <conditionalFormatting sqref="C74">
    <cfRule type="cellIs" dxfId="3" priority="27" operator="equal">
      <formula>0</formula>
    </cfRule>
  </conditionalFormatting>
  <conditionalFormatting sqref="C79">
    <cfRule type="cellIs" dxfId="2" priority="18" operator="equal">
      <formula>0</formula>
    </cfRule>
  </conditionalFormatting>
  <conditionalFormatting sqref="E1:E3 G1:G13 E5:E13 H12:I12 O13 E82:G82 H82:K84 E83:H83 E84:F84 S14:V19 E14:K81">
    <cfRule type="cellIs" dxfId="1" priority="1112" stopIfTrue="1" operator="equal">
      <formula>0</formula>
    </cfRule>
  </conditionalFormatting>
  <conditionalFormatting sqref="G83:G65549 E88:E65549">
    <cfRule type="cellIs" dxfId="0" priority="24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0:F72 H14:K8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5" zoomScale="115" zoomScaleNormal="115" zoomScaleSheetLayoutView="115" workbookViewId="0">
      <selection activeCell="Z30" sqref="Z3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8" t="str">
        <f>PETA!C6</f>
        <v>KOORDINAT :-6.898438, 110.640445</v>
      </c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1455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54"/>
      <c r="Y19" s="654"/>
      <c r="Z19" s="654"/>
      <c r="AA19" s="654"/>
      <c r="AB19" s="654"/>
      <c r="AC19" s="654"/>
      <c r="AD19" s="655"/>
    </row>
    <row r="20" spans="3:30">
      <c r="C20" s="238"/>
      <c r="W20" s="656" t="s">
        <v>992</v>
      </c>
      <c r="X20" s="657"/>
      <c r="Y20" s="657"/>
      <c r="Z20" s="657"/>
      <c r="AA20" s="657"/>
      <c r="AB20" s="657"/>
      <c r="AC20" s="657"/>
      <c r="AD20" s="658"/>
    </row>
    <row r="21" spans="3:30">
      <c r="C21" s="238"/>
      <c r="W21" s="659" t="s">
        <v>985</v>
      </c>
      <c r="X21" s="660"/>
      <c r="Y21" s="660"/>
      <c r="Z21" s="661"/>
      <c r="AA21" s="662" t="s">
        <v>986</v>
      </c>
      <c r="AB21" s="663"/>
      <c r="AC21" s="663"/>
      <c r="AD21" s="664"/>
    </row>
    <row r="22" spans="3:30">
      <c r="C22" s="238"/>
      <c r="W22" s="650" t="s">
        <v>1627</v>
      </c>
      <c r="X22" s="651"/>
      <c r="Y22" s="512" t="s">
        <v>1620</v>
      </c>
      <c r="Z22" s="490">
        <v>4</v>
      </c>
      <c r="AA22" s="665"/>
      <c r="AB22" s="666"/>
      <c r="AC22" s="248"/>
      <c r="AD22" s="249"/>
    </row>
    <row r="23" spans="3:30">
      <c r="C23" s="238"/>
      <c r="W23" s="479" t="s">
        <v>1622</v>
      </c>
      <c r="X23" s="480"/>
      <c r="Y23" s="246" t="s">
        <v>1058</v>
      </c>
      <c r="Z23" s="247">
        <v>2</v>
      </c>
      <c r="AA23" s="652"/>
      <c r="AB23" s="653"/>
      <c r="AC23" s="248"/>
      <c r="AD23" s="248"/>
    </row>
    <row r="24" spans="3:30">
      <c r="C24" s="238"/>
      <c r="W24" s="511" t="s">
        <v>1623</v>
      </c>
      <c r="X24" s="481"/>
      <c r="Y24" s="246" t="s">
        <v>1058</v>
      </c>
      <c r="Z24" s="247">
        <v>3</v>
      </c>
      <c r="AA24" s="667"/>
      <c r="AB24" s="668"/>
      <c r="AC24" s="248"/>
      <c r="AD24" s="248"/>
    </row>
    <row r="25" spans="3:30">
      <c r="C25" s="238"/>
      <c r="W25" s="479" t="s">
        <v>1624</v>
      </c>
      <c r="X25" s="480"/>
      <c r="Y25" s="246" t="s">
        <v>1058</v>
      </c>
      <c r="Z25" s="247">
        <v>3</v>
      </c>
      <c r="AA25" s="652"/>
      <c r="AB25" s="653"/>
      <c r="AC25" s="248"/>
      <c r="AD25" s="248"/>
    </row>
    <row r="26" spans="3:30">
      <c r="C26" s="238"/>
      <c r="W26" s="479" t="s">
        <v>1625</v>
      </c>
      <c r="X26" s="480"/>
      <c r="Y26" s="246" t="s">
        <v>1058</v>
      </c>
      <c r="Z26" s="247">
        <v>1</v>
      </c>
      <c r="AA26" s="652"/>
      <c r="AB26" s="653"/>
      <c r="AC26" s="248"/>
      <c r="AD26" s="248"/>
    </row>
    <row r="27" spans="3:30">
      <c r="C27" s="238"/>
      <c r="W27" s="479" t="s">
        <v>1634</v>
      </c>
      <c r="X27" s="480"/>
      <c r="Y27" s="246" t="s">
        <v>1058</v>
      </c>
      <c r="Z27" s="247">
        <v>1</v>
      </c>
      <c r="AA27" s="652"/>
      <c r="AB27" s="669"/>
      <c r="AC27" s="248"/>
      <c r="AD27" s="513"/>
    </row>
    <row r="28" spans="3:30">
      <c r="C28" s="238"/>
      <c r="W28" s="479" t="s">
        <v>1632</v>
      </c>
      <c r="X28" s="480"/>
      <c r="Y28" s="246" t="s">
        <v>1058</v>
      </c>
      <c r="Z28" s="247">
        <v>1</v>
      </c>
      <c r="AA28" s="652"/>
      <c r="AB28" s="653"/>
      <c r="AC28" s="248"/>
      <c r="AD28" s="249"/>
    </row>
    <row r="29" spans="3:30">
      <c r="C29" s="238"/>
      <c r="W29" s="673" t="s">
        <v>1626</v>
      </c>
      <c r="X29" s="674"/>
      <c r="Y29" s="246" t="s">
        <v>7</v>
      </c>
      <c r="Z29" s="251">
        <v>180</v>
      </c>
      <c r="AA29" s="652"/>
      <c r="AB29" s="653"/>
      <c r="AC29" s="248"/>
      <c r="AD29" s="249"/>
    </row>
    <row r="30" spans="3:30" ht="11.25" customHeight="1">
      <c r="C30" s="238"/>
      <c r="W30" s="479"/>
      <c r="X30" s="480"/>
      <c r="Y30" s="246"/>
      <c r="Z30" s="247"/>
      <c r="AA30" s="652"/>
      <c r="AB30" s="653"/>
      <c r="AC30" s="248"/>
      <c r="AD30" s="249"/>
    </row>
    <row r="31" spans="3:30">
      <c r="C31" s="238"/>
      <c r="U31" s="250"/>
      <c r="W31" s="511"/>
      <c r="X31" s="481"/>
      <c r="Y31" s="246"/>
      <c r="Z31" s="247"/>
      <c r="AA31" s="652"/>
      <c r="AB31" s="653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70"/>
      <c r="AB32" s="671"/>
      <c r="AC32" s="248"/>
      <c r="AD32" s="249"/>
    </row>
    <row r="33" spans="3:30">
      <c r="C33" s="238"/>
      <c r="W33" s="479"/>
      <c r="X33" s="480"/>
      <c r="Y33" s="246"/>
      <c r="Z33" s="247"/>
      <c r="AA33" s="670"/>
      <c r="AB33" s="671"/>
      <c r="AC33" s="248"/>
      <c r="AD33" s="249"/>
    </row>
    <row r="34" spans="3:30">
      <c r="C34" s="238"/>
      <c r="W34" s="479"/>
      <c r="X34" s="480"/>
      <c r="Y34" s="246"/>
      <c r="Z34" s="247"/>
      <c r="AA34" s="670"/>
      <c r="AB34" s="671"/>
      <c r="AC34" s="248"/>
      <c r="AD34" s="249"/>
    </row>
    <row r="35" spans="3:30">
      <c r="C35" s="238"/>
      <c r="W35" s="479"/>
      <c r="X35" s="480"/>
      <c r="Y35" s="246"/>
      <c r="Z35" s="247"/>
      <c r="AA35" s="670"/>
      <c r="AB35" s="671"/>
      <c r="AC35" s="248"/>
      <c r="AD35" s="249"/>
    </row>
    <row r="36" spans="3:30">
      <c r="C36" s="238"/>
      <c r="W36" s="479"/>
      <c r="X36" s="480"/>
      <c r="Y36" s="246"/>
      <c r="Z36" s="247"/>
      <c r="AA36" s="672"/>
      <c r="AB36" s="671"/>
      <c r="AC36" s="248"/>
      <c r="AD36" s="249"/>
    </row>
    <row r="37" spans="3:30" ht="12.75" customHeight="1">
      <c r="C37" s="238"/>
      <c r="W37" s="673"/>
      <c r="X37" s="674"/>
      <c r="Y37" s="246"/>
      <c r="Z37" s="251"/>
      <c r="AA37" s="675"/>
      <c r="AB37" s="676"/>
      <c r="AC37" s="252"/>
      <c r="AD37" s="253"/>
    </row>
    <row r="38" spans="3:30" ht="12.75" customHeight="1">
      <c r="C38" s="238"/>
      <c r="W38" s="673"/>
      <c r="X38" s="674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3"/>
      <c r="X39" s="674"/>
      <c r="Y39" s="254"/>
      <c r="Z39" s="257"/>
      <c r="AA39" s="677"/>
      <c r="AB39" s="678"/>
      <c r="AC39" s="252"/>
      <c r="AD39" s="253"/>
    </row>
    <row r="40" spans="3:30" ht="12" customHeight="1">
      <c r="C40" s="238"/>
      <c r="W40" s="679"/>
      <c r="X40" s="68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1"/>
      <c r="X41" s="682"/>
      <c r="Y41" s="260"/>
      <c r="Z41" s="261"/>
      <c r="AA41" s="677"/>
      <c r="AB41" s="678"/>
      <c r="AC41" s="252"/>
      <c r="AD41" s="253"/>
    </row>
    <row r="42" spans="3:30" ht="12" customHeight="1">
      <c r="C42" s="238"/>
      <c r="W42" s="683" t="s">
        <v>1456</v>
      </c>
      <c r="X42" s="684"/>
      <c r="Y42" s="684"/>
      <c r="Z42" s="684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8" t="s">
        <v>17</v>
      </c>
      <c r="X47" s="688"/>
      <c r="Y47" s="688"/>
      <c r="Z47" s="688"/>
      <c r="AA47" s="688"/>
      <c r="AB47" s="688"/>
      <c r="AC47" s="688"/>
      <c r="AD47" s="68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507"/>
      <c r="X48" s="507"/>
      <c r="Y48" s="507"/>
      <c r="Z48" s="507"/>
      <c r="AA48" s="507"/>
      <c r="AB48" s="507"/>
      <c r="AC48" s="507"/>
      <c r="AD48" s="50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0" t="str">
        <f>RAB!G6</f>
        <v>KOST TRI WAHYU BUWONO</v>
      </c>
      <c r="X49" s="691"/>
      <c r="Y49" s="691"/>
      <c r="Z49" s="691"/>
      <c r="AA49" s="691"/>
      <c r="AB49" s="691"/>
      <c r="AC49" s="691"/>
      <c r="AD49" s="69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0" t="str">
        <f>RAB!G7</f>
        <v>DS TEMBIRING</v>
      </c>
      <c r="X50" s="691"/>
      <c r="Y50" s="691"/>
      <c r="Z50" s="691"/>
      <c r="AA50" s="691"/>
      <c r="AB50" s="691"/>
      <c r="AC50" s="691"/>
      <c r="AD50" s="6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509"/>
      <c r="X51" s="509"/>
      <c r="Y51" s="509"/>
      <c r="Z51" s="509"/>
      <c r="AA51" s="509"/>
      <c r="AB51" s="509"/>
      <c r="AC51" s="509"/>
      <c r="AD51" s="51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42" t="s">
        <v>1549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42" t="s">
        <v>1549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3" t="s">
        <v>1550</v>
      </c>
      <c r="Z54" s="693"/>
      <c r="AA54" s="693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 t="s">
        <v>1551</v>
      </c>
      <c r="Z55" s="693"/>
      <c r="AA55" s="693"/>
      <c r="AB55" s="693"/>
      <c r="AC55" s="693"/>
      <c r="AD55" s="696"/>
    </row>
  </sheetData>
  <mergeCells count="98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9:AD49"/>
    <mergeCell ref="W50:AD50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AA35:AB35"/>
    <mergeCell ref="AA30:AB30"/>
    <mergeCell ref="AA31:AB31"/>
    <mergeCell ref="AA32:AB32"/>
    <mergeCell ref="AA28:AB28"/>
    <mergeCell ref="AA29:AB29"/>
    <mergeCell ref="AA24:AB24"/>
    <mergeCell ref="AA25:AB25"/>
    <mergeCell ref="AA26:AB26"/>
    <mergeCell ref="AA27:AB27"/>
    <mergeCell ref="W29:X29"/>
    <mergeCell ref="AA23:AB23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7" t="s">
        <v>1528</v>
      </c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9"/>
      <c r="AD4" s="217"/>
      <c r="AE4" s="216"/>
      <c r="AF4" s="216"/>
    </row>
    <row r="5" spans="2:32" ht="13.5" customHeight="1">
      <c r="B5" s="215"/>
      <c r="C5" s="215"/>
      <c r="D5" s="700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1"/>
      <c r="AC5" s="702"/>
      <c r="AD5" s="217"/>
      <c r="AE5" s="216"/>
      <c r="AF5" s="216"/>
    </row>
    <row r="6" spans="2:32" ht="12.75" customHeight="1">
      <c r="B6" s="215"/>
      <c r="C6" s="215"/>
      <c r="D6" s="700"/>
      <c r="E6" s="701"/>
      <c r="F6" s="701"/>
      <c r="G6" s="701"/>
      <c r="H6" s="701"/>
      <c r="I6" s="701"/>
      <c r="J6" s="701"/>
      <c r="K6" s="701"/>
      <c r="L6" s="701"/>
      <c r="M6" s="701"/>
      <c r="N6" s="701"/>
      <c r="O6" s="701"/>
      <c r="P6" s="701"/>
      <c r="Q6" s="701"/>
      <c r="R6" s="701"/>
      <c r="S6" s="701"/>
      <c r="T6" s="701"/>
      <c r="U6" s="701"/>
      <c r="V6" s="701"/>
      <c r="W6" s="701"/>
      <c r="X6" s="701"/>
      <c r="Y6" s="701"/>
      <c r="Z6" s="701"/>
      <c r="AA6" s="701"/>
      <c r="AB6" s="701"/>
      <c r="AC6" s="702"/>
      <c r="AE6" s="216"/>
      <c r="AF6" s="216"/>
    </row>
    <row r="7" spans="2:32" ht="12.75" customHeight="1" thickBot="1">
      <c r="B7" s="215"/>
      <c r="C7" s="215"/>
      <c r="D7" s="703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70" zoomScaleNormal="40" zoomScaleSheetLayoutView="70" workbookViewId="0">
      <selection activeCell="W28" sqref="W28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1" t="s">
        <v>1527</v>
      </c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701"/>
      <c r="U3" s="701"/>
      <c r="V3" s="701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01"/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06" t="s">
        <v>1628</v>
      </c>
      <c r="D6" s="706"/>
      <c r="E6" s="706"/>
      <c r="F6" s="706"/>
      <c r="G6" s="706"/>
      <c r="H6" s="706"/>
      <c r="I6" s="706"/>
      <c r="J6" s="706"/>
      <c r="K6" s="706"/>
      <c r="L6" s="706"/>
      <c r="M6" s="706"/>
      <c r="W6" s="182"/>
      <c r="Y6" s="427"/>
      <c r="Z6" s="427"/>
      <c r="AA6" s="427"/>
      <c r="AB6" s="428"/>
      <c r="AC6" s="428"/>
    </row>
    <row r="7" spans="1:29" ht="18" customHeight="1">
      <c r="A7" s="181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2024-08-12T06:17:21Z</dcterms:modified>
</cp:coreProperties>
</file>