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8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TEKNIK\RAB\RAB BUAT BARU\2024\"/>
    </mc:Choice>
  </mc:AlternateContent>
  <xr:revisionPtr revIDLastSave="0" documentId="13_ncr:1_{7E00433C-A0EA-4810-AE53-93C7011B2243}" xr6:coauthVersionLast="47" xr6:coauthVersionMax="47" xr10:uidLastSave="{00000000-0000-0000-0000-000000000000}"/>
  <bookViews>
    <workbookView xWindow="-120" yWindow="-120" windowWidth="29040" windowHeight="15720" tabRatio="859" firstSheet="1" activeTab="9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RAB!$A$1:$K$171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93" i="11" l="1"/>
  <c r="F90" i="11"/>
  <c r="F89" i="11"/>
  <c r="F88" i="11"/>
  <c r="F87" i="11"/>
  <c r="F84" i="11"/>
  <c r="F83" i="11"/>
  <c r="F82" i="11"/>
  <c r="F81" i="11"/>
  <c r="F80" i="11"/>
  <c r="F79" i="11"/>
  <c r="F76" i="11"/>
  <c r="F75" i="11"/>
  <c r="F74" i="11"/>
  <c r="F73" i="11"/>
  <c r="F72" i="11"/>
  <c r="F69" i="11"/>
  <c r="F68" i="11"/>
  <c r="F67" i="11"/>
  <c r="F66" i="11"/>
  <c r="F65" i="11"/>
  <c r="F64" i="11"/>
  <c r="F63" i="11"/>
  <c r="F62" i="11"/>
  <c r="F61" i="11"/>
  <c r="F60" i="11"/>
  <c r="F59" i="11"/>
  <c r="F58" i="11"/>
  <c r="F57" i="11"/>
  <c r="G6" i="11"/>
  <c r="F54" i="11"/>
  <c r="F53" i="11"/>
  <c r="F52" i="11"/>
  <c r="F51" i="11"/>
  <c r="F50" i="11"/>
  <c r="F49" i="11"/>
  <c r="F48" i="11"/>
  <c r="F47" i="11"/>
  <c r="F46" i="11"/>
  <c r="F45" i="11"/>
  <c r="G48" i="11"/>
  <c r="E48" i="11"/>
  <c r="D48" i="11"/>
  <c r="J48" i="11" s="1"/>
  <c r="G47" i="11"/>
  <c r="E47" i="11"/>
  <c r="D47" i="11"/>
  <c r="J47" i="11" s="1"/>
  <c r="G46" i="11"/>
  <c r="E46" i="11"/>
  <c r="D46" i="11"/>
  <c r="G45" i="11"/>
  <c r="E45" i="11"/>
  <c r="D45" i="11"/>
  <c r="G44" i="11"/>
  <c r="E44" i="11"/>
  <c r="D44" i="11"/>
  <c r="I44" i="11" s="1"/>
  <c r="F42" i="11"/>
  <c r="F41" i="11"/>
  <c r="F40" i="11"/>
  <c r="F39" i="11"/>
  <c r="F38" i="11"/>
  <c r="F37" i="11"/>
  <c r="F36" i="11"/>
  <c r="F35" i="11"/>
  <c r="F34" i="11"/>
  <c r="F31" i="11"/>
  <c r="F30" i="11"/>
  <c r="F29" i="11"/>
  <c r="F28" i="11"/>
  <c r="F27" i="11"/>
  <c r="F26" i="11"/>
  <c r="F25" i="11"/>
  <c r="F24" i="11"/>
  <c r="F23" i="11"/>
  <c r="F22" i="11"/>
  <c r="F21" i="11"/>
  <c r="F20" i="11"/>
  <c r="G93" i="11"/>
  <c r="E93" i="11"/>
  <c r="D93" i="11"/>
  <c r="I93" i="11" s="1"/>
  <c r="G94" i="11"/>
  <c r="E94" i="11"/>
  <c r="D94" i="11"/>
  <c r="E16" i="11"/>
  <c r="D16" i="11"/>
  <c r="G39" i="11"/>
  <c r="E39" i="11"/>
  <c r="D39" i="11"/>
  <c r="J39" i="11" s="1"/>
  <c r="G38" i="11"/>
  <c r="E38" i="11"/>
  <c r="D38" i="11"/>
  <c r="J38" i="11" s="1"/>
  <c r="G37" i="11"/>
  <c r="E37" i="11"/>
  <c r="D37" i="11"/>
  <c r="G36" i="11"/>
  <c r="E36" i="11"/>
  <c r="D36" i="11"/>
  <c r="H36" i="11" s="1"/>
  <c r="G35" i="11"/>
  <c r="E35" i="11"/>
  <c r="D35" i="11"/>
  <c r="J35" i="11" s="1"/>
  <c r="G34" i="11"/>
  <c r="E34" i="11"/>
  <c r="D34" i="11"/>
  <c r="G33" i="11"/>
  <c r="E33" i="11"/>
  <c r="D33" i="11"/>
  <c r="J33" i="11" s="1"/>
  <c r="G32" i="11"/>
  <c r="E32" i="11"/>
  <c r="D32" i="11"/>
  <c r="H32" i="11" s="1"/>
  <c r="G31" i="11"/>
  <c r="E31" i="11"/>
  <c r="D31" i="11"/>
  <c r="H31" i="11" s="1"/>
  <c r="G30" i="11"/>
  <c r="E30" i="11"/>
  <c r="D30" i="11"/>
  <c r="J30" i="11" s="1"/>
  <c r="G29" i="11"/>
  <c r="E29" i="11"/>
  <c r="D29" i="11"/>
  <c r="G28" i="11"/>
  <c r="E28" i="11"/>
  <c r="D28" i="11"/>
  <c r="H28" i="11" s="1"/>
  <c r="G27" i="11"/>
  <c r="E27" i="11"/>
  <c r="D27" i="11"/>
  <c r="J27" i="11" s="1"/>
  <c r="G26" i="11"/>
  <c r="E26" i="11"/>
  <c r="D26" i="11"/>
  <c r="H26" i="11" s="1"/>
  <c r="G25" i="11"/>
  <c r="E25" i="11"/>
  <c r="D25" i="11"/>
  <c r="J25" i="11" s="1"/>
  <c r="G24" i="11"/>
  <c r="E24" i="11"/>
  <c r="D24" i="11"/>
  <c r="H24" i="11" s="1"/>
  <c r="G23" i="11"/>
  <c r="E23" i="11"/>
  <c r="D23" i="11"/>
  <c r="J23" i="11" s="1"/>
  <c r="G22" i="11"/>
  <c r="E22" i="11"/>
  <c r="D22" i="11"/>
  <c r="J22" i="11" s="1"/>
  <c r="G21" i="11"/>
  <c r="E21" i="11"/>
  <c r="D21" i="11"/>
  <c r="G20" i="11"/>
  <c r="E20" i="11"/>
  <c r="D20" i="11"/>
  <c r="G19" i="11"/>
  <c r="E19" i="11"/>
  <c r="D19" i="11"/>
  <c r="I19" i="11" s="1"/>
  <c r="G18" i="11"/>
  <c r="E18" i="11"/>
  <c r="D18" i="11"/>
  <c r="J18" i="11" s="1"/>
  <c r="G61" i="11"/>
  <c r="E61" i="11"/>
  <c r="D61" i="11"/>
  <c r="J61" i="11" s="1"/>
  <c r="G60" i="11"/>
  <c r="E60" i="11"/>
  <c r="D60" i="11"/>
  <c r="G59" i="11"/>
  <c r="E59" i="11"/>
  <c r="D59" i="11"/>
  <c r="G58" i="11"/>
  <c r="E58" i="11"/>
  <c r="D58" i="11"/>
  <c r="H58" i="11" s="1"/>
  <c r="G57" i="11"/>
  <c r="E57" i="11"/>
  <c r="D57" i="11"/>
  <c r="G56" i="11"/>
  <c r="E56" i="11"/>
  <c r="D56" i="11"/>
  <c r="J56" i="11" s="1"/>
  <c r="G55" i="11"/>
  <c r="E55" i="11"/>
  <c r="D55" i="11"/>
  <c r="I55" i="11" s="1"/>
  <c r="G54" i="11"/>
  <c r="E54" i="11"/>
  <c r="D54" i="11"/>
  <c r="G53" i="11"/>
  <c r="E53" i="11"/>
  <c r="D53" i="11"/>
  <c r="G52" i="11"/>
  <c r="E52" i="11"/>
  <c r="D52" i="11"/>
  <c r="G51" i="11"/>
  <c r="E51" i="11"/>
  <c r="D51" i="11"/>
  <c r="H51" i="11" s="1"/>
  <c r="G50" i="11"/>
  <c r="E50" i="11"/>
  <c r="D50" i="11"/>
  <c r="J50" i="11" s="1"/>
  <c r="G49" i="11"/>
  <c r="E49" i="11"/>
  <c r="D49" i="11"/>
  <c r="J49" i="11" s="1"/>
  <c r="G43" i="11"/>
  <c r="E43" i="11"/>
  <c r="D43" i="11"/>
  <c r="I43" i="11" s="1"/>
  <c r="G42" i="11"/>
  <c r="E42" i="11"/>
  <c r="D42" i="11"/>
  <c r="H42" i="11" s="1"/>
  <c r="G41" i="11"/>
  <c r="E41" i="11"/>
  <c r="D41" i="11"/>
  <c r="G40" i="11"/>
  <c r="E40" i="11"/>
  <c r="D40" i="11"/>
  <c r="J40" i="11" s="1"/>
  <c r="G83" i="11"/>
  <c r="E83" i="11"/>
  <c r="D83" i="11"/>
  <c r="J83" i="11" s="1"/>
  <c r="G82" i="11"/>
  <c r="E82" i="11"/>
  <c r="D82" i="11"/>
  <c r="J82" i="11" s="1"/>
  <c r="G81" i="11"/>
  <c r="E81" i="11"/>
  <c r="D81" i="11"/>
  <c r="G80" i="11"/>
  <c r="E80" i="11"/>
  <c r="D80" i="11"/>
  <c r="H80" i="11" s="1"/>
  <c r="G79" i="11"/>
  <c r="E79" i="11"/>
  <c r="D79" i="11"/>
  <c r="J79" i="11" s="1"/>
  <c r="G78" i="11"/>
  <c r="E78" i="11"/>
  <c r="D78" i="11"/>
  <c r="J78" i="11" s="1"/>
  <c r="G77" i="11"/>
  <c r="E77" i="11"/>
  <c r="D77" i="11"/>
  <c r="G76" i="11"/>
  <c r="E76" i="11"/>
  <c r="D76" i="11"/>
  <c r="H76" i="11" s="1"/>
  <c r="G75" i="11"/>
  <c r="E75" i="11"/>
  <c r="D75" i="11"/>
  <c r="J75" i="11" s="1"/>
  <c r="G74" i="11"/>
  <c r="E74" i="11"/>
  <c r="D74" i="11"/>
  <c r="G73" i="11"/>
  <c r="E73" i="11"/>
  <c r="D73" i="11"/>
  <c r="G72" i="11"/>
  <c r="E72" i="11"/>
  <c r="D72" i="11"/>
  <c r="H72" i="11" s="1"/>
  <c r="G71" i="11"/>
  <c r="E71" i="11"/>
  <c r="D71" i="11"/>
  <c r="J71" i="11" s="1"/>
  <c r="G70" i="11"/>
  <c r="E70" i="11"/>
  <c r="D70" i="11"/>
  <c r="G69" i="11"/>
  <c r="E69" i="11"/>
  <c r="D69" i="11"/>
  <c r="I69" i="11" s="1"/>
  <c r="G68" i="11"/>
  <c r="E68" i="11"/>
  <c r="D68" i="11"/>
  <c r="H68" i="11" s="1"/>
  <c r="G67" i="11"/>
  <c r="E67" i="11"/>
  <c r="D67" i="11"/>
  <c r="G66" i="11"/>
  <c r="E66" i="11"/>
  <c r="D66" i="11"/>
  <c r="G65" i="11"/>
  <c r="E65" i="11"/>
  <c r="D65" i="11"/>
  <c r="G64" i="11"/>
  <c r="E64" i="11"/>
  <c r="D64" i="11"/>
  <c r="H64" i="11" s="1"/>
  <c r="G63" i="11"/>
  <c r="E63" i="11"/>
  <c r="D63" i="11"/>
  <c r="J63" i="11" s="1"/>
  <c r="G62" i="11"/>
  <c r="E62" i="11"/>
  <c r="D62" i="11"/>
  <c r="G92" i="11"/>
  <c r="E92" i="11"/>
  <c r="D92" i="11"/>
  <c r="I92" i="11" s="1"/>
  <c r="G91" i="11"/>
  <c r="E91" i="11"/>
  <c r="D91" i="11"/>
  <c r="H91" i="11" s="1"/>
  <c r="G90" i="11"/>
  <c r="E90" i="11"/>
  <c r="D90" i="11"/>
  <c r="G89" i="11"/>
  <c r="E89" i="11"/>
  <c r="D89" i="11"/>
  <c r="J89" i="11" s="1"/>
  <c r="G88" i="11"/>
  <c r="E88" i="11"/>
  <c r="D88" i="11"/>
  <c r="G87" i="11"/>
  <c r="E87" i="11"/>
  <c r="D87" i="11"/>
  <c r="H87" i="11" s="1"/>
  <c r="G86" i="11"/>
  <c r="E86" i="11"/>
  <c r="D86" i="11"/>
  <c r="G85" i="11"/>
  <c r="E85" i="11"/>
  <c r="D85" i="11"/>
  <c r="J85" i="11" s="1"/>
  <c r="G84" i="11"/>
  <c r="E84" i="11"/>
  <c r="D84" i="11"/>
  <c r="W50" i="64"/>
  <c r="F136" i="11"/>
  <c r="F129" i="11"/>
  <c r="F128" i="11"/>
  <c r="F127" i="11"/>
  <c r="F126" i="11"/>
  <c r="F125" i="11"/>
  <c r="D129" i="11"/>
  <c r="H129" i="11" s="1"/>
  <c r="E129" i="11"/>
  <c r="G129" i="11"/>
  <c r="D130" i="11"/>
  <c r="J130" i="11" s="1"/>
  <c r="E130" i="11"/>
  <c r="G130" i="11"/>
  <c r="D131" i="11"/>
  <c r="H131" i="11" s="1"/>
  <c r="E131" i="11"/>
  <c r="G131" i="11"/>
  <c r="D132" i="11"/>
  <c r="J132" i="11" s="1"/>
  <c r="E132" i="11"/>
  <c r="G132" i="11"/>
  <c r="F122" i="11"/>
  <c r="F121" i="11"/>
  <c r="F120" i="11"/>
  <c r="F119" i="11"/>
  <c r="F118" i="11"/>
  <c r="F117" i="11"/>
  <c r="F116" i="11"/>
  <c r="F115" i="11"/>
  <c r="F114" i="11"/>
  <c r="D122" i="11"/>
  <c r="H122" i="11" s="1"/>
  <c r="E122" i="11"/>
  <c r="G122" i="11"/>
  <c r="D123" i="11"/>
  <c r="J123" i="11" s="1"/>
  <c r="E123" i="11"/>
  <c r="G123" i="11"/>
  <c r="D124" i="11"/>
  <c r="H124" i="11" s="1"/>
  <c r="E124" i="11"/>
  <c r="G124" i="11"/>
  <c r="D125" i="11"/>
  <c r="J125" i="11" s="1"/>
  <c r="E125" i="11"/>
  <c r="G125" i="11"/>
  <c r="D126" i="11"/>
  <c r="J126" i="11" s="1"/>
  <c r="E126" i="11"/>
  <c r="G126" i="11"/>
  <c r="D127" i="11"/>
  <c r="J127" i="11" s="1"/>
  <c r="E127" i="11"/>
  <c r="G127" i="11"/>
  <c r="D128" i="11"/>
  <c r="J128" i="11" s="1"/>
  <c r="E128" i="11"/>
  <c r="G128" i="11"/>
  <c r="F111" i="11"/>
  <c r="F110" i="11"/>
  <c r="F109" i="11"/>
  <c r="F108" i="11"/>
  <c r="F107" i="11"/>
  <c r="F106" i="11"/>
  <c r="F105" i="11"/>
  <c r="F104" i="11"/>
  <c r="F103" i="11"/>
  <c r="F102" i="11"/>
  <c r="F100" i="11"/>
  <c r="D98" i="11"/>
  <c r="J98" i="11" s="1"/>
  <c r="E98" i="11"/>
  <c r="G98" i="11"/>
  <c r="D99" i="11"/>
  <c r="J99" i="11" s="1"/>
  <c r="E99" i="11"/>
  <c r="G99" i="11"/>
  <c r="D100" i="11"/>
  <c r="J100" i="11" s="1"/>
  <c r="E100" i="11"/>
  <c r="G100" i="11"/>
  <c r="D101" i="11"/>
  <c r="H101" i="11" s="1"/>
  <c r="E101" i="11"/>
  <c r="G101" i="11"/>
  <c r="D102" i="11"/>
  <c r="J102" i="11" s="1"/>
  <c r="E102" i="11"/>
  <c r="G102" i="11"/>
  <c r="D103" i="11"/>
  <c r="J103" i="11" s="1"/>
  <c r="E103" i="11"/>
  <c r="G103" i="11"/>
  <c r="D104" i="11"/>
  <c r="H104" i="11" s="1"/>
  <c r="E104" i="11"/>
  <c r="G104" i="11"/>
  <c r="D105" i="11"/>
  <c r="H105" i="11" s="1"/>
  <c r="E105" i="11"/>
  <c r="G105" i="11"/>
  <c r="D106" i="11"/>
  <c r="J106" i="11" s="1"/>
  <c r="E106" i="11"/>
  <c r="G106" i="11"/>
  <c r="D107" i="11"/>
  <c r="J107" i="11" s="1"/>
  <c r="E107" i="11"/>
  <c r="G107" i="11"/>
  <c r="D108" i="11"/>
  <c r="H108" i="11" s="1"/>
  <c r="E108" i="11"/>
  <c r="G108" i="11"/>
  <c r="D109" i="11"/>
  <c r="H109" i="11" s="1"/>
  <c r="E109" i="11"/>
  <c r="G109" i="11"/>
  <c r="D110" i="11"/>
  <c r="J110" i="11" s="1"/>
  <c r="E110" i="11"/>
  <c r="G110" i="11"/>
  <c r="D111" i="11"/>
  <c r="E111" i="11"/>
  <c r="G111" i="11"/>
  <c r="D112" i="11"/>
  <c r="H112" i="11" s="1"/>
  <c r="E112" i="11"/>
  <c r="G112" i="11"/>
  <c r="D113" i="11"/>
  <c r="H113" i="11" s="1"/>
  <c r="E113" i="11"/>
  <c r="G113" i="11"/>
  <c r="D114" i="11"/>
  <c r="J114" i="11" s="1"/>
  <c r="E114" i="11"/>
  <c r="G114" i="11"/>
  <c r="D115" i="11"/>
  <c r="J115" i="11" s="1"/>
  <c r="E115" i="11"/>
  <c r="G115" i="11"/>
  <c r="D116" i="11"/>
  <c r="H116" i="11" s="1"/>
  <c r="E116" i="11"/>
  <c r="G116" i="11"/>
  <c r="D117" i="11"/>
  <c r="H117" i="11" s="1"/>
  <c r="E117" i="11"/>
  <c r="G117" i="11"/>
  <c r="D118" i="11"/>
  <c r="J118" i="11" s="1"/>
  <c r="E118" i="11"/>
  <c r="G118" i="11"/>
  <c r="D119" i="11"/>
  <c r="J119" i="11" s="1"/>
  <c r="E119" i="11"/>
  <c r="G119" i="11"/>
  <c r="D120" i="11"/>
  <c r="H120" i="11" s="1"/>
  <c r="E120" i="11"/>
  <c r="G120" i="11"/>
  <c r="D121" i="11"/>
  <c r="H121" i="11" s="1"/>
  <c r="E121" i="11"/>
  <c r="G121" i="11"/>
  <c r="I81" i="11" l="1"/>
  <c r="I46" i="11"/>
  <c r="I62" i="11"/>
  <c r="J54" i="11"/>
  <c r="H45" i="11"/>
  <c r="H44" i="11"/>
  <c r="H46" i="11"/>
  <c r="H48" i="11"/>
  <c r="H47" i="11"/>
  <c r="I45" i="11"/>
  <c r="I47" i="11"/>
  <c r="I48" i="11"/>
  <c r="I37" i="11"/>
  <c r="J44" i="11"/>
  <c r="J45" i="11"/>
  <c r="J46" i="11"/>
  <c r="H34" i="11"/>
  <c r="I29" i="11"/>
  <c r="J94" i="11"/>
  <c r="J93" i="11"/>
  <c r="H93" i="11"/>
  <c r="H94" i="11"/>
  <c r="I94" i="11"/>
  <c r="I70" i="11"/>
  <c r="J74" i="11"/>
  <c r="H20" i="11"/>
  <c r="I84" i="11"/>
  <c r="I88" i="11"/>
  <c r="I86" i="11"/>
  <c r="I90" i="11"/>
  <c r="I77" i="11"/>
  <c r="I73" i="11"/>
  <c r="I65" i="11"/>
  <c r="I57" i="11"/>
  <c r="J67" i="11"/>
  <c r="I66" i="11"/>
  <c r="J60" i="11"/>
  <c r="I59" i="11"/>
  <c r="J53" i="11"/>
  <c r="I52" i="11"/>
  <c r="I41" i="11"/>
  <c r="H35" i="11"/>
  <c r="I33" i="11"/>
  <c r="J34" i="11"/>
  <c r="J29" i="11"/>
  <c r="H30" i="11"/>
  <c r="J59" i="11"/>
  <c r="H60" i="11"/>
  <c r="H61" i="11"/>
  <c r="H18" i="11"/>
  <c r="H19" i="11"/>
  <c r="I31" i="11"/>
  <c r="J43" i="11"/>
  <c r="H49" i="11"/>
  <c r="H50" i="11"/>
  <c r="I21" i="11"/>
  <c r="H67" i="11"/>
  <c r="J55" i="11"/>
  <c r="H56" i="11"/>
  <c r="H57" i="11"/>
  <c r="H71" i="11"/>
  <c r="J52" i="11"/>
  <c r="H53" i="11"/>
  <c r="H54" i="11"/>
  <c r="H27" i="11"/>
  <c r="J21" i="11"/>
  <c r="H22" i="11"/>
  <c r="H23" i="11"/>
  <c r="I25" i="11"/>
  <c r="J26" i="11"/>
  <c r="J37" i="11"/>
  <c r="H38" i="11"/>
  <c r="H39" i="11"/>
  <c r="I20" i="11"/>
  <c r="I28" i="11"/>
  <c r="I36" i="11"/>
  <c r="J20" i="11"/>
  <c r="I23" i="11"/>
  <c r="I27" i="11"/>
  <c r="J32" i="11"/>
  <c r="I35" i="11"/>
  <c r="I39" i="11"/>
  <c r="J81" i="11"/>
  <c r="H82" i="11"/>
  <c r="H83" i="11"/>
  <c r="H40" i="11"/>
  <c r="H41" i="11"/>
  <c r="I18" i="11"/>
  <c r="J19" i="11"/>
  <c r="H21" i="11"/>
  <c r="I22" i="11"/>
  <c r="K22" i="11" s="1"/>
  <c r="H25" i="11"/>
  <c r="I26" i="11"/>
  <c r="H29" i="11"/>
  <c r="I30" i="11"/>
  <c r="J31" i="11"/>
  <c r="K31" i="11" s="1"/>
  <c r="H33" i="11"/>
  <c r="I34" i="11"/>
  <c r="H37" i="11"/>
  <c r="I38" i="11"/>
  <c r="I24" i="11"/>
  <c r="I32" i="11"/>
  <c r="J24" i="11"/>
  <c r="J28" i="11"/>
  <c r="J36" i="11"/>
  <c r="H63" i="11"/>
  <c r="H78" i="11"/>
  <c r="H79" i="11"/>
  <c r="J62" i="11"/>
  <c r="J66" i="11"/>
  <c r="J70" i="11"/>
  <c r="I42" i="11"/>
  <c r="I51" i="11"/>
  <c r="I58" i="11"/>
  <c r="J42" i="11"/>
  <c r="I50" i="11"/>
  <c r="I54" i="11"/>
  <c r="J58" i="11"/>
  <c r="I61" i="11"/>
  <c r="J77" i="11"/>
  <c r="I40" i="11"/>
  <c r="J41" i="11"/>
  <c r="H43" i="11"/>
  <c r="I49" i="11"/>
  <c r="H52" i="11"/>
  <c r="I53" i="11"/>
  <c r="H55" i="11"/>
  <c r="I56" i="11"/>
  <c r="J57" i="11"/>
  <c r="H59" i="11"/>
  <c r="I60" i="11"/>
  <c r="J51" i="11"/>
  <c r="J92" i="11"/>
  <c r="H62" i="11"/>
  <c r="J65" i="11"/>
  <c r="H66" i="11"/>
  <c r="J69" i="11"/>
  <c r="H70" i="11"/>
  <c r="J73" i="11"/>
  <c r="H74" i="11"/>
  <c r="H75" i="11"/>
  <c r="I64" i="11"/>
  <c r="I68" i="11"/>
  <c r="I72" i="11"/>
  <c r="I76" i="11"/>
  <c r="I80" i="11"/>
  <c r="I63" i="11"/>
  <c r="J64" i="11"/>
  <c r="I67" i="11"/>
  <c r="J68" i="11"/>
  <c r="I71" i="11"/>
  <c r="J72" i="11"/>
  <c r="I75" i="11"/>
  <c r="J76" i="11"/>
  <c r="I79" i="11"/>
  <c r="J80" i="11"/>
  <c r="I83" i="11"/>
  <c r="J88" i="11"/>
  <c r="H89" i="11"/>
  <c r="H90" i="11"/>
  <c r="H65" i="11"/>
  <c r="H69" i="11"/>
  <c r="H73" i="11"/>
  <c r="I74" i="11"/>
  <c r="H77" i="11"/>
  <c r="I78" i="11"/>
  <c r="H81" i="11"/>
  <c r="I82" i="11"/>
  <c r="J84" i="11"/>
  <c r="H85" i="11"/>
  <c r="H86" i="11"/>
  <c r="I87" i="11"/>
  <c r="I91" i="11"/>
  <c r="J87" i="11"/>
  <c r="H84" i="11"/>
  <c r="I85" i="11"/>
  <c r="J86" i="11"/>
  <c r="H88" i="11"/>
  <c r="I89" i="11"/>
  <c r="K89" i="11" s="1"/>
  <c r="J90" i="11"/>
  <c r="H92" i="11"/>
  <c r="J91" i="11"/>
  <c r="J129" i="11"/>
  <c r="I132" i="11"/>
  <c r="J131" i="11"/>
  <c r="I129" i="11"/>
  <c r="H132" i="11"/>
  <c r="J122" i="11"/>
  <c r="I131" i="11"/>
  <c r="K131" i="11" s="1"/>
  <c r="I130" i="11"/>
  <c r="H130" i="11"/>
  <c r="J124" i="11"/>
  <c r="I122" i="11"/>
  <c r="H128" i="11"/>
  <c r="H126" i="11"/>
  <c r="I125" i="11"/>
  <c r="I126" i="11"/>
  <c r="I124" i="11"/>
  <c r="I128" i="11"/>
  <c r="H125" i="11"/>
  <c r="K125" i="11" s="1"/>
  <c r="I127" i="11"/>
  <c r="I102" i="11"/>
  <c r="I100" i="11"/>
  <c r="H127" i="11"/>
  <c r="H123" i="11"/>
  <c r="I123" i="11"/>
  <c r="J108" i="11"/>
  <c r="J121" i="11"/>
  <c r="I114" i="11"/>
  <c r="I121" i="11"/>
  <c r="J116" i="11"/>
  <c r="I116" i="11"/>
  <c r="H100" i="11"/>
  <c r="I98" i="11"/>
  <c r="I110" i="11"/>
  <c r="J112" i="11"/>
  <c r="I106" i="11"/>
  <c r="I105" i="11"/>
  <c r="J104" i="11"/>
  <c r="I118" i="11"/>
  <c r="H114" i="11"/>
  <c r="I113" i="11"/>
  <c r="I112" i="11"/>
  <c r="H110" i="11"/>
  <c r="I109" i="11"/>
  <c r="H98" i="11"/>
  <c r="I108" i="11"/>
  <c r="K108" i="11" s="1"/>
  <c r="H106" i="11"/>
  <c r="I104" i="11"/>
  <c r="H102" i="11"/>
  <c r="I101" i="11"/>
  <c r="J120" i="11"/>
  <c r="I120" i="11"/>
  <c r="H118" i="11"/>
  <c r="I117" i="11"/>
  <c r="J111" i="11"/>
  <c r="I111" i="11"/>
  <c r="I107" i="11"/>
  <c r="I103" i="11"/>
  <c r="I99" i="11"/>
  <c r="I115" i="11"/>
  <c r="J117" i="11"/>
  <c r="H115" i="11"/>
  <c r="J113" i="11"/>
  <c r="H111" i="11"/>
  <c r="J109" i="11"/>
  <c r="H107" i="11"/>
  <c r="J105" i="11"/>
  <c r="H103" i="11"/>
  <c r="J101" i="11"/>
  <c r="H99" i="11"/>
  <c r="I119" i="11"/>
  <c r="H119" i="11"/>
  <c r="K44" i="11" l="1"/>
  <c r="K49" i="11"/>
  <c r="K43" i="11"/>
  <c r="K37" i="11"/>
  <c r="K45" i="11"/>
  <c r="K48" i="11"/>
  <c r="K46" i="11"/>
  <c r="K47" i="11"/>
  <c r="K93" i="11"/>
  <c r="K82" i="11"/>
  <c r="K83" i="11"/>
  <c r="K94" i="11"/>
  <c r="K73" i="11"/>
  <c r="K114" i="11"/>
  <c r="K61" i="11"/>
  <c r="K70" i="11"/>
  <c r="K74" i="11"/>
  <c r="K88" i="11"/>
  <c r="K90" i="11"/>
  <c r="K67" i="11"/>
  <c r="K29" i="11"/>
  <c r="K39" i="11"/>
  <c r="K59" i="11"/>
  <c r="K50" i="11"/>
  <c r="K33" i="11"/>
  <c r="K35" i="11"/>
  <c r="K19" i="11"/>
  <c r="K34" i="11"/>
  <c r="K66" i="11"/>
  <c r="K25" i="11"/>
  <c r="K18" i="11"/>
  <c r="K71" i="11"/>
  <c r="K55" i="11"/>
  <c r="K52" i="11"/>
  <c r="K30" i="11"/>
  <c r="K27" i="11"/>
  <c r="K79" i="11"/>
  <c r="K68" i="11"/>
  <c r="K60" i="11"/>
  <c r="K62" i="11"/>
  <c r="K32" i="11"/>
  <c r="K21" i="11"/>
  <c r="K57" i="11"/>
  <c r="K77" i="11"/>
  <c r="K26" i="11"/>
  <c r="K56" i="11"/>
  <c r="K53" i="11"/>
  <c r="K41" i="11"/>
  <c r="K54" i="11"/>
  <c r="K81" i="11"/>
  <c r="K42" i="11"/>
  <c r="K23" i="11"/>
  <c r="K20" i="11"/>
  <c r="K78" i="11"/>
  <c r="K24" i="11"/>
  <c r="K28" i="11"/>
  <c r="K38" i="11"/>
  <c r="K36" i="11"/>
  <c r="K51" i="11"/>
  <c r="K63" i="11"/>
  <c r="K40" i="11"/>
  <c r="K58" i="11"/>
  <c r="K76" i="11"/>
  <c r="K72" i="11"/>
  <c r="K87" i="11"/>
  <c r="K69" i="11"/>
  <c r="K80" i="11"/>
  <c r="K64" i="11"/>
  <c r="K92" i="11"/>
  <c r="K86" i="11"/>
  <c r="K91" i="11"/>
  <c r="K65" i="11"/>
  <c r="K75" i="11"/>
  <c r="K85" i="11"/>
  <c r="K84" i="11"/>
  <c r="K129" i="11"/>
  <c r="K132" i="11"/>
  <c r="K100" i="11"/>
  <c r="K122" i="11"/>
  <c r="K128" i="11"/>
  <c r="K130" i="11"/>
  <c r="K127" i="11"/>
  <c r="K124" i="11"/>
  <c r="K105" i="11"/>
  <c r="K113" i="11"/>
  <c r="K112" i="11"/>
  <c r="K102" i="11"/>
  <c r="K121" i="11"/>
  <c r="K126" i="11"/>
  <c r="K116" i="11"/>
  <c r="K106" i="11"/>
  <c r="K110" i="11"/>
  <c r="K123" i="11"/>
  <c r="K118" i="11"/>
  <c r="K104" i="11"/>
  <c r="K119" i="11"/>
  <c r="K120" i="11"/>
  <c r="K107" i="11"/>
  <c r="K98" i="11"/>
  <c r="K101" i="11"/>
  <c r="K109" i="11"/>
  <c r="K103" i="11"/>
  <c r="K111" i="11"/>
  <c r="K99" i="11"/>
  <c r="K115" i="11"/>
  <c r="K117" i="11"/>
  <c r="D95" i="11" l="1"/>
  <c r="J95" i="11" s="1"/>
  <c r="E95" i="11"/>
  <c r="G95" i="11"/>
  <c r="F137" i="11"/>
  <c r="F135" i="11"/>
  <c r="F134" i="11"/>
  <c r="F146" i="11"/>
  <c r="F145" i="11"/>
  <c r="F144" i="11"/>
  <c r="F143" i="11"/>
  <c r="F142" i="11"/>
  <c r="F141" i="11"/>
  <c r="F140" i="11"/>
  <c r="I95" i="11" l="1"/>
  <c r="H95" i="11"/>
  <c r="K95" i="11" l="1"/>
  <c r="G138" i="11" l="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D138" i="11"/>
  <c r="H138" i="11" s="1"/>
  <c r="E138" i="11"/>
  <c r="D139" i="11"/>
  <c r="J139" i="11" s="1"/>
  <c r="E139" i="11"/>
  <c r="D140" i="11"/>
  <c r="E140" i="11"/>
  <c r="D141" i="11"/>
  <c r="H141" i="11" s="1"/>
  <c r="E141" i="11"/>
  <c r="D142" i="11"/>
  <c r="H142" i="11" s="1"/>
  <c r="E142" i="11"/>
  <c r="D143" i="11"/>
  <c r="J143" i="11" s="1"/>
  <c r="E143" i="11"/>
  <c r="D144" i="11"/>
  <c r="E144" i="11"/>
  <c r="D145" i="11"/>
  <c r="H145" i="11" s="1"/>
  <c r="E145" i="11"/>
  <c r="D146" i="11"/>
  <c r="H146" i="11" s="1"/>
  <c r="E146" i="11"/>
  <c r="D147" i="11"/>
  <c r="J147" i="11" s="1"/>
  <c r="E147" i="11"/>
  <c r="D148" i="11"/>
  <c r="J148" i="11" s="1"/>
  <c r="E148" i="11"/>
  <c r="D149" i="11"/>
  <c r="I149" i="11" s="1"/>
  <c r="E149" i="11"/>
  <c r="D150" i="11"/>
  <c r="H150" i="11" s="1"/>
  <c r="E150" i="11"/>
  <c r="D96" i="11"/>
  <c r="H96" i="11" s="1"/>
  <c r="E96" i="11"/>
  <c r="G96" i="11"/>
  <c r="D97" i="11"/>
  <c r="J97" i="11" s="1"/>
  <c r="E97" i="11"/>
  <c r="G97" i="11"/>
  <c r="I144" i="11" l="1"/>
  <c r="I140" i="11"/>
  <c r="I146" i="11"/>
  <c r="J138" i="11"/>
  <c r="H149" i="11"/>
  <c r="J142" i="11"/>
  <c r="H140" i="11"/>
  <c r="I138" i="11"/>
  <c r="J146" i="11"/>
  <c r="H144" i="11"/>
  <c r="I142" i="11"/>
  <c r="I148" i="11"/>
  <c r="I147" i="11"/>
  <c r="I143" i="11"/>
  <c r="I139" i="11"/>
  <c r="J150" i="11"/>
  <c r="H148" i="11"/>
  <c r="H147" i="11"/>
  <c r="J145" i="11"/>
  <c r="H143" i="11"/>
  <c r="J141" i="11"/>
  <c r="H139" i="11"/>
  <c r="I150" i="11"/>
  <c r="J149" i="11"/>
  <c r="I145" i="11"/>
  <c r="J144" i="11"/>
  <c r="I141" i="11"/>
  <c r="J140" i="11"/>
  <c r="I97" i="11"/>
  <c r="H97" i="11"/>
  <c r="J96" i="11"/>
  <c r="I96" i="11"/>
  <c r="K147" i="11" l="1"/>
  <c r="K142" i="11"/>
  <c r="K144" i="11"/>
  <c r="K141" i="11"/>
  <c r="K150" i="11"/>
  <c r="K139" i="11"/>
  <c r="K148" i="11"/>
  <c r="K146" i="11"/>
  <c r="K145" i="11"/>
  <c r="K140" i="11"/>
  <c r="K138" i="11"/>
  <c r="K149" i="11"/>
  <c r="K143" i="11"/>
  <c r="K96" i="11"/>
  <c r="K97" i="11"/>
  <c r="D133" i="11" l="1"/>
  <c r="D134" i="11"/>
  <c r="D135" i="11"/>
  <c r="D136" i="11"/>
  <c r="D137" i="11"/>
  <c r="D17" i="11"/>
  <c r="H17" i="11" s="1"/>
  <c r="E17" i="11"/>
  <c r="G17" i="11"/>
  <c r="E7" i="64"/>
  <c r="D15" i="11"/>
  <c r="J15" i="11" s="1"/>
  <c r="E15" i="11"/>
  <c r="G15" i="11"/>
  <c r="J17" i="11" l="1"/>
  <c r="I17" i="11"/>
  <c r="I15" i="11"/>
  <c r="H15" i="11"/>
  <c r="K17" i="11" l="1"/>
  <c r="K15" i="11"/>
  <c r="W49" i="64" l="1"/>
  <c r="E133" i="11"/>
  <c r="G133" i="11"/>
  <c r="J134" i="11"/>
  <c r="E134" i="11"/>
  <c r="G134" i="11"/>
  <c r="J135" i="11"/>
  <c r="E135" i="11"/>
  <c r="G135" i="11"/>
  <c r="E136" i="11"/>
  <c r="G136" i="11"/>
  <c r="H137" i="11"/>
  <c r="E137" i="11"/>
  <c r="G137" i="11"/>
  <c r="D20" i="60"/>
  <c r="H133" i="11" l="1"/>
  <c r="H136" i="11"/>
  <c r="J137" i="11"/>
  <c r="J136" i="11"/>
  <c r="I134" i="11"/>
  <c r="H134" i="11"/>
  <c r="J133" i="11"/>
  <c r="I136" i="11"/>
  <c r="H135" i="11"/>
  <c r="I135" i="11"/>
  <c r="I137" i="11"/>
  <c r="I133" i="11"/>
  <c r="D14" i="11"/>
  <c r="J14" i="11" s="1"/>
  <c r="E14" i="11"/>
  <c r="G14" i="11"/>
  <c r="K19" i="60"/>
  <c r="D19" i="60"/>
  <c r="K134" i="11" l="1"/>
  <c r="K136" i="11"/>
  <c r="K137" i="11"/>
  <c r="K133" i="11"/>
  <c r="K135" i="11"/>
  <c r="H14" i="11"/>
  <c r="I14" i="11"/>
  <c r="K14" i="11" l="1"/>
  <c r="I1486" i="10" l="1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K9" i="60" l="1"/>
  <c r="K16" i="60" s="1"/>
  <c r="D6" i="60"/>
  <c r="D9" i="60" s="1"/>
  <c r="K20" i="60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A15" i="11" l="1"/>
  <c r="D151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151" i="11"/>
  <c r="D152" i="11"/>
  <c r="H152" i="11" s="1"/>
  <c r="E152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152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159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151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F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152" i="11"/>
  <c r="I152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9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93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235" i="29"/>
  <c r="E8" i="54"/>
  <c r="L8" i="54" s="1"/>
  <c r="M8" i="54" s="1"/>
  <c r="I9" i="54"/>
  <c r="H9" i="54"/>
  <c r="C10" i="54"/>
  <c r="D9" i="54"/>
  <c r="K36" i="39"/>
  <c r="K152" i="11"/>
  <c r="F224" i="29" l="1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154" i="11"/>
  <c r="H155" i="11" s="1"/>
  <c r="I154" i="11"/>
  <c r="I155" i="11" s="1"/>
  <c r="F330" i="29"/>
  <c r="F325" i="29"/>
  <c r="F714" i="41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E352" i="29"/>
  <c r="E9" i="54"/>
  <c r="L9" i="54" s="1"/>
  <c r="M9" i="54" s="1"/>
  <c r="I10" i="54"/>
  <c r="H10" i="54"/>
  <c r="C11" i="54"/>
  <c r="D10" i="54"/>
  <c r="F337" i="29" l="1"/>
  <c r="F345" i="29"/>
  <c r="F316" i="29"/>
  <c r="F292" i="29"/>
  <c r="F352" i="29"/>
  <c r="F299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156" i="11"/>
  <c r="I156" i="11"/>
  <c r="F364" i="29"/>
  <c r="F69" i="39"/>
  <c r="F72" i="39"/>
  <c r="F367" i="29"/>
  <c r="J151" i="11"/>
  <c r="K151" i="11" s="1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K154" i="11" l="1"/>
  <c r="K155" i="11" s="1"/>
  <c r="K156" i="11" s="1"/>
  <c r="B157" i="11" s="1"/>
  <c r="C16" i="29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154" i="11"/>
  <c r="J155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156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07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27" i="41" l="1"/>
  <c r="F835" i="41"/>
  <c r="F782" i="41"/>
  <c r="F842" i="41"/>
  <c r="F789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<sst xmlns="http://schemas.openxmlformats.org/spreadsheetml/2006/main" count="4833" uniqueCount="1643">
  <si>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</si>
  <si>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</si>
  <si>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</si>
  <si>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</si>
  <si>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</si>
  <si>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</si>
  <si>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</si>
  <si>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</si>
  <si>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</si>
  <si>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</si>
  <si>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</si>
  <si>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</si>
  <si>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</si>
  <si>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</si>
  <si>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</si>
  <si>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</si>
  <si>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</si>
  <si>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</si>
  <si>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</si>
  <si>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</si>
  <si>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</si>
  <si>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</si>
  <si>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</si>
  <si>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</si>
  <si>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</si>
  <si>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</si>
  <si>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</si>
  <si>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</si>
  <si>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</si>
  <si>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</si>
  <si>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</si>
  <si>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</si>
  <si>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</si>
  <si>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</si>
  <si>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</si>
  <si>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</si>
  <si>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</si>
  <si>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</si>
  <si>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</si>
  <si>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</si>
  <si>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</si>
  <si>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</si>
  <si>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</si>
  <si>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</si>
  <si>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</si>
  <si>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</si>
  <si>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</si>
  <si>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</si>
  <si>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</si>
  <si>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</si>
  <si>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</si>
  <si>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</si>
  <si>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</si>
  <si>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</si>
  <si>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</si>
  <si>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</si>
  <si>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</si>
  <si>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</si>
  <si>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</si>
  <si>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</si>
  <si>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</si>
  <si>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</si>
  <si>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</si>
  <si>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</si>
  <si>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</si>
  <si>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</si>
  <si>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</si>
  <si>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</si>
  <si>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</si>
  <si>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</si>
  <si>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</si>
  <si>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</si>
  <si>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</si>
  <si>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</si>
  <si>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</si>
  <si>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</si>
  <si>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</si>
  <si>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</si>
  <si>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</si>
  <si>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</si>
  <si>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</si>
  <si>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</si>
  <si>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</si>
  <si>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</si>
  <si>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</si>
  <si>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</si>
  <si>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</si>
  <si>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</si>
  <si>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</si>
  <si>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</si>
  <si>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</si>
  <si>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</si>
  <si>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</si>
  <si>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</si>
  <si>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</si>
  <si>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</si>
  <si>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</si>
  <si>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</si>
  <si>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</si>
  <si>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</si>
  <si>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</si>
  <si>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</si>
  <si>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</si>
  <si>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</si>
  <si>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</si>
  <si>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</si>
  <si>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</si>
  <si>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</si>
  <si>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</si>
  <si>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</si>
  <si>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</si>
  <si>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</si>
  <si>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</si>
  <si>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</si>
  <si>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</si>
  <si>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</si>
  <si>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</si>
  <si>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</si>
  <si>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</si>
  <si>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</si>
  <si>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</si>
  <si>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</si>
  <si>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</si>
  <si>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</si>
  <si>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</si>
  <si>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</si>
  <si>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</si>
  <si>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</si>
  <si>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</si>
  <si>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</si>
  <si>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</si>
  <si>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</si>
  <si>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</si>
  <si>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</si>
  <si>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</si>
  <si>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</si>
  <si>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</si>
  <si>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</si>
  <si>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</si>
  <si>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</si>
  <si>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</si>
  <si>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</si>
  <si>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</si>
  <si>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</si>
  <si>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</si>
  <si>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</si>
  <si>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</si>
  <si>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</si>
  <si>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</si>
  <si>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</si>
  <si>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</si>
  <si>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</si>
  <si>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</si>
  <si>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</si>
  <si>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</si>
  <si>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</si>
  <si>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</si>
  <si>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</si>
  <si>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</si>
  <si>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</si>
  <si>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</si>
  <si>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</si>
  <si>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</si>
  <si>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</si>
  <si>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</si>
  <si>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</si>
  <si>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</si>
  <si>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</si>
  <si>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</si>
  <si>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</si>
  <si>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</si>
  <si>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</si>
  <si>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</si>
  <si>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</si>
  <si>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</si>
  <si>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</si>
  <si>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</si>
  <si>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</si>
  <si>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</si>
  <si>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</si>
  <si>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</si>
  <si>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</si>
  <si>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</si>
  <si>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</si>
  <si>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</si>
  <si>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</si>
  <si>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</si>
  <si>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</si>
  <si>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</si>
  <si>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</si>
  <si>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</si>
  <si>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</si>
  <si>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</si>
  <si>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</si>
  <si>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</si>
  <si>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</si>
  <si>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</si>
  <si>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</si>
  <si>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</si>
  <si>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</si>
  <si>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</si>
  <si>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</si>
  <si>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</si>
  <si>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</si>
  <si>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</si>
  <si>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</si>
  <si>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</si>
  <si>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</si>
  <si>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</si>
  <si>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</si>
  <si>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</si>
  <si>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</si>
  <si>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</si>
  <si>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</si>
  <si>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</si>
  <si>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</si>
  <si>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</si>
  <si>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</si>
  <si>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</si>
  <si>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</si>
  <si>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</si>
  <si>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</si>
  <si>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</si>
  <si>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</si>
  <si>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</si>
  <si>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</si>
  <si>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</si>
  <si>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</si>
  <si>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</si>
  <si>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</si>
  <si>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</si>
  <si>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</si>
  <si>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</si>
  <si>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</si>
  <si>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</si>
  <si>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</si>
  <si>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</si>
  <si>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</si>
  <si>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</si>
  <si>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</si>
  <si>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</si>
  <si>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</si>
  <si>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</si>
  <si>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</si>
  <si>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</si>
  <si>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</si>
  <si>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</si>
  <si>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</si>
  <si>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</si>
  <si>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</si>
  <si>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</si>
  <si>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</si>
  <si>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</si>
  <si>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</si>
  <si>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</si>
  <si>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</si>
  <si>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</si>
  <si>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</si>
  <si>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</si>
  <si>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</si>
  <si>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</si>
  <si>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</si>
  <si>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</si>
  <si>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</si>
  <si>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</si>
  <si>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</si>
  <si>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</si>
  <si>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</si>
  <si>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</si>
  <si>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</si>
  <si>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</si>
  <si>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</si>
  <si>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</si>
  <si>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</si>
  <si>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</si>
  <si>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</si>
  <si>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</si>
  <si>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</si>
  <si>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</si>
  <si>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</si>
  <si>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</si>
  <si>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</si>
  <si>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</si>
  <si>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</si>
  <si>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</si>
  <si>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</si>
  <si>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</si>
  <si>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</si>
  <si>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</si>
  <si>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</si>
  <si>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</si>
  <si>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</si>
  <si>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</si>
  <si>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</si>
  <si>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</si>
  <si>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</si>
  <si>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</si>
  <si>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</si>
  <si>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</si>
  <si>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</si>
  <si>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</si>
  <si>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</si>
  <si>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</si>
  <si>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</si>
  <si>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</si>
  <si>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</si>
  <si>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</si>
  <si>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</si>
  <si>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</si>
  <si>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</si>
  <si>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</si>
  <si>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</si>
  <si>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</si>
  <si>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</si>
  <si>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</si>
  <si>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</si>
  <si>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</si>
  <si>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</si>
  <si>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</si>
  <si>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</si>
  <si>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</si>
  <si>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</si>
  <si>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</si>
  <si>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</si>
  <si>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</si>
  <si>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</si>
  <si>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</si>
  <si>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</si>
  <si>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</si>
  <si>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</si>
  <si>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</si>
  <si>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</si>
  <si>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</si>
  <si>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</si>
  <si>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</si>
  <si>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</si>
  <si>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</si>
  <si>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</si>
  <si>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</si>
  <si>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</si>
  <si>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</si>
  <si>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</si>
  <si>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</si>
  <si>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</si>
  <si>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</si>
  <si>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</si>
  <si>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</si>
  <si>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</si>
  <si>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</si>
  <si>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</si>
  <si>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</si>
  <si>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</si>
  <si>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</si>
  <si>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</si>
  <si>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</si>
  <si>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</si>
  <si>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</si>
  <si>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</si>
  <si>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</si>
  <si>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</si>
  <si>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</si>
  <si>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</si>
  <si>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</si>
  <si>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</si>
  <si>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</si>
  <si>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</si>
  <si>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</si>
  <si>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</si>
  <si>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</si>
  <si>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</si>
  <si>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</si>
  <si>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</si>
  <si>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</si>
  <si>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</si>
  <si>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</si>
  <si>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</si>
  <si>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</si>
  <si>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</si>
  <si>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</si>
  <si>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</si>
  <si>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</si>
  <si>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</si>
  <si>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</si>
  <si>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</si>
  <si>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</si>
  <si>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</si>
  <si>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</si>
  <si>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</si>
  <si>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</si>
  <si>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</si>
  <si>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</si>
  <si>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</si>
  <si>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</si>
  <si>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</si>
  <si>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</si>
  <si>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</si>
  <si>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</si>
  <si>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</si>
  <si>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</si>
  <si>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</si>
  <si>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</si>
  <si>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</si>
  <si>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</si>
  <si>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</si>
  <si>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</si>
  <si>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</si>
  <si>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</si>
  <si>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</si>
  <si>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</si>
  <si>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</si>
  <si>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</si>
  <si>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</si>
  <si>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</si>
  <si>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</si>
  <si>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</si>
  <si>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</si>
  <si>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</si>
  <si>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</si>
  <si>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</si>
  <si>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</si>
  <si>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</si>
  <si>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</si>
  <si>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</si>
  <si>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</si>
  <si>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</si>
  <si>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</si>
  <si>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</si>
  <si>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</si>
  <si>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</si>
  <si>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</si>
  <si>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</si>
  <si>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</si>
  <si>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</si>
  <si>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</si>
  <si>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</si>
  <si>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</si>
  <si>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</si>
  <si>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</si>
  <si>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</si>
  <si>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</si>
  <si>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</si>
  <si>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</si>
  <si>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</si>
  <si>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</si>
  <si>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</si>
  <si>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</si>
  <si>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</si>
  <si>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</si>
  <si>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</si>
  <si>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</si>
  <si>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</si>
  <si>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</si>
  <si>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</si>
  <si>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</si>
  <si>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</si>
  <si>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</si>
  <si>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</si>
  <si>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</si>
  <si>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</si>
  <si>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</si>
  <si>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</si>
  <si>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</si>
  <si>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</si>
  <si>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</si>
  <si>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</si>
  <si>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</si>
  <si>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</si>
  <si>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</si>
  <si>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</si>
  <si>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</si>
  <si>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</si>
  <si>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</si>
  <si>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</si>
  <si>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</si>
  <si>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</si>
  <si>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</si>
  <si>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</si>
  <si>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</si>
  <si>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</si>
  <si>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</si>
  <si>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</si>
  <si>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</si>
  <si>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</si>
  <si>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</si>
  <si>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</si>
  <si>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</si>
  <si>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</si>
  <si>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</si>
  <si>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</si>
  <si>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</si>
  <si>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</si>
  <si>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</si>
  <si>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</si>
  <si>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</si>
  <si>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</si>
  <si>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</si>
  <si>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</si>
  <si>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</si>
  <si>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</si>
  <si>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</si>
  <si>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</si>
  <si>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</si>
  <si>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</si>
  <si>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</si>
  <si>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</si>
  <si>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</si>
  <si>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</si>
  <si>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</si>
  <si>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</si>
  <si>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</si>
  <si>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</si>
  <si>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</si>
  <si>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</si>
  <si>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</si>
  <si>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</si>
  <si>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</si>
  <si>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</si>
  <si>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</si>
  <si>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</si>
  <si>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</si>
  <si>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</si>
  <si>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</si>
  <si>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</si>
  <si>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</si>
  <si>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</si>
  <si>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</si>
  <si>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</si>
  <si>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</si>
  <si>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</si>
  <si>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</si>
  <si>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</si>
  <si>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</si>
  <si>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</si>
  <si>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</si>
  <si>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</si>
  <si>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</si>
  <si>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</si>
  <si>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</si>
  <si>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</si>
  <si>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</si>
  <si>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</si>
  <si>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</si>
  <si>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</si>
  <si>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</si>
  <si>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</si>
  <si>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</si>
  <si>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</si>
  <si>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</si>
  <si>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</si>
  <si>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</si>
  <si>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</si>
  <si>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</si>
  <si>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</si>
  <si>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</si>
  <si>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</si>
  <si>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</si>
  <si>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</si>
  <si>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</si>
  <si>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</si>
  <si>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</si>
  <si>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</si>
  <si>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</si>
  <si>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</si>
  <si>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</si>
  <si>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</si>
  <si>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</si>
  <si>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</si>
  <si>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</si>
  <si>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</si>
  <si>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</si>
  <si>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</si>
  <si>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</si>
  <si>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</si>
  <si>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</si>
  <si>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</si>
  <si>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</si>
  <si>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</si>
  <si>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</si>
  <si>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</si>
  <si>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</si>
  <si>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</si>
  <si>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</si>
  <si>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</si>
  <si>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</si>
  <si>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</si>
  <si>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</si>
  <si>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</si>
  <si>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</si>
  <si>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</si>
  <si>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</si>
  <si>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</si>
  <si>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</si>
  <si>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</si>
  <si>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</si>
  <si>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</si>
  <si>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</si>
  <si>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</si>
  <si>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</si>
  <si>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</si>
  <si>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</si>
  <si>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</si>
  <si>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</si>
  <si>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</si>
  <si>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</si>
  <si>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</si>
  <si>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</si>
  <si>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</si>
  <si>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</si>
  <si>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</si>
  <si>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</si>
  <si>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</si>
  <si>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</si>
  <si>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</si>
  <si>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</si>
  <si>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</si>
  <si>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</si>
  <si>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</si>
  <si>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</si>
  <si>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</si>
  <si>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</si>
  <si>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</si>
  <si>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</si>
  <si>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</si>
  <si>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</si>
  <si>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</si>
  <si>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</si>
  <si>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</si>
  <si>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</si>
  <si>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</si>
  <si>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</si>
  <si>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</si>
  <si>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</si>
  <si>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</si>
  <si>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</si>
  <si>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</si>
  <si>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</si>
  <si>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</si>
  <si>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</si>
  <si>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</si>
  <si>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</si>
  <si>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</si>
  <si>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</si>
  <si>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</si>
  <si>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</si>
  <si>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</si>
  <si>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</si>
  <si>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</si>
  <si>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</si>
  <si>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</si>
  <si>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</si>
  <si>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</si>
  <si>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</si>
  <si>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</si>
  <si>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</si>
  <si>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</si>
  <si>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</si>
  <si>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</si>
  <si>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</si>
  <si>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</si>
  <si>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</si>
  <si>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</si>
  <si>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</si>
  <si>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</si>
  <si>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</si>
  <si>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</si>
  <si>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</si>
  <si>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</si>
  <si>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</si>
  <si>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</si>
  <si>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</si>
  <si>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</si>
  <si>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</si>
  <si>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</si>
  <si>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</si>
  <si>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</si>
  <si>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</si>
  <si>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</si>
  <si>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</si>
  <si>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</si>
  <si>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</si>
  <si>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</si>
  <si>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</si>
  <si>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</si>
  <si>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</si>
  <si>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</si>
  <si>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</si>
  <si>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</si>
  <si>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</si>
  <si>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</si>
  <si>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</si>
  <si>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</si>
  <si>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</si>
  <si>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</si>
  <si>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</si>
  <si>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</si>
  <si>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</si>
  <si>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</si>
  <si>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</si>
  <si>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</si>
  <si>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</si>
  <si>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</si>
  <si>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</si>
  <si>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</si>
  <si>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</si>
  <si>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</si>
  <si>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</si>
  <si>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</si>
  <si>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</si>
  <si>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</si>
  <si>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</si>
  <si>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</si>
  <si>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</si>
  <si>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</si>
  <si>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</si>
  <si>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</si>
  <si>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</si>
  <si>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</si>
  <si>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</si>
  <si>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</si>
  <si>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</si>
  <si>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</si>
  <si>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</si>
  <si>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</si>
  <si>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</si>
  <si>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</si>
  <si>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</si>
  <si>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</si>
  <si>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</si>
  <si>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</si>
  <si>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</si>
  <si>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</si>
  <si>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</si>
  <si>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</si>
  <si>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</si>
  <si>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</si>
  <si>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</si>
  <si>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</si>
  <si>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</si>
  <si>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</si>
  <si>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</si>
  <si>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</si>
  <si>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</si>
  <si>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</si>
  <si>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</si>
  <si>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</si>
  <si>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</si>
  <si>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</si>
  <si>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</si>
  <si>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</si>
  <si>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</si>
  <si>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</si>
  <si>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</si>
  <si>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</si>
  <si>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</si>
  <si>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</si>
  <si>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</si>
  <si>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</si>
  <si>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</si>
  <si>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</si>
  <si>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</si>
  <si>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</si>
  <si>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</si>
  <si>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</si>
  <si>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</si>
  <si>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</si>
  <si>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</si>
  <si>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</si>
  <si>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</si>
  <si>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</si>
  <si>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</si>
  <si>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</si>
  <si>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</si>
  <si>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</si>
  <si>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</si>
  <si>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</si>
  <si>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</si>
  <si>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</si>
  <si>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</si>
  <si>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</si>
  <si>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</si>
  <si>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</si>
  <si>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</si>
  <si>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</si>
  <si>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</si>
  <si>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</si>
  <si>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</si>
  <si>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</si>
  <si>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</si>
  <si>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</si>
  <si>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</si>
  <si>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</si>
  <si>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</si>
  <si>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</si>
  <si>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</si>
  <si>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</si>
  <si>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</si>
  <si>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</si>
  <si>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</si>
  <si>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</si>
  <si>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</si>
  <si>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</si>
  <si>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</si>
  <si>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</si>
  <si>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</si>
  <si>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</si>
  <si>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</si>
  <si>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</si>
  <si>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</si>
  <si>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</si>
  <si>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</si>
  <si>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</si>
  <si>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</si>
  <si>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</si>
  <si>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</si>
  <si>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</si>
  <si>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</si>
  <si>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</si>
  <si>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</si>
  <si>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</si>
  <si>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</si>
  <si>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</si>
  <si>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</si>
  <si>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</si>
  <si>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</si>
  <si>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</si>
  <si>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</si>
  <si>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</si>
  <si>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</si>
  <si>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</si>
  <si>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</si>
  <si>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</si>
  <si>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</si>
  <si>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</si>
  <si>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</si>
  <si>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</si>
  <si>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</si>
  <si>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</si>
  <si>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</si>
  <si>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</si>
  <si>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</si>
  <si>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</si>
  <si>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</si>
  <si>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</si>
  <si>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</si>
  <si>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</si>
  <si>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</si>
  <si>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</si>
  <si>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</si>
  <si>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</si>
  <si>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</si>
  <si>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</si>
  <si>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</si>
  <si>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</si>
  <si>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</si>
  <si>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</si>
  <si>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</si>
  <si>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</si>
  <si>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</si>
  <si>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</si>
  <si>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</si>
  <si>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</si>
  <si>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</si>
  <si>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</si>
  <si>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</si>
  <si>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</si>
  <si>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</si>
  <si>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</si>
  <si>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</si>
  <si>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</si>
  <si>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</si>
  <si>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</si>
  <si>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</si>
  <si>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</si>
  <si>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</si>
  <si>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</si>
  <si>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</si>
  <si>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</si>
  <si>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</si>
  <si>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</si>
  <si>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</si>
  <si>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</si>
  <si>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</si>
  <si>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</si>
  <si>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</si>
  <si>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</si>
  <si>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</si>
  <si>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</si>
  <si>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</si>
  <si>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</si>
  <si>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</si>
  <si>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</si>
  <si>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</si>
  <si>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</si>
  <si>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</si>
  <si>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</si>
  <si>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</si>
  <si>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</si>
  <si>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</si>
  <si>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</si>
  <si>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</si>
  <si>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</si>
  <si>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</si>
  <si>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</si>
  <si>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</si>
  <si>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</si>
  <si>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</si>
  <si>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</si>
  <si>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</si>
  <si>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</si>
  <si>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</si>
  <si>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</si>
  <si>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</si>
  <si>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</si>
  <si>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</si>
  <si>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</si>
  <si>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</si>
  <si>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</si>
  <si>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</si>
  <si>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</si>
  <si>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</si>
  <si>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</si>
  <si>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</si>
  <si>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</si>
  <si>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</si>
  <si>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</si>
  <si>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</si>
  <si>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</si>
  <si>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</si>
  <si>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</si>
  <si>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</si>
  <si>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</si>
  <si>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</si>
  <si>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</si>
  <si>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</si>
  <si>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</si>
  <si>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</si>
  <si>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</si>
  <si>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</si>
  <si>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</si>
  <si>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</si>
  <si>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</si>
  <si>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</si>
  <si>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</si>
  <si>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</si>
  <si>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</si>
  <si>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</si>
  <si>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</si>
  <si>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</si>
  <si>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</si>
  <si>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</si>
  <si>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</si>
  <si>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</si>
  <si>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</si>
  <si>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</si>
  <si>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</si>
  <si>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</si>
  <si>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</si>
  <si>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</si>
  <si>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</si>
  <si>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</si>
  <si>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</si>
  <si>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</si>
  <si>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</si>
  <si>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</si>
  <si>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</si>
  <si>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</si>
  <si>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</si>
  <si>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</si>
  <si>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</si>
  <si>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</si>
  <si>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</si>
  <si>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</si>
  <si>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</si>
  <si>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</si>
  <si>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</si>
  <si>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</si>
  <si>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</si>
  <si>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</si>
  <si>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</si>
  <si>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</si>
  <si>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</si>
  <si>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</si>
  <si>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</si>
  <si>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</si>
  <si>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</si>
  <si>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</si>
  <si>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</si>
  <si>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</si>
  <si>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</si>
  <si>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</si>
  <si>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</si>
  <si>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</si>
  <si>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</si>
  <si>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</si>
  <si>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</si>
  <si>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</si>
  <si>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</si>
  <si>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</si>
  <si>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</si>
  <si>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</si>
  <si>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</si>
  <si>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</si>
  <si>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</si>
  <si>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</si>
  <si>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</si>
  <si>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</si>
  <si>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</si>
  <si>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</si>
  <si>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</si>
  <si>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</si>
  <si>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</si>
  <si>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</si>
  <si>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</si>
  <si>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</si>
  <si>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</si>
  <si>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</si>
  <si>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</si>
  <si>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</si>
  <si>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</si>
  <si>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</si>
  <si>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</si>
  <si>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</si>
  <si>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</si>
  <si>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</si>
  <si>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</si>
  <si>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</si>
  <si>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</si>
  <si>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</si>
  <si>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</si>
  <si>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</si>
  <si>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</si>
  <si>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</si>
  <si>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</si>
  <si>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</si>
  <si>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</si>
  <si>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</si>
  <si>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</si>
  <si>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</si>
  <si>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</si>
  <si>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</si>
  <si>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</si>
  <si>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</si>
  <si>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</si>
  <si>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</si>
  <si>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</si>
  <si>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</si>
  <si>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</si>
  <si>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</si>
  <si>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</si>
  <si>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</si>
  <si>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</si>
  <si>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</si>
  <si>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</si>
  <si>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</si>
  <si>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</si>
  <si>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</si>
  <si>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</si>
  <si>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</si>
  <si>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</si>
  <si>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</si>
  <si>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</si>
  <si>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</si>
  <si>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</si>
  <si>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</si>
  <si>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</si>
  <si>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</si>
  <si>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</si>
  <si>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</si>
  <si>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</si>
  <si>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</si>
  <si>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</si>
  <si>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</si>
  <si>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</si>
  <si>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</si>
  <si>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</si>
  <si>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</si>
  <si>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</si>
  <si>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</si>
  <si>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</si>
  <si>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</si>
  <si>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</si>
  <si>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</si>
  <si>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</si>
  <si>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</si>
  <si>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</si>
  <si>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</si>
  <si>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</si>
  <si>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</si>
  <si>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</si>
  <si>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</si>
  <si>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</si>
  <si>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</si>
  <si>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</si>
  <si>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</si>
  <si>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</si>
  <si>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</si>
  <si>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</si>
  <si>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</si>
  <si>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</si>
  <si>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</si>
  <si>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</si>
  <si>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</si>
  <si>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</si>
  <si>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</si>
  <si>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</si>
  <si>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</si>
  <si>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</si>
  <si>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</si>
  <si>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</si>
  <si>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</si>
  <si>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</si>
  <si>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</si>
  <si>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</si>
  <si>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</si>
  <si>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</si>
  <si>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</si>
  <si>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</si>
  <si>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</si>
  <si>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</si>
  <si>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</si>
  <si>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</si>
  <si>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</si>
  <si>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</si>
  <si>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</si>
  <si>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</si>
  <si>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</si>
  <si>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</si>
  <si>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</si>
  <si>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</si>
  <si>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</si>
  <si>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</si>
  <si>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</si>
  <si>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</si>
  <si>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</si>
  <si>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</si>
  <si>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</si>
  <si>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</si>
  <si>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</si>
  <si>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</si>
  <si>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</si>
  <si>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</si>
  <si>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</si>
  <si>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</si>
  <si>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</si>
  <si>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</si>
  <si>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</si>
  <si>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</si>
  <si>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</si>
  <si>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</si>
  <si>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</si>
  <si>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</si>
  <si>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</si>
  <si>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</si>
  <si>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</si>
  <si>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</si>
  <si>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</si>
  <si>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</si>
  <si>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</si>
  <si>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</si>
  <si>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</si>
  <si>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</si>
  <si>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</si>
  <si>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</si>
  <si>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</si>
  <si>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</si>
  <si>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</si>
  <si>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</si>
  <si>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</si>
  <si>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</si>
  <si>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</si>
  <si>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</si>
  <si>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</si>
  <si>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</si>
  <si>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</si>
  <si>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</si>
  <si>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</si>
  <si>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</si>
  <si>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</si>
  <si>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</si>
  <si>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</si>
  <si>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</si>
  <si>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</si>
  <si>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</si>
  <si>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</si>
  <si>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</si>
  <si>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</si>
  <si>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</si>
  <si>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</si>
  <si>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</si>
  <si>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</si>
  <si>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</si>
  <si>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</si>
  <si>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</si>
  <si>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</si>
  <si>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</si>
  <si>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</si>
  <si>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</si>
  <si>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</si>
  <si>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</si>
  <si>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</si>
  <si>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</si>
  <si>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</si>
  <si>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</si>
  <si>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</si>
  <si>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</si>
  <si>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</si>
  <si>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</si>
  <si>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</si>
  <si>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</si>
  <si>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</si>
  <si>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</si>
  <si>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</si>
  <si>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</si>
  <si>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</si>
  <si>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</si>
  <si>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</si>
  <si>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</si>
  <si>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</si>
  <si>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</si>
  <si>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</si>
  <si>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</si>
  <si>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</si>
  <si>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</si>
  <si>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</si>
  <si>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</si>
  <si>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</si>
  <si>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</si>
  <si>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</si>
  <si>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</si>
  <si>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</si>
  <si>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</si>
  <si>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</si>
  <si>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</si>
  <si>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</si>
  <si>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</si>
  <si>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</si>
  <si>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</si>
  <si>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</si>
  <si>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</si>
  <si>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</si>
  <si>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</si>
  <si>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</si>
  <si>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</si>
  <si>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</si>
  <si>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</si>
  <si>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</si>
  <si>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</si>
  <si>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</si>
  <si>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</si>
  <si>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</si>
  <si>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</si>
  <si>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</si>
  <si>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</si>
  <si>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</si>
  <si>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</si>
  <si>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</si>
  <si>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</si>
  <si>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</si>
  <si>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</si>
  <si>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</si>
  <si>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</si>
  <si>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</si>
  <si>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</si>
  <si>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</si>
  <si>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</si>
  <si>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</si>
  <si>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</si>
  <si>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</si>
  <si>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</si>
  <si>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</si>
  <si>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</si>
  <si>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</si>
  <si>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</si>
  <si>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</si>
  <si>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</si>
  <si>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</si>
  <si>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</si>
  <si>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</si>
  <si>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</si>
  <si>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</si>
  <si>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</si>
  <si>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</si>
  <si>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</si>
  <si>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</si>
  <si>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</si>
  <si>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</si>
  <si>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</si>
  <si>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</si>
  <si>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</si>
  <si>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</si>
  <si>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</si>
  <si>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</si>
  <si>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</si>
  <si>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</si>
  <si>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</si>
  <si>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</si>
  <si>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</si>
  <si>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</si>
  <si>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</si>
  <si>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</si>
  <si>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</si>
  <si>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</si>
  <si>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</si>
  <si>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</si>
  <si>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</si>
  <si>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</si>
  <si>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</si>
  <si>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</si>
  <si>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</si>
  <si>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</si>
  <si>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</si>
  <si>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</si>
  <si>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</si>
  <si>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</si>
  <si>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</si>
  <si>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</si>
  <si>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</si>
  <si>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</si>
  <si>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</si>
  <si>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</si>
  <si>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</si>
  <si>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</si>
  <si>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</si>
  <si>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</si>
  <si>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</si>
  <si>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</si>
  <si>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</si>
  <si>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</si>
  <si>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</si>
  <si>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</si>
  <si>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</si>
  <si>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</si>
  <si>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</si>
  <si>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</si>
  <si>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</si>
  <si>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</si>
  <si>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</si>
  <si>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</si>
  <si>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</si>
  <si>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</si>
  <si>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</si>
  <si>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</si>
  <si>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</si>
  <si>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</si>
  <si>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</si>
  <si>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</si>
  <si>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</si>
  <si>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</si>
  <si>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</si>
  <si>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</si>
  <si>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</si>
  <si>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</si>
  <si>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</si>
  <si>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</si>
  <si>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</si>
  <si>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</si>
  <si>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</si>
  <si>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</si>
  <si>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</si>
  <si>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</si>
  <si>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</si>
  <si>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</si>
  <si>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</si>
  <si>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</si>
  <si>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</si>
  <si>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</si>
  <si>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</si>
  <si>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</si>
  <si>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</si>
  <si>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</si>
  <si>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</si>
  <si>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</si>
  <si>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</si>
  <si>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</si>
  <si>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</si>
  <si>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</si>
  <si>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</si>
  <si>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</si>
  <si>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</si>
  <si>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</si>
  <si>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</si>
  <si>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</si>
  <si>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</si>
  <si>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</si>
  <si>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</si>
  <si>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</si>
  <si>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</si>
  <si>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</si>
  <si>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</si>
  <si>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</si>
  <si>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</si>
  <si>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</si>
  <si>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</si>
  <si>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</si>
  <si>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</si>
  <si>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</si>
  <si>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</si>
  <si>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</si>
  <si>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</si>
  <si>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</si>
  <si>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</si>
  <si>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</si>
  <si>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</si>
  <si>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</si>
  <si>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</si>
  <si>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</si>
  <si>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</si>
  <si>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</si>
  <si>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</si>
  <si>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</si>
  <si>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</si>
  <si>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</si>
  <si>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</si>
  <si>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</si>
  <si>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</si>
  <si>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</si>
  <si>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</si>
  <si>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</si>
  <si>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</si>
  <si>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</si>
  <si>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</si>
  <si>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</si>
  <si>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</si>
  <si>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</si>
  <si>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</si>
  <si>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</si>
  <si>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</si>
  <si>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</si>
  <si>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</si>
  <si>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</si>
  <si>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</si>
  <si>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</si>
  <si>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</si>
  <si>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</si>
  <si>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</si>
  <si>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</si>
  <si>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</si>
  <si>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</si>
  <si>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</si>
  <si>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</si>
  <si>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</si>
  <si>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</si>
  <si>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</si>
  <si>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</si>
  <si>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</si>
  <si>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</si>
  <si>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</si>
  <si>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</si>
  <si>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</si>
  <si>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</si>
  <si>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</si>
  <si>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</si>
  <si>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</si>
  <si>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</si>
  <si>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</si>
  <si>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</si>
  <si>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</si>
  <si>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</si>
  <si>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</si>
  <si>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</si>
  <si>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</si>
  <si>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</si>
  <si>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</si>
  <si>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</si>
  <si>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</si>
  <si>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</si>
  <si>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</si>
  <si>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</si>
  <si>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</si>
  <si>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</si>
  <si>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</si>
  <si>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</si>
  <si>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</si>
  <si>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</si>
  <si>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</si>
  <si>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</si>
  <si>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</si>
  <si>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</si>
  <si>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</si>
  <si>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</si>
  <si>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</si>
  <si>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</si>
  <si>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</si>
  <si>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</si>
  <si>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</si>
  <si>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</si>
  <si>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</si>
  <si>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</si>
  <si>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</si>
  <si>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</si>
  <si>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</si>
  <si>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</si>
  <si>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</si>
  <si>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</si>
  <si>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</si>
  <si>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</si>
  <si>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</si>
  <si>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</si>
  <si>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</si>
  <si>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</si>
  <si>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</si>
  <si>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</si>
  <si>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</si>
  <si>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</si>
  <si>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</si>
  <si>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</si>
  <si>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</si>
  <si>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</si>
  <si>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</si>
  <si>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</si>
  <si>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</si>
  <si>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</si>
  <si>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</si>
  <si>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</si>
  <si>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</si>
  <si>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</si>
  <si>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</si>
  <si>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</si>
  <si>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</si>
  <si>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</si>
  <si>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</si>
  <si>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</si>
  <si>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</si>
  <si>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</si>
  <si>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</si>
  <si>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</si>
  <si>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</si>
  <si>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</si>
  <si>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</si>
  <si>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</si>
  <si>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</si>
  <si>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</si>
  <si>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</si>
  <si>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</si>
  <si>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</si>
  <si>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</si>
  <si>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</si>
  <si>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</si>
  <si>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</si>
  <si>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</si>
  <si>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</si>
  <si>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</si>
  <si>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</si>
  <si>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</si>
  <si>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</si>
  <si>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</si>
  <si>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ASMAN PERENCANAAN</t>
  </si>
  <si>
    <t>VALENTHINA EKA SABTI WONOHUSODO</t>
  </si>
  <si>
    <t>SAR 2023</t>
  </si>
  <si>
    <t>TL. Ren Sis</t>
  </si>
  <si>
    <t>Asman Perencanaan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</si>
  <si>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</si>
  <si>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</si>
  <si>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</si>
  <si>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</si>
  <si>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</si>
  <si>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</si>
  <si>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</si>
  <si>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</si>
  <si>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</si>
  <si>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</si>
  <si>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</si>
  <si>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</si>
  <si>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</si>
  <si>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</si>
  <si>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</si>
  <si>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</si>
  <si>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</si>
  <si>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</si>
  <si>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</si>
  <si>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</si>
  <si>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</si>
  <si>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</si>
  <si>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</si>
  <si>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</si>
  <si>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</si>
  <si>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</si>
  <si>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</si>
  <si>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</si>
  <si>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</si>
  <si>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</si>
  <si>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</si>
  <si>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</si>
  <si>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</si>
  <si>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</si>
  <si>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</si>
  <si>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</si>
  <si>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</si>
  <si>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</si>
  <si>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</si>
  <si>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</si>
  <si>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</si>
  <si>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</si>
  <si>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</si>
  <si>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</si>
  <si>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</si>
  <si>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</si>
  <si>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</si>
  <si>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</si>
  <si>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</si>
  <si>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</si>
  <si>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</si>
  <si>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</si>
  <si>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</si>
  <si>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</si>
  <si>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</si>
  <si>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</si>
  <si>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</si>
  <si>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</si>
  <si>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</si>
  <si>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Demak, …...........</t>
  </si>
  <si>
    <t>Marginal COST maret 2022</t>
  </si>
  <si>
    <t>PENANAMAN TIANG BETON</t>
  </si>
  <si>
    <t>II</t>
  </si>
  <si>
    <t>III</t>
  </si>
  <si>
    <t>IV</t>
  </si>
  <si>
    <t>PEMASANGAN TRAFO</t>
  </si>
  <si>
    <t xml:space="preserve">Pemasangan APP </t>
  </si>
  <si>
    <t>KONSTRUKSI JARINGAN 3 PHASE</t>
  </si>
  <si>
    <t>Pemasangan APP 1 Fasa Di Bangunan</t>
  </si>
  <si>
    <t>CM2-11M</t>
  </si>
  <si>
    <t>Trafo 1 Fasa CSP 50 KVA (G105, G106, G136)</t>
  </si>
  <si>
    <t xml:space="preserve">Jumper Wire : </t>
  </si>
  <si>
    <t>Stainless Steel Strap 20 X 0.7 mm</t>
  </si>
  <si>
    <t>CM5-9</t>
  </si>
  <si>
    <t>CG-105</t>
  </si>
  <si>
    <t>CE1-3</t>
  </si>
  <si>
    <t>F1-3</t>
  </si>
  <si>
    <t>BTG</t>
  </si>
  <si>
    <t>P12-C1</t>
  </si>
  <si>
    <t>BONGKAR PASANG</t>
  </si>
  <si>
    <t>PEMBONGKARAN</t>
  </si>
  <si>
    <t>Daya 11.000 VA</t>
  </si>
  <si>
    <t>CA5-1</t>
  </si>
  <si>
    <t>CA1</t>
  </si>
  <si>
    <t>CA5</t>
  </si>
  <si>
    <t>MITRATEL BERAHAN</t>
  </si>
  <si>
    <t>B2</t>
  </si>
  <si>
    <t>KOORDINAT :-6.7732746, 110.6172004</t>
  </si>
  <si>
    <t>CA4</t>
  </si>
  <si>
    <t>P12-C2</t>
  </si>
  <si>
    <t>DS BERAHAN KULON, KEC WEDUNG</t>
  </si>
  <si>
    <t>P12C-2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</si>
</sst>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8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Rp&quot;#,##0.00;\-&quot;Rp&quot;#,##0.00"/>
    <numFmt numFmtId="165" formatCode="_-* #,##0_-;\-* #,##0_-;_-* &quot;-&quot;_-;_-@_-"/>
    <numFmt numFmtId="166" formatCode="_-* #,##0.00_-;\-* #,##0.00_-;_-* &quot;-&quot;??_-;_-@_-"/>
    <numFmt numFmtId="167" formatCode="&quot;Rp&quot;#,##0.00_);\(&quot;Rp&quot;#,##0.00\)"/>
    <numFmt numFmtId="168" formatCode="_(* #,##0_);_(* \(#,##0\);_(* &quot;-&quot;??_);_(@_)"/>
    <numFmt numFmtId="169" formatCode="_(&quot;Rp&quot;* #,##0_);_(&quot;Rp&quot;* \(#,##0\);_(&quot;Rp&quot;* &quot;-&quot;???_);_(@_)"/>
    <numFmt numFmtId="170" formatCode="_([$Rp-421]* #,##0_);_([$Rp-421]* \(#,##0\);_([$Rp-421]* &quot;-&quot;??_);_(@_)"/>
    <numFmt numFmtId="171" formatCode="General_)"/>
    <numFmt numFmtId="172" formatCode="0.000000%"/>
    <numFmt numFmtId="173" formatCode="_(&quot;$&quot;* #,##0.0_);_(&quot;$&quot;* \(#,##0.0\);_(&quot;$&quot;* &quot;-&quot;?_);_(@_)"/>
    <numFmt numFmtId="174" formatCode="00000"/>
    <numFmt numFmtId="175" formatCode="m/d"/>
    <numFmt numFmtId="176" formatCode="0.0000000000"/>
    <numFmt numFmtId="177" formatCode="d\ayy"/>
    <numFmt numFmtId="178" formatCode="dd/mm/yy;@"/>
    <numFmt numFmtId="179" formatCode="_-* #,##0.000_-;\-* #,##0.000_-;_-* &quot;-&quot;_-;_-@_-"/>
    <numFmt numFmtId="180" formatCode="0.000"/>
    <numFmt numFmtId="181" formatCode="_(* #,##0.000_);_(* \(#,##0.000\);_(* &quot;-&quot;??_);_(@_)"/>
    <numFmt numFmtId="182" formatCode="[$-409]d\-mmm\-yy;@"/>
    <numFmt numFmtId="183" formatCode="0.0"/>
    <numFmt numFmtId="184" formatCode="_(* #,##0.000_);_(* \(#,##0.000\);_(* &quot;-&quot;_);_(@_)"/>
    <numFmt numFmtId="185" formatCode="&quot;IR£&quot;#,##0.00;[Red]\-&quot;IR£&quot;#,##0.00"/>
    <numFmt numFmtId="186" formatCode="&quot;$&quot;#,##0\ ;\(&quot;$&quot;#,##0\)"/>
    <numFmt numFmtId="187" formatCode="m\o\n\th\ \D\,\ \y\y\y\y"/>
    <numFmt numFmtId="188" formatCode="#."/>
    <numFmt numFmtId="189" formatCode="#,#00"/>
    <numFmt numFmtId="190" formatCode="#,"/>
    <numFmt numFmtId="191" formatCode="_-* #,##0\ _€_-;\-* #,##0\ _€_-;_-* &quot;-&quot;\ _€_-;_-@_-"/>
    <numFmt numFmtId="192" formatCode="&quot;Rp.&quot;#,##0.00;&quot;Rp.&quot;\-#,##0.00"/>
    <numFmt numFmtId="193" formatCode="0.00_)"/>
    <numFmt numFmtId="194" formatCode="[$-421]dd\ mmmm\ yyyy;@"/>
    <numFmt numFmtId="195" formatCode="_([$Rp-421]* #,##0.00_);_([$Rp-421]* \(#,##0.00\);_([$Rp-421]* &quot;-&quot;??_);_(@_)"/>
    <numFmt numFmtId="196" formatCode="_-&quot;£&quot;* #,##0_-;\-&quot;£&quot;* #,##0_-;_-&quot;£&quot;* &quot;-&quot;_-;_-@_-"/>
    <numFmt numFmtId="197" formatCode="_(* #,##0.0000_);_(* \(#,##0.0000\);_(* &quot;-&quot;??_);_(@_)"/>
    <numFmt numFmtId="198" formatCode="[$-409]d\-mmm\-yyyy;@"/>
    <numFmt numFmtId="199" formatCode="#,##0&quot;NT$&quot;;[Red]\-#,##0&quot;NT$&quot;"/>
    <numFmt numFmtId="200" formatCode="mm/dd/yy"/>
    <numFmt numFmtId="201" formatCode="dddd"/>
    <numFmt numFmtId="202" formatCode="ddd"/>
    <numFmt numFmtId="203" formatCode="#.##0_);\(#.##\)"/>
    <numFmt numFmtId="204" formatCode="_(* #,##0.0_);_(* \(#,##0.0\);_(* &quot;-&quot;_);_(@_)"/>
    <numFmt numFmtId="205" formatCode="0.E+00"/>
    <numFmt numFmtId="206" formatCode="0.0%"/>
    <numFmt numFmtId="207" formatCode="&quot;$&quot;#,##0.00"/>
  </numFmts>
  <fonts count="177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0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</borders>
  <cellStyleXfs count="3389">
    <xf numFmtId="0" fontId="0" fillId="0" borderId="0"/>
    <xf numFmtId="171" fontId="42" fillId="0" borderId="0">
      <alignment horizontal="centerContinuous"/>
    </xf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64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4" fontId="36" fillId="0" borderId="0" applyFill="0" applyBorder="0" applyAlignment="0"/>
    <xf numFmtId="174" fontId="22" fillId="0" borderId="0" applyFill="0" applyBorder="0" applyAlignment="0"/>
    <xf numFmtId="175" fontId="36" fillId="0" borderId="0" applyFill="0" applyBorder="0" applyAlignment="0"/>
    <xf numFmtId="175" fontId="22" fillId="0" borderId="0" applyFill="0" applyBorder="0" applyAlignment="0"/>
    <xf numFmtId="176" fontId="36" fillId="0" borderId="0" applyFill="0" applyBorder="0" applyAlignment="0"/>
    <xf numFmtId="176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43" fontId="105" fillId="0" borderId="0" applyFont="0" applyFill="0" applyBorder="0" applyAlignment="0" applyProtection="0"/>
    <xf numFmtId="0" fontId="65" fillId="0" borderId="0"/>
    <xf numFmtId="0" fontId="65" fillId="0" borderId="0"/>
    <xf numFmtId="0" fontId="65" fillId="0" borderId="0"/>
    <xf numFmtId="43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178" fontId="36" fillId="0" borderId="0" applyFont="0" applyFill="0" applyBorder="0" applyAlignment="0" applyProtection="0"/>
    <xf numFmtId="178" fontId="22" fillId="0" borderId="0" applyFont="0" applyFill="0" applyBorder="0" applyAlignment="0" applyProtection="0"/>
    <xf numFmtId="178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178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3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0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22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179" fontId="36" fillId="0" borderId="0" applyFont="0" applyFill="0" applyBorder="0" applyAlignment="0" applyProtection="0"/>
    <xf numFmtId="179" fontId="22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169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22" fillId="0" borderId="0" applyFont="0" applyFill="0" applyBorder="0" applyAlignment="0" applyProtection="0"/>
    <xf numFmtId="168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170" fontId="3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3" fillId="0" borderId="0" applyFont="0" applyFill="0" applyBorder="0" applyAlignment="0" applyProtection="0"/>
    <xf numFmtId="170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180" fontId="36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180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181" fontId="36" fillId="0" borderId="0" applyFont="0" applyFill="0" applyBorder="0" applyAlignment="0" applyProtection="0"/>
    <xf numFmtId="181" fontId="36" fillId="0" borderId="0" applyFont="0" applyFill="0" applyBorder="0" applyAlignment="0" applyProtection="0"/>
    <xf numFmtId="182" fontId="36" fillId="0" borderId="0" applyFont="0" applyFill="0" applyBorder="0" applyAlignment="0" applyProtection="0"/>
    <xf numFmtId="182" fontId="22" fillId="0" borderId="0" applyFont="0" applyFill="0" applyBorder="0" applyAlignment="0" applyProtection="0"/>
    <xf numFmtId="182" fontId="36" fillId="0" borderId="0" applyFont="0" applyFill="0" applyBorder="0" applyAlignment="0" applyProtection="0"/>
    <xf numFmtId="182" fontId="22" fillId="0" borderId="0" applyFont="0" applyFill="0" applyBorder="0" applyAlignment="0" applyProtection="0"/>
    <xf numFmtId="182" fontId="36" fillId="0" borderId="0" applyFont="0" applyFill="0" applyBorder="0" applyAlignment="0" applyProtection="0"/>
    <xf numFmtId="182" fontId="22" fillId="0" borderId="0" applyFont="0" applyFill="0" applyBorder="0" applyAlignment="0" applyProtection="0"/>
    <xf numFmtId="181" fontId="22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1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7" fillId="0" borderId="0" applyFont="0" applyFill="0" applyBorder="0" applyAlignment="0" applyProtection="0"/>
    <xf numFmtId="184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205" fontId="22" fillId="0" borderId="0" applyFont="0" applyFill="0" applyBorder="0" applyAlignment="0" applyProtection="0"/>
    <xf numFmtId="204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170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3" fontId="70" fillId="0" borderId="0" applyFont="0" applyFill="0" applyBorder="0" applyAlignment="0" applyProtection="0"/>
    <xf numFmtId="0" fontId="71" fillId="0" borderId="0" applyNumberFormat="0" applyAlignment="0">
      <alignment horizontal="left"/>
    </xf>
    <xf numFmtId="0" fontId="65" fillId="0" borderId="0"/>
    <xf numFmtId="0" fontId="65" fillId="0" borderId="0"/>
    <xf numFmtId="185" fontId="36" fillId="0" borderId="3"/>
    <xf numFmtId="185" fontId="22" fillId="0" borderId="3"/>
    <xf numFmtId="42" fontId="23" fillId="0" borderId="0" applyFont="0" applyFill="0" applyBorder="0" applyAlignment="0" applyProtection="0"/>
    <xf numFmtId="42" fontId="48" fillId="0" borderId="0" applyFont="0" applyFill="0" applyBorder="0" applyAlignment="0" applyProtection="0"/>
    <xf numFmtId="172" fontId="36" fillId="0" borderId="0" applyFont="0" applyFill="0" applyBorder="0" applyAlignment="0" applyProtection="0"/>
    <xf numFmtId="172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44" fontId="36" fillId="0" borderId="0" applyFont="0" applyFill="0" applyBorder="0" applyAlignment="0" applyProtection="0"/>
    <xf numFmtId="44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70" fillId="0" borderId="0" applyFont="0" applyFill="0" applyBorder="0" applyAlignment="0" applyProtection="0"/>
    <xf numFmtId="187" fontId="72" fillId="0" borderId="0">
      <protection locked="0"/>
    </xf>
    <xf numFmtId="14" fontId="64" fillId="0" borderId="0" applyFill="0" applyBorder="0" applyAlignment="0"/>
    <xf numFmtId="188" fontId="73" fillId="0" borderId="0">
      <protection locked="0"/>
    </xf>
    <xf numFmtId="0" fontId="74" fillId="0" borderId="0"/>
    <xf numFmtId="0" fontId="74" fillId="0" borderId="4"/>
    <xf numFmtId="0" fontId="74" fillId="0" borderId="4"/>
    <xf numFmtId="0" fontId="74" fillId="0" borderId="4"/>
    <xf numFmtId="0" fontId="74" fillId="0" borderId="4"/>
    <xf numFmtId="0" fontId="75" fillId="22" borderId="0"/>
    <xf numFmtId="176" fontId="36" fillId="0" borderId="0" applyFill="0" applyBorder="0" applyAlignment="0"/>
    <xf numFmtId="176" fontId="22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176" fontId="36" fillId="0" borderId="0" applyFill="0" applyBorder="0" applyAlignment="0"/>
    <xf numFmtId="176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0" fontId="76" fillId="0" borderId="0" applyNumberFormat="0" applyAlignment="0">
      <alignment horizontal="left"/>
    </xf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77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8" fillId="0" borderId="0">
      <protection locked="0"/>
    </xf>
    <xf numFmtId="189" fontId="72" fillId="0" borderId="0">
      <protection locked="0"/>
    </xf>
    <xf numFmtId="0" fontId="79" fillId="0" borderId="5"/>
    <xf numFmtId="0" fontId="79" fillId="0" borderId="5"/>
    <xf numFmtId="0" fontId="79" fillId="0" borderId="5"/>
    <xf numFmtId="0" fontId="79" fillId="0" borderId="5"/>
    <xf numFmtId="0" fontId="79" fillId="0" borderId="4"/>
    <xf numFmtId="0" fontId="79" fillId="0" borderId="4"/>
    <xf numFmtId="0" fontId="79" fillId="23" borderId="4"/>
    <xf numFmtId="0" fontId="79" fillId="23" borderId="4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80" fillId="0" borderId="0" applyNumberFormat="0"/>
    <xf numFmtId="38" fontId="41" fillId="24" borderId="0" applyNumberFormat="0" applyBorder="0" applyAlignment="0" applyProtection="0"/>
    <xf numFmtId="0" fontId="81" fillId="0" borderId="6" applyNumberFormat="0" applyAlignment="0" applyProtection="0">
      <alignment horizontal="left" vertical="center"/>
    </xf>
    <xf numFmtId="0" fontId="81" fillId="0" borderId="7">
      <alignment horizontal="left" vertical="center"/>
    </xf>
    <xf numFmtId="0" fontId="81" fillId="0" borderId="7">
      <alignment horizontal="left" vertical="center"/>
    </xf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190" fontId="77" fillId="0" borderId="0">
      <protection locked="0"/>
    </xf>
    <xf numFmtId="190" fontId="77" fillId="0" borderId="0"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33" fillId="7" borderId="1" applyNumberFormat="0" applyAlignment="0" applyProtection="0"/>
    <xf numFmtId="10" fontId="41" fillId="25" borderId="3" applyNumberFormat="0" applyBorder="0" applyAlignment="0" applyProtection="0"/>
    <xf numFmtId="10" fontId="41" fillId="25" borderId="3" applyNumberFormat="0" applyBorder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176" fontId="36" fillId="0" borderId="0" applyFill="0" applyBorder="0" applyAlignment="0"/>
    <xf numFmtId="176" fontId="22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176" fontId="36" fillId="0" borderId="0" applyFill="0" applyBorder="0" applyAlignment="0"/>
    <xf numFmtId="176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191" fontId="36" fillId="0" borderId="0" applyFont="0" applyFill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37" fontId="82" fillId="0" borderId="0"/>
    <xf numFmtId="192" fontId="36" fillId="0" borderId="0"/>
    <xf numFmtId="0" fontId="36" fillId="0" borderId="0"/>
    <xf numFmtId="0" fontId="36" fillId="0" borderId="0"/>
    <xf numFmtId="0" fontId="22" fillId="0" borderId="0"/>
    <xf numFmtId="0" fontId="22" fillId="0" borderId="0"/>
    <xf numFmtId="0" fontId="22" fillId="0" borderId="0"/>
    <xf numFmtId="192" fontId="36" fillId="0" borderId="0"/>
    <xf numFmtId="192" fontId="22" fillId="0" borderId="0"/>
    <xf numFmtId="192" fontId="36" fillId="0" borderId="0"/>
    <xf numFmtId="192" fontId="22" fillId="0" borderId="0"/>
    <xf numFmtId="192" fontId="36" fillId="0" borderId="0"/>
    <xf numFmtId="192" fontId="22" fillId="0" borderId="0"/>
    <xf numFmtId="192" fontId="22" fillId="0" borderId="0"/>
    <xf numFmtId="192" fontId="36" fillId="0" borderId="0"/>
    <xf numFmtId="171" fontId="83" fillId="0" borderId="0"/>
    <xf numFmtId="171" fontId="84" fillId="0" borderId="0"/>
    <xf numFmtId="171" fontId="84" fillId="0" borderId="0"/>
    <xf numFmtId="0" fontId="66" fillId="0" borderId="0"/>
    <xf numFmtId="0" fontId="112" fillId="0" borderId="0"/>
    <xf numFmtId="0" fontId="36" fillId="0" borderId="0"/>
    <xf numFmtId="0" fontId="22" fillId="0" borderId="0"/>
    <xf numFmtId="0" fontId="69" fillId="0" borderId="0"/>
    <xf numFmtId="0" fontId="36" fillId="0" borderId="0"/>
    <xf numFmtId="12" fontId="36" fillId="0" borderId="0"/>
    <xf numFmtId="12" fontId="22" fillId="0" borderId="0"/>
    <xf numFmtId="0" fontId="112" fillId="0" borderId="0"/>
    <xf numFmtId="0" fontId="112" fillId="0" borderId="0"/>
    <xf numFmtId="0" fontId="11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85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3" fillId="0" borderId="0"/>
    <xf numFmtId="0" fontId="113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36" fillId="0" borderId="0" applyProtection="0"/>
    <xf numFmtId="0" fontId="22" fillId="0" borderId="0" applyProtection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22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6" fillId="0" borderId="0"/>
    <xf numFmtId="0" fontId="69" fillId="0" borderId="0"/>
    <xf numFmtId="0" fontId="36" fillId="0" borderId="0"/>
    <xf numFmtId="0" fontId="112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22" fillId="0" borderId="0"/>
    <xf numFmtId="0" fontId="36" fillId="0" borderId="0"/>
    <xf numFmtId="0" fontId="36" fillId="0" borderId="0"/>
    <xf numFmtId="0" fontId="67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22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64" fillId="0" borderId="0">
      <alignment vertical="top"/>
    </xf>
    <xf numFmtId="0" fontId="23" fillId="0" borderId="0"/>
    <xf numFmtId="0" fontId="23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64" fillId="0" borderId="0">
      <alignment vertical="top"/>
    </xf>
    <xf numFmtId="0" fontId="64" fillId="0" borderId="0">
      <alignment vertical="top"/>
    </xf>
    <xf numFmtId="0" fontId="23" fillId="0" borderId="0"/>
    <xf numFmtId="193" fontId="43" fillId="0" borderId="0"/>
    <xf numFmtId="0" fontId="112" fillId="0" borderId="0"/>
    <xf numFmtId="0" fontId="11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1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22" fillId="0" borderId="0"/>
    <xf numFmtId="0" fontId="22" fillId="0" borderId="0"/>
    <xf numFmtId="0" fontId="36" fillId="0" borderId="0" applyNumberFormat="0" applyFont="0" applyFill="0" applyAlignment="0" applyProtection="0"/>
    <xf numFmtId="0" fontId="36" fillId="0" borderId="0" applyNumberFormat="0" applyFont="0" applyFill="0" applyAlignment="0" applyProtection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2" fillId="0" borderId="0" applyNumberFormat="0" applyFont="0" applyFill="0" applyAlignment="0" applyProtection="0"/>
    <xf numFmtId="0" fontId="84" fillId="0" borderId="0"/>
    <xf numFmtId="0" fontId="84" fillId="0" borderId="0"/>
    <xf numFmtId="0" fontId="22" fillId="0" borderId="0" applyNumberFormat="0" applyFont="0" applyFill="0" applyAlignment="0" applyProtection="0"/>
    <xf numFmtId="0" fontId="36" fillId="0" borderId="0"/>
    <xf numFmtId="0" fontId="112" fillId="0" borderId="0"/>
    <xf numFmtId="181" fontId="84" fillId="0" borderId="0"/>
    <xf numFmtId="0" fontId="84" fillId="0" borderId="0"/>
    <xf numFmtId="194" fontId="84" fillId="0" borderId="0"/>
    <xf numFmtId="195" fontId="84" fillId="0" borderId="0"/>
    <xf numFmtId="0" fontId="84" fillId="0" borderId="0"/>
    <xf numFmtId="196" fontId="84" fillId="0" borderId="0"/>
    <xf numFmtId="196" fontId="84" fillId="0" borderId="0"/>
    <xf numFmtId="196" fontId="84" fillId="0" borderId="0"/>
    <xf numFmtId="194" fontId="84" fillId="0" borderId="0"/>
    <xf numFmtId="0" fontId="84" fillId="0" borderId="0"/>
    <xf numFmtId="0" fontId="36" fillId="0" borderId="0"/>
    <xf numFmtId="0" fontId="22" fillId="0" borderId="0"/>
    <xf numFmtId="181" fontId="8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4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112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36" fillId="0" borderId="0" applyNumberFormat="0" applyFont="0" applyFill="0" applyAlignment="0" applyProtection="0"/>
    <xf numFmtId="0" fontId="36" fillId="0" borderId="0"/>
    <xf numFmtId="0" fontId="22" fillId="0" borderId="0"/>
    <xf numFmtId="0" fontId="36" fillId="0" borderId="0"/>
    <xf numFmtId="0" fontId="22" fillId="0" borderId="0"/>
    <xf numFmtId="0" fontId="22" fillId="0" borderId="0" applyNumberFormat="0" applyFont="0" applyFill="0" applyAlignment="0" applyProtection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197" fontId="84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196" fontId="84" fillId="0" borderId="0"/>
    <xf numFmtId="196" fontId="84" fillId="0" borderId="0"/>
    <xf numFmtId="196" fontId="84" fillId="0" borderId="0"/>
    <xf numFmtId="196" fontId="84" fillId="0" borderId="0"/>
    <xf numFmtId="198" fontId="84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23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36" fillId="0" borderId="0"/>
    <xf numFmtId="0" fontId="22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36" fillId="0" borderId="0"/>
    <xf numFmtId="0" fontId="43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193" fontId="43" fillId="0" borderId="0"/>
    <xf numFmtId="0" fontId="22" fillId="0" borderId="0"/>
    <xf numFmtId="0" fontId="22" fillId="0" borderId="0" applyProtection="0"/>
    <xf numFmtId="0" fontId="112" fillId="0" borderId="0"/>
    <xf numFmtId="0" fontId="112" fillId="0" borderId="0"/>
    <xf numFmtId="0" fontId="112" fillId="0" borderId="0"/>
    <xf numFmtId="0" fontId="22" fillId="0" borderId="0"/>
    <xf numFmtId="0" fontId="22" fillId="0" borderId="0" applyProtection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4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3" fillId="0" borderId="0"/>
    <xf numFmtId="0" fontId="36" fillId="0" borderId="0"/>
    <xf numFmtId="0" fontId="22" fillId="0" borderId="0"/>
    <xf numFmtId="0" fontId="112" fillId="0" borderId="0"/>
    <xf numFmtId="0" fontId="11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114" fillId="0" borderId="0"/>
    <xf numFmtId="0" fontId="22" fillId="0" borderId="0"/>
    <xf numFmtId="0" fontId="2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3" fillId="0" borderId="0"/>
    <xf numFmtId="0" fontId="23" fillId="0" borderId="0"/>
    <xf numFmtId="0" fontId="113" fillId="0" borderId="0"/>
    <xf numFmtId="0" fontId="67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36" fillId="0" borderId="0" applyProtection="0"/>
    <xf numFmtId="0" fontId="22" fillId="0" borderId="0" applyProtection="0"/>
    <xf numFmtId="0" fontId="22" fillId="0" borderId="0"/>
    <xf numFmtId="0" fontId="36" fillId="0" borderId="0"/>
    <xf numFmtId="0" fontId="22" fillId="0" borderId="0"/>
    <xf numFmtId="193" fontId="43" fillId="0" borderId="0"/>
    <xf numFmtId="193" fontId="43" fillId="0" borderId="0"/>
    <xf numFmtId="0" fontId="11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11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27" borderId="12" applyNumberFormat="0" applyFont="0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0" fontId="36" fillId="27" borderId="12" applyNumberFormat="0" applyFont="0" applyAlignment="0" applyProtection="0"/>
    <xf numFmtId="0" fontId="22" fillId="27" borderId="12" applyNumberFormat="0" applyFont="0" applyAlignment="0" applyProtection="0"/>
    <xf numFmtId="0" fontId="3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175" fontId="36" fillId="0" borderId="0" applyFont="0" applyFill="0" applyBorder="0" applyAlignment="0" applyProtection="0"/>
    <xf numFmtId="175" fontId="22" fillId="0" borderId="0" applyFont="0" applyFill="0" applyBorder="0" applyAlignment="0" applyProtection="0"/>
    <xf numFmtId="199" fontId="36" fillId="0" borderId="0" applyFont="0" applyFill="0" applyBorder="0" applyAlignment="0" applyProtection="0"/>
    <xf numFmtId="199" fontId="22" fillId="0" borderId="0" applyFont="0" applyFill="0" applyBorder="0" applyAlignment="0" applyProtection="0"/>
    <xf numFmtId="10" fontId="36" fillId="0" borderId="0" applyFont="0" applyFill="0" applyBorder="0" applyAlignment="0" applyProtection="0"/>
    <xf numFmtId="10" fontId="22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6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176" fontId="36" fillId="0" borderId="0" applyFill="0" applyBorder="0" applyAlignment="0"/>
    <xf numFmtId="176" fontId="22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176" fontId="36" fillId="0" borderId="0" applyFill="0" applyBorder="0" applyAlignment="0"/>
    <xf numFmtId="176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0" fontId="74" fillId="0" borderId="0"/>
    <xf numFmtId="200" fontId="87" fillId="0" borderId="0" applyNumberFormat="0" applyFill="0" applyBorder="0" applyAlignment="0" applyProtection="0">
      <alignment horizontal="left"/>
    </xf>
    <xf numFmtId="0" fontId="88" fillId="0" borderId="14"/>
    <xf numFmtId="0" fontId="88" fillId="0" borderId="14"/>
    <xf numFmtId="0" fontId="89" fillId="0" borderId="15"/>
    <xf numFmtId="0" fontId="89" fillId="0" borderId="15"/>
    <xf numFmtId="40" fontId="90" fillId="0" borderId="0" applyBorder="0">
      <alignment horizontal="right"/>
    </xf>
    <xf numFmtId="49" fontId="64" fillId="0" borderId="0" applyFill="0" applyBorder="0" applyAlignment="0"/>
    <xf numFmtId="201" fontId="36" fillId="0" borderId="0" applyFill="0" applyBorder="0" applyAlignment="0"/>
    <xf numFmtId="201" fontId="22" fillId="0" borderId="0" applyFill="0" applyBorder="0" applyAlignment="0"/>
    <xf numFmtId="202" fontId="36" fillId="0" borderId="0" applyFill="0" applyBorder="0" applyAlignment="0"/>
    <xf numFmtId="202" fontId="22" fillId="0" borderId="0" applyFill="0" applyBorder="0" applyAlignment="0"/>
    <xf numFmtId="203" fontId="91" fillId="0" borderId="16" applyFont="0" applyBorder="0" applyAlignment="0">
      <alignment horizontal="right"/>
    </xf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16" fillId="0" borderId="0"/>
    <xf numFmtId="0" fontId="10" fillId="0" borderId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9" fillId="0" borderId="0"/>
    <xf numFmtId="165" fontId="22" fillId="0" borderId="0" applyFont="0" applyFill="0" applyBorder="0" applyAlignment="0" applyProtection="0"/>
    <xf numFmtId="9" fontId="163" fillId="0" borderId="0" applyFont="0" applyFill="0" applyBorder="0" applyAlignment="0" applyProtection="0"/>
    <xf numFmtId="165" fontId="175" fillId="0" borderId="0" applyFont="0" applyFill="0" applyBorder="0" applyAlignment="0" applyProtection="0"/>
    <xf numFmtId="0" fontId="22" fillId="0" borderId="0"/>
    <xf numFmtId="0" fontId="16" fillId="2" borderId="0" applyNumberFormat="0" applyBorder="0" applyAlignment="0" applyProtection="0"/>
    <xf numFmtId="0" fontId="16" fillId="3" borderId="0" applyNumberFormat="0" applyBorder="0" applyAlignment="0" applyProtection="0"/>
    <xf numFmtId="0" fontId="16" fillId="4" borderId="0" applyNumberFormat="0" applyBorder="0" applyAlignment="0" applyProtection="0"/>
    <xf numFmtId="0" fontId="16" fillId="5" borderId="0" applyNumberFormat="0" applyBorder="0" applyAlignment="0" applyProtection="0"/>
    <xf numFmtId="0" fontId="16" fillId="6" borderId="0" applyNumberFormat="0" applyBorder="0" applyAlignment="0" applyProtection="0"/>
    <xf numFmtId="0" fontId="16" fillId="7" borderId="0" applyNumberFormat="0" applyBorder="0" applyAlignment="0" applyProtection="0"/>
    <xf numFmtId="0" fontId="16" fillId="8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5" borderId="0" applyNumberFormat="0" applyBorder="0" applyAlignment="0" applyProtection="0"/>
    <xf numFmtId="0" fontId="16" fillId="8" borderId="0" applyNumberFormat="0" applyBorder="0" applyAlignment="0" applyProtection="0"/>
    <xf numFmtId="0" fontId="16" fillId="11" borderId="0" applyNumberFormat="0" applyBorder="0" applyAlignment="0" applyProtection="0"/>
    <xf numFmtId="165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5" fillId="0" borderId="0"/>
    <xf numFmtId="165" fontId="22" fillId="0" borderId="0" applyFont="0" applyFill="0" applyBorder="0" applyAlignment="0" applyProtection="0"/>
    <xf numFmtId="0" fontId="5" fillId="0" borderId="0"/>
    <xf numFmtId="166" fontId="22" fillId="0" borderId="0" applyFont="0" applyFill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4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69" fillId="0" borderId="0" applyFont="0" applyFill="0" applyBorder="0" applyAlignment="0" applyProtection="0"/>
    <xf numFmtId="166" fontId="69" fillId="0" borderId="0" applyFont="0" applyFill="0" applyBorder="0" applyAlignment="0" applyProtection="0"/>
    <xf numFmtId="166" fontId="16" fillId="0" borderId="0" applyFont="0" applyFill="0" applyBorder="0" applyAlignment="0" applyProtection="0"/>
    <xf numFmtId="42" fontId="16" fillId="0" borderId="0" applyFont="0" applyFill="0" applyBorder="0" applyAlignment="0" applyProtection="0"/>
    <xf numFmtId="42" fontId="112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5" fillId="0" borderId="0"/>
    <xf numFmtId="0" fontId="16" fillId="0" borderId="0"/>
    <xf numFmtId="0" fontId="5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12" fillId="0" borderId="0" applyFont="0" applyFill="0" applyBorder="0" applyAlignment="0" applyProtection="0"/>
    <xf numFmtId="0" fontId="88" fillId="0" borderId="98"/>
    <xf numFmtId="0" fontId="89" fillId="0" borderId="99"/>
    <xf numFmtId="166" fontId="22" fillId="0" borderId="0" applyFont="0" applyFill="0" applyBorder="0" applyAlignment="0" applyProtection="0"/>
  </cellStyleXfs>
  <cellXfs count="716">
    <xf numFmtId="0" fontId="0" fillId="0" borderId="0" xfId="0"/>
    <xf numFmtId="0" fontId="45" fillId="0" borderId="0" xfId="1448" applyFont="1" applyAlignment="1">
      <alignment horizontal="center" wrapText="1"/>
    </xf>
    <xf numFmtId="0" fontId="44" fillId="0" borderId="0" xfId="1448" applyFont="1" applyAlignment="1">
      <alignment horizontal="left" vertical="center" wrapText="1"/>
    </xf>
    <xf numFmtId="0" fontId="54" fillId="0" borderId="0" xfId="1448" applyFont="1" applyAlignment="1">
      <alignment horizontal="center" wrapText="1"/>
    </xf>
    <xf numFmtId="3" fontId="45" fillId="0" borderId="0" xfId="1448" applyNumberFormat="1" applyFont="1" applyAlignment="1">
      <alignment horizontal="center" vertical="center" wrapText="1"/>
    </xf>
    <xf numFmtId="0" fontId="54" fillId="0" borderId="0" xfId="1448" applyFont="1" applyAlignment="1">
      <alignment wrapText="1"/>
    </xf>
    <xf numFmtId="0" fontId="55" fillId="0" borderId="0" xfId="1448" applyFont="1" applyAlignment="1">
      <alignment wrapText="1"/>
    </xf>
    <xf numFmtId="0" fontId="44" fillId="0" borderId="0" xfId="1448" applyFont="1" applyAlignment="1">
      <alignment horizontal="center" wrapText="1"/>
    </xf>
    <xf numFmtId="0" fontId="44" fillId="0" borderId="0" xfId="1448" applyFont="1" applyAlignment="1">
      <alignment horizontal="center" vertical="center" wrapText="1"/>
    </xf>
    <xf numFmtId="3" fontId="44" fillId="0" borderId="0" xfId="1448" applyNumberFormat="1" applyFont="1" applyAlignment="1">
      <alignment horizontal="center" vertical="center" wrapText="1"/>
    </xf>
    <xf numFmtId="0" fontId="44" fillId="0" borderId="18" xfId="1448" applyFont="1" applyBorder="1" applyAlignment="1">
      <alignment horizontal="center" vertical="center" wrapText="1"/>
    </xf>
    <xf numFmtId="0" fontId="45" fillId="0" borderId="0" xfId="1448" applyFont="1" applyAlignment="1">
      <alignment horizontal="center" vertical="center" wrapText="1"/>
    </xf>
    <xf numFmtId="0" fontId="54" fillId="0" borderId="0" xfId="1448" applyFont="1" applyAlignment="1">
      <alignment horizontal="center" vertical="center" wrapText="1"/>
    </xf>
    <xf numFmtId="0" fontId="57" fillId="0" borderId="18" xfId="1448" applyFont="1" applyBorder="1" applyAlignment="1">
      <alignment horizontal="center" wrapText="1"/>
    </xf>
    <xf numFmtId="0" fontId="58" fillId="0" borderId="0" xfId="1448" applyFont="1" applyAlignment="1">
      <alignment wrapText="1"/>
    </xf>
    <xf numFmtId="0" fontId="45" fillId="0" borderId="18" xfId="1448" applyFont="1" applyBorder="1" applyAlignment="1">
      <alignment horizontal="center" vertical="center" wrapText="1"/>
    </xf>
    <xf numFmtId="41" fontId="45" fillId="0" borderId="0" xfId="527" applyNumberFormat="1" applyFont="1" applyFill="1" applyBorder="1" applyAlignment="1">
      <alignment horizontal="center" wrapText="1"/>
    </xf>
    <xf numFmtId="0" fontId="45" fillId="0" borderId="18" xfId="1448" quotePrefix="1" applyFont="1" applyBorder="1" applyAlignment="1">
      <alignment horizontal="center" vertical="center" wrapText="1"/>
    </xf>
    <xf numFmtId="18" fontId="45" fillId="0" borderId="18" xfId="1448" quotePrefix="1" applyNumberFormat="1" applyFont="1" applyBorder="1" applyAlignment="1">
      <alignment horizontal="center" vertical="center" wrapText="1"/>
    </xf>
    <xf numFmtId="0" fontId="54" fillId="0" borderId="0" xfId="1448" applyFont="1" applyAlignment="1">
      <alignment vertical="top" wrapText="1"/>
    </xf>
    <xf numFmtId="41" fontId="45" fillId="0" borderId="18" xfId="1448" applyNumberFormat="1" applyFont="1" applyBorder="1" applyAlignment="1">
      <alignment horizontal="center" vertical="center" wrapText="1"/>
    </xf>
    <xf numFmtId="17" fontId="45" fillId="0" borderId="18" xfId="1448" quotePrefix="1" applyNumberFormat="1" applyFont="1" applyBorder="1" applyAlignment="1">
      <alignment horizontal="center" vertical="center" wrapText="1"/>
    </xf>
    <xf numFmtId="41" fontId="45" fillId="0" borderId="0" xfId="1448" applyNumberFormat="1" applyFont="1" applyAlignment="1">
      <alignment horizontal="center" wrapText="1"/>
    </xf>
    <xf numFmtId="0" fontId="112" fillId="0" borderId="0" xfId="1614" applyAlignment="1">
      <alignment horizontal="center"/>
    </xf>
    <xf numFmtId="0" fontId="49" fillId="0" borderId="0" xfId="1614" applyFont="1" applyAlignment="1">
      <alignment horizontal="center" vertical="center"/>
    </xf>
    <xf numFmtId="0" fontId="44" fillId="0" borderId="0" xfId="1614" applyFont="1" applyAlignment="1">
      <alignment vertical="center"/>
    </xf>
    <xf numFmtId="0" fontId="112" fillId="0" borderId="0" xfId="1614" applyAlignment="1">
      <alignment horizontal="center" vertical="center"/>
    </xf>
    <xf numFmtId="3" fontId="46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0" fontId="61" fillId="0" borderId="0" xfId="1614" applyFont="1" applyAlignment="1">
      <alignment horizontal="center"/>
    </xf>
    <xf numFmtId="43" fontId="53" fillId="0" borderId="0" xfId="1652" applyNumberFormat="1" applyFont="1"/>
    <xf numFmtId="0" fontId="112" fillId="0" borderId="19" xfId="1614" applyBorder="1" applyAlignment="1">
      <alignment horizontal="center"/>
    </xf>
    <xf numFmtId="0" fontId="53" fillId="0" borderId="0" xfId="1614" applyFont="1" applyAlignment="1">
      <alignment horizontal="center"/>
    </xf>
    <xf numFmtId="0" fontId="53" fillId="0" borderId="0" xfId="1614" applyFont="1" applyAlignment="1">
      <alignment horizontal="center" vertical="center" wrapText="1"/>
    </xf>
    <xf numFmtId="3" fontId="45" fillId="0" borderId="0" xfId="1614" applyNumberFormat="1" applyFont="1" applyAlignment="1">
      <alignment vertical="center"/>
    </xf>
    <xf numFmtId="0" fontId="21" fillId="0" borderId="0" xfId="1614" applyFont="1" applyAlignment="1">
      <alignment horizontal="center"/>
    </xf>
    <xf numFmtId="0" fontId="45" fillId="0" borderId="20" xfId="1614" applyFont="1" applyBorder="1" applyAlignment="1">
      <alignment horizontal="center" vertical="center"/>
    </xf>
    <xf numFmtId="0" fontId="45" fillId="0" borderId="21" xfId="1614" applyFont="1" applyBorder="1" applyAlignment="1">
      <alignment horizontal="left" vertical="center" wrapText="1"/>
    </xf>
    <xf numFmtId="0" fontId="45" fillId="0" borderId="21" xfId="1614" applyFont="1" applyBorder="1" applyAlignment="1">
      <alignment horizontal="center" vertical="center" wrapText="1"/>
    </xf>
    <xf numFmtId="0" fontId="47" fillId="0" borderId="21" xfId="1614" applyFont="1" applyBorder="1" applyAlignment="1">
      <alignment horizontal="center" vertical="center"/>
    </xf>
    <xf numFmtId="3" fontId="47" fillId="0" borderId="21" xfId="1614" applyNumberFormat="1" applyFont="1" applyBorder="1" applyAlignment="1">
      <alignment horizontal="center" vertical="center"/>
    </xf>
    <xf numFmtId="3" fontId="45" fillId="0" borderId="21" xfId="1614" applyNumberFormat="1" applyFont="1" applyBorder="1" applyAlignment="1">
      <alignment horizontal="center" vertical="center"/>
    </xf>
    <xf numFmtId="3" fontId="45" fillId="0" borderId="22" xfId="1614" applyNumberFormat="1" applyFont="1" applyBorder="1" applyAlignment="1">
      <alignment horizontal="center" vertical="center"/>
    </xf>
    <xf numFmtId="0" fontId="62" fillId="0" borderId="0" xfId="1614" applyFont="1" applyAlignment="1">
      <alignment horizontal="center" vertical="center"/>
    </xf>
    <xf numFmtId="3" fontId="45" fillId="0" borderId="0" xfId="1614" applyNumberFormat="1" applyFont="1" applyAlignment="1">
      <alignment horizontal="center" vertical="center"/>
    </xf>
    <xf numFmtId="3" fontId="62" fillId="0" borderId="0" xfId="1614" applyNumberFormat="1" applyFont="1" applyAlignment="1">
      <alignment horizontal="center" vertical="center"/>
    </xf>
    <xf numFmtId="0" fontId="62" fillId="0" borderId="0" xfId="1614" applyFont="1" applyAlignment="1">
      <alignment horizontal="center"/>
    </xf>
    <xf numFmtId="0" fontId="50" fillId="0" borderId="23" xfId="1614" applyFont="1" applyBorder="1" applyAlignment="1">
      <alignment horizontal="center" vertical="center"/>
    </xf>
    <xf numFmtId="0" fontId="50" fillId="0" borderId="24" xfId="1614" applyFont="1" applyBorder="1" applyAlignment="1">
      <alignment horizontal="left" vertical="center"/>
    </xf>
    <xf numFmtId="0" fontId="50" fillId="0" borderId="24" xfId="1614" applyFont="1" applyBorder="1" applyAlignment="1">
      <alignment vertical="center"/>
    </xf>
    <xf numFmtId="0" fontId="21" fillId="0" borderId="24" xfId="1614" applyFont="1" applyBorder="1" applyAlignment="1">
      <alignment horizontal="center" vertical="center"/>
    </xf>
    <xf numFmtId="3" fontId="45" fillId="0" borderId="24" xfId="1614" applyNumberFormat="1" applyFont="1" applyBorder="1" applyAlignment="1">
      <alignment horizontal="center" vertical="center"/>
    </xf>
    <xf numFmtId="3" fontId="45" fillId="0" borderId="25" xfId="1614" applyNumberFormat="1" applyFont="1" applyBorder="1" applyAlignment="1">
      <alignment horizontal="center" vertical="center"/>
    </xf>
    <xf numFmtId="0" fontId="112" fillId="0" borderId="26" xfId="1614" applyBorder="1" applyAlignment="1">
      <alignment horizontal="center" vertical="center"/>
    </xf>
    <xf numFmtId="37" fontId="112" fillId="0" borderId="27" xfId="1614" applyNumberFormat="1" applyBorder="1" applyAlignment="1">
      <alignment horizontal="center"/>
    </xf>
    <xf numFmtId="0" fontId="112" fillId="0" borderId="28" xfId="1614" applyBorder="1" applyAlignment="1">
      <alignment horizontal="center" vertical="center"/>
    </xf>
    <xf numFmtId="37" fontId="21" fillId="0" borderId="0" xfId="1614" applyNumberFormat="1" applyFont="1" applyAlignment="1">
      <alignment horizontal="center"/>
    </xf>
    <xf numFmtId="37" fontId="63" fillId="0" borderId="0" xfId="1614" applyNumberFormat="1" applyFont="1" applyAlignment="1">
      <alignment horizontal="center"/>
    </xf>
    <xf numFmtId="37" fontId="53" fillId="0" borderId="29" xfId="1614" applyNumberFormat="1" applyFont="1" applyBorder="1" applyAlignment="1">
      <alignment horizontal="center"/>
    </xf>
    <xf numFmtId="37" fontId="112" fillId="0" borderId="29" xfId="1614" applyNumberFormat="1" applyBorder="1" applyAlignment="1">
      <alignment horizontal="center"/>
    </xf>
    <xf numFmtId="37" fontId="63" fillId="0" borderId="30" xfId="1614" applyNumberFormat="1" applyFont="1" applyBorder="1" applyAlignment="1">
      <alignment horizontal="center"/>
    </xf>
    <xf numFmtId="0" fontId="52" fillId="0" borderId="0" xfId="1614" applyFont="1" applyAlignment="1">
      <alignment horizontal="center" vertical="center"/>
    </xf>
    <xf numFmtId="0" fontId="112" fillId="0" borderId="19" xfId="1614" applyBorder="1"/>
    <xf numFmtId="0" fontId="112" fillId="0" borderId="19" xfId="1614" applyBorder="1" applyAlignment="1">
      <alignment horizontal="right"/>
    </xf>
    <xf numFmtId="0" fontId="112" fillId="0" borderId="31" xfId="1614" applyBorder="1" applyAlignment="1">
      <alignment horizontal="right"/>
    </xf>
    <xf numFmtId="0" fontId="50" fillId="0" borderId="0" xfId="1614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0" fontId="50" fillId="0" borderId="0" xfId="1614" applyFont="1" applyAlignment="1">
      <alignment vertical="center"/>
    </xf>
    <xf numFmtId="0" fontId="21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112" fillId="0" borderId="0" xfId="1652" applyAlignment="1">
      <alignment horizontal="right"/>
    </xf>
    <xf numFmtId="0" fontId="49" fillId="0" borderId="0" xfId="1614" applyFont="1" applyAlignment="1">
      <alignment vertical="center"/>
    </xf>
    <xf numFmtId="0" fontId="49" fillId="0" borderId="0" xfId="1614" applyFont="1" applyAlignment="1">
      <alignment horizontal="center"/>
    </xf>
    <xf numFmtId="0" fontId="92" fillId="0" borderId="0" xfId="1614" applyFont="1" applyAlignment="1">
      <alignment horizontal="center" vertical="center" wrapText="1"/>
    </xf>
    <xf numFmtId="0" fontId="53" fillId="0" borderId="20" xfId="1652" applyFont="1" applyBorder="1" applyAlignment="1">
      <alignment horizontal="center" vertical="center"/>
    </xf>
    <xf numFmtId="0" fontId="53" fillId="0" borderId="21" xfId="1652" applyFont="1" applyBorder="1" applyAlignment="1">
      <alignment vertical="center" wrapText="1"/>
    </xf>
    <xf numFmtId="37" fontId="53" fillId="0" borderId="27" xfId="1614" applyNumberFormat="1" applyFont="1" applyBorder="1" applyAlignment="1">
      <alignment horizontal="center"/>
    </xf>
    <xf numFmtId="37" fontId="63" fillId="0" borderId="32" xfId="1614" applyNumberFormat="1" applyFont="1" applyBorder="1" applyAlignment="1">
      <alignment horizontal="center"/>
    </xf>
    <xf numFmtId="0" fontId="21" fillId="0" borderId="21" xfId="1652" applyFont="1" applyBorder="1" applyAlignment="1">
      <alignment horizontal="center" vertical="center"/>
    </xf>
    <xf numFmtId="0" fontId="44" fillId="0" borderId="0" xfId="1448" applyFont="1" applyAlignment="1">
      <alignment horizontal="left" vertical="center"/>
    </xf>
    <xf numFmtId="0" fontId="54" fillId="0" borderId="0" xfId="1448" applyFont="1" applyAlignment="1">
      <alignment horizontal="left" wrapText="1"/>
    </xf>
    <xf numFmtId="3" fontId="61" fillId="0" borderId="0" xfId="1614" applyNumberFormat="1" applyFont="1" applyAlignment="1">
      <alignment horizontal="center"/>
    </xf>
    <xf numFmtId="0" fontId="53" fillId="0" borderId="0" xfId="1614" applyFont="1"/>
    <xf numFmtId="0" fontId="45" fillId="0" borderId="21" xfId="1448" applyFont="1" applyBorder="1" applyAlignment="1">
      <alignment horizontal="center" vertical="center"/>
    </xf>
    <xf numFmtId="0" fontId="45" fillId="0" borderId="21" xfId="1448" applyFont="1" applyBorder="1" applyAlignment="1">
      <alignment horizontal="left" wrapText="1"/>
    </xf>
    <xf numFmtId="0" fontId="54" fillId="0" borderId="21" xfId="1448" applyFont="1" applyBorder="1" applyAlignment="1">
      <alignment horizontal="center" wrapText="1"/>
    </xf>
    <xf numFmtId="0" fontId="45" fillId="0" borderId="21" xfId="1448" applyFont="1" applyBorder="1" applyAlignment="1">
      <alignment horizontal="center" vertical="center" wrapText="1"/>
    </xf>
    <xf numFmtId="3" fontId="45" fillId="0" borderId="21" xfId="1448" applyNumberFormat="1" applyFont="1" applyBorder="1" applyAlignment="1">
      <alignment horizontal="center" vertical="center" wrapText="1"/>
    </xf>
    <xf numFmtId="0" fontId="55" fillId="0" borderId="0" xfId="1448" applyFont="1" applyAlignment="1">
      <alignment horizontal="center" wrapText="1"/>
    </xf>
    <xf numFmtId="0" fontId="63" fillId="0" borderId="34" xfId="1614" applyFont="1" applyBorder="1" applyAlignment="1">
      <alignment vertical="center"/>
    </xf>
    <xf numFmtId="168" fontId="45" fillId="0" borderId="0" xfId="714" applyFont="1" applyFill="1" applyAlignment="1">
      <alignment horizontal="center" wrapText="1"/>
    </xf>
    <xf numFmtId="168" fontId="44" fillId="0" borderId="0" xfId="714" applyFont="1" applyFill="1" applyAlignment="1">
      <alignment horizontal="center" wrapText="1"/>
    </xf>
    <xf numFmtId="4" fontId="94" fillId="0" borderId="3" xfId="1448" applyNumberFormat="1" applyFont="1" applyBorder="1" applyAlignment="1">
      <alignment horizontal="center" vertical="center" wrapText="1"/>
    </xf>
    <xf numFmtId="0" fontId="45" fillId="0" borderId="0" xfId="1448" applyFont="1" applyAlignment="1">
      <alignment vertical="center" wrapText="1"/>
    </xf>
    <xf numFmtId="168" fontId="45" fillId="0" borderId="21" xfId="715" applyNumberFormat="1" applyFont="1" applyFill="1" applyBorder="1" applyAlignment="1">
      <alignment horizontal="center" vertical="center" wrapText="1"/>
    </xf>
    <xf numFmtId="168" fontId="45" fillId="0" borderId="21" xfId="714" applyFont="1" applyFill="1" applyBorder="1" applyAlignment="1">
      <alignment horizontal="center" vertical="center" wrapText="1"/>
    </xf>
    <xf numFmtId="168" fontId="45" fillId="0" borderId="33" xfId="714" applyFont="1" applyFill="1" applyBorder="1" applyAlignment="1">
      <alignment horizontal="center" vertical="center" wrapText="1"/>
    </xf>
    <xf numFmtId="43" fontId="44" fillId="0" borderId="0" xfId="1614" applyNumberFormat="1" applyFont="1" applyAlignment="1">
      <alignment horizontal="left" vertical="center"/>
    </xf>
    <xf numFmtId="37" fontId="112" fillId="0" borderId="0" xfId="1614" applyNumberFormat="1" applyAlignment="1">
      <alignment horizontal="center"/>
    </xf>
    <xf numFmtId="0" fontId="19" fillId="0" borderId="20" xfId="1652" applyFont="1" applyBorder="1" applyAlignment="1">
      <alignment horizontal="center" vertical="center"/>
    </xf>
    <xf numFmtId="0" fontId="19" fillId="0" borderId="21" xfId="1652" applyFont="1" applyBorder="1" applyAlignment="1">
      <alignment horizontal="center" vertical="center"/>
    </xf>
    <xf numFmtId="0" fontId="52" fillId="0" borderId="20" xfId="1652" applyFont="1" applyBorder="1" applyAlignment="1">
      <alignment horizontal="center" vertical="center"/>
    </xf>
    <xf numFmtId="0" fontId="52" fillId="0" borderId="21" xfId="1652" applyFont="1" applyBorder="1" applyAlignment="1">
      <alignment vertical="center" wrapText="1"/>
    </xf>
    <xf numFmtId="0" fontId="95" fillId="0" borderId="21" xfId="1614" applyFont="1" applyBorder="1" applyAlignment="1">
      <alignment horizontal="center" vertical="center" wrapText="1"/>
    </xf>
    <xf numFmtId="0" fontId="97" fillId="0" borderId="0" xfId="1652" applyFont="1" applyAlignment="1">
      <alignment horizontal="center" vertical="center"/>
    </xf>
    <xf numFmtId="0" fontId="53" fillId="0" borderId="0" xfId="1614" applyFont="1" applyAlignment="1">
      <alignment horizontal="left" vertical="center"/>
    </xf>
    <xf numFmtId="3" fontId="44" fillId="0" borderId="0" xfId="1614" applyNumberFormat="1" applyFont="1" applyAlignment="1">
      <alignment horizontal="left" vertical="center"/>
    </xf>
    <xf numFmtId="3" fontId="44" fillId="0" borderId="3" xfId="1448" applyNumberFormat="1" applyFont="1" applyBorder="1" applyAlignment="1">
      <alignment horizontal="center" vertical="center" wrapText="1"/>
    </xf>
    <xf numFmtId="0" fontId="45" fillId="0" borderId="21" xfId="1451" applyFont="1" applyBorder="1" applyAlignment="1">
      <alignment horizontal="left" vertical="center" wrapText="1"/>
    </xf>
    <xf numFmtId="0" fontId="57" fillId="0" borderId="18" xfId="1448" quotePrefix="1" applyFont="1" applyBorder="1" applyAlignment="1">
      <alignment horizontal="center" vertical="center" wrapText="1"/>
    </xf>
    <xf numFmtId="0" fontId="49" fillId="0" borderId="0" xfId="1505" applyFont="1"/>
    <xf numFmtId="0" fontId="61" fillId="0" borderId="0" xfId="1615" applyFont="1" applyAlignment="1">
      <alignment horizontal="center"/>
    </xf>
    <xf numFmtId="0" fontId="49" fillId="0" borderId="0" xfId="1615" applyFont="1" applyAlignment="1">
      <alignment horizontal="center" vertical="center"/>
    </xf>
    <xf numFmtId="0" fontId="44" fillId="0" borderId="0" xfId="1615" applyFont="1" applyAlignment="1">
      <alignment horizontal="left" vertical="center"/>
    </xf>
    <xf numFmtId="0" fontId="44" fillId="0" borderId="0" xfId="1615" applyFont="1" applyAlignment="1">
      <alignment vertical="center"/>
    </xf>
    <xf numFmtId="0" fontId="112" fillId="0" borderId="0" xfId="1615" applyAlignment="1">
      <alignment horizontal="center" vertical="center"/>
    </xf>
    <xf numFmtId="3" fontId="46" fillId="0" borderId="0" xfId="1615" applyNumberFormat="1" applyFont="1" applyAlignment="1">
      <alignment horizontal="center" vertical="center"/>
    </xf>
    <xf numFmtId="0" fontId="112" fillId="0" borderId="0" xfId="1615" applyAlignment="1">
      <alignment horizontal="center"/>
    </xf>
    <xf numFmtId="43" fontId="44" fillId="0" borderId="0" xfId="1615" applyNumberFormat="1" applyFont="1" applyAlignment="1">
      <alignment horizontal="left" vertical="center"/>
    </xf>
    <xf numFmtId="43" fontId="53" fillId="0" borderId="0" xfId="1653" applyNumberFormat="1" applyFont="1" applyAlignment="1">
      <alignment horizontal="left" vertical="center"/>
    </xf>
    <xf numFmtId="0" fontId="97" fillId="0" borderId="0" xfId="1653" applyFont="1" applyAlignment="1">
      <alignment horizontal="center" vertical="center"/>
    </xf>
    <xf numFmtId="0" fontId="45" fillId="0" borderId="35" xfId="1615" applyFont="1" applyBorder="1" applyAlignment="1">
      <alignment horizontal="center" vertical="center"/>
    </xf>
    <xf numFmtId="0" fontId="45" fillId="0" borderId="35" xfId="1615" applyFont="1" applyBorder="1" applyAlignment="1">
      <alignment horizontal="left" vertical="center" wrapText="1"/>
    </xf>
    <xf numFmtId="0" fontId="45" fillId="0" borderId="35" xfId="1615" applyFont="1" applyBorder="1" applyAlignment="1">
      <alignment horizontal="center" vertical="center" wrapText="1"/>
    </xf>
    <xf numFmtId="0" fontId="47" fillId="0" borderId="35" xfId="1615" applyFont="1" applyBorder="1" applyAlignment="1">
      <alignment horizontal="center" vertical="center"/>
    </xf>
    <xf numFmtId="0" fontId="14" fillId="0" borderId="35" xfId="1653" applyFont="1" applyBorder="1" applyAlignment="1">
      <alignment horizontal="center" vertical="center"/>
    </xf>
    <xf numFmtId="3" fontId="47" fillId="0" borderId="35" xfId="1615" applyNumberFormat="1" applyFont="1" applyBorder="1" applyAlignment="1">
      <alignment horizontal="center" vertical="center"/>
    </xf>
    <xf numFmtId="3" fontId="45" fillId="0" borderId="35" xfId="1615" applyNumberFormat="1" applyFont="1" applyBorder="1" applyAlignment="1">
      <alignment horizontal="center" vertical="center"/>
    </xf>
    <xf numFmtId="0" fontId="14" fillId="0" borderId="0" xfId="1615" applyFont="1" applyAlignment="1">
      <alignment horizontal="center"/>
    </xf>
    <xf numFmtId="0" fontId="53" fillId="0" borderId="21" xfId="1653" applyFont="1" applyBorder="1" applyAlignment="1">
      <alignment horizontal="center" vertical="center"/>
    </xf>
    <xf numFmtId="0" fontId="53" fillId="0" borderId="21" xfId="1653" applyFont="1" applyBorder="1" applyAlignment="1">
      <alignment vertical="center" wrapText="1"/>
    </xf>
    <xf numFmtId="0" fontId="45" fillId="0" borderId="21" xfId="1615" applyFont="1" applyBorder="1" applyAlignment="1">
      <alignment horizontal="center" vertical="center" wrapText="1"/>
    </xf>
    <xf numFmtId="0" fontId="47" fillId="0" borderId="21" xfId="1615" applyFont="1" applyBorder="1" applyAlignment="1">
      <alignment horizontal="center" vertical="center"/>
    </xf>
    <xf numFmtId="0" fontId="14" fillId="0" borderId="21" xfId="1653" applyFont="1" applyBorder="1" applyAlignment="1">
      <alignment horizontal="center" vertical="center"/>
    </xf>
    <xf numFmtId="3" fontId="47" fillId="0" borderId="21" xfId="1615" applyNumberFormat="1" applyFont="1" applyBorder="1" applyAlignment="1">
      <alignment horizontal="center" vertical="center"/>
    </xf>
    <xf numFmtId="3" fontId="45" fillId="0" borderId="21" xfId="1615" applyNumberFormat="1" applyFont="1" applyBorder="1" applyAlignment="1">
      <alignment horizontal="center" vertical="center"/>
    </xf>
    <xf numFmtId="0" fontId="62" fillId="0" borderId="0" xfId="1615" applyFont="1" applyAlignment="1">
      <alignment horizontal="center"/>
    </xf>
    <xf numFmtId="3" fontId="14" fillId="0" borderId="21" xfId="1653" applyNumberFormat="1" applyFont="1" applyBorder="1" applyAlignment="1">
      <alignment horizontal="center" vertical="center"/>
    </xf>
    <xf numFmtId="0" fontId="49" fillId="0" borderId="0" xfId="1615" applyFont="1" applyAlignment="1">
      <alignment vertical="center"/>
    </xf>
    <xf numFmtId="0" fontId="49" fillId="0" borderId="33" xfId="1615" applyFont="1" applyBorder="1" applyAlignment="1">
      <alignment horizontal="center" vertical="center"/>
    </xf>
    <xf numFmtId="0" fontId="49" fillId="0" borderId="33" xfId="1615" applyFont="1" applyBorder="1" applyAlignment="1">
      <alignment vertical="center"/>
    </xf>
    <xf numFmtId="0" fontId="112" fillId="0" borderId="33" xfId="1615" applyBorder="1" applyAlignment="1">
      <alignment horizontal="center" vertical="center"/>
    </xf>
    <xf numFmtId="3" fontId="46" fillId="0" borderId="33" xfId="1615" applyNumberFormat="1" applyFont="1" applyBorder="1" applyAlignment="1">
      <alignment horizontal="center" vertical="center"/>
    </xf>
    <xf numFmtId="0" fontId="53" fillId="0" borderId="0" xfId="1614" applyFont="1" applyAlignment="1">
      <alignment horizontal="center" vertical="center"/>
    </xf>
    <xf numFmtId="0" fontId="96" fillId="0" borderId="0" xfId="1448" applyFont="1" applyAlignment="1">
      <alignment horizontal="center" wrapText="1"/>
    </xf>
    <xf numFmtId="0" fontId="51" fillId="0" borderId="0" xfId="1614" applyFont="1" applyAlignment="1">
      <alignment vertical="center"/>
    </xf>
    <xf numFmtId="0" fontId="61" fillId="0" borderId="0" xfId="1614" applyFont="1" applyAlignment="1">
      <alignment horizontal="center" vertical="center"/>
    </xf>
    <xf numFmtId="0" fontId="61" fillId="0" borderId="0" xfId="1614" applyFont="1" applyAlignment="1">
      <alignment vertical="center"/>
    </xf>
    <xf numFmtId="3" fontId="101" fillId="0" borderId="0" xfId="1614" applyNumberFormat="1" applyFont="1" applyAlignment="1">
      <alignment horizontal="center" vertical="center"/>
    </xf>
    <xf numFmtId="0" fontId="101" fillId="0" borderId="0" xfId="1614" applyFont="1" applyAlignment="1">
      <alignment horizontal="center" vertical="center"/>
    </xf>
    <xf numFmtId="0" fontId="20" fillId="0" borderId="0" xfId="1614" applyFont="1" applyAlignment="1">
      <alignment horizontal="center"/>
    </xf>
    <xf numFmtId="0" fontId="92" fillId="0" borderId="0" xfId="1614" applyFont="1" applyAlignment="1">
      <alignment horizontal="center" vertical="center"/>
    </xf>
    <xf numFmtId="0" fontId="92" fillId="0" borderId="0" xfId="1614" applyFont="1" applyAlignment="1">
      <alignment vertical="center"/>
    </xf>
    <xf numFmtId="206" fontId="45" fillId="0" borderId="21" xfId="2549" applyNumberFormat="1" applyFont="1" applyFill="1" applyBorder="1" applyAlignment="1">
      <alignment horizontal="center" vertical="center" wrapText="1"/>
    </xf>
    <xf numFmtId="0" fontId="95" fillId="0" borderId="0" xfId="1448" applyFont="1" applyAlignment="1">
      <alignment horizontal="center" wrapText="1"/>
    </xf>
    <xf numFmtId="0" fontId="96" fillId="0" borderId="0" xfId="1448" applyFont="1" applyAlignment="1">
      <alignment wrapText="1"/>
    </xf>
    <xf numFmtId="0" fontId="103" fillId="0" borderId="0" xfId="1448" applyFont="1" applyAlignment="1">
      <alignment horizontal="center" wrapText="1"/>
    </xf>
    <xf numFmtId="0" fontId="102" fillId="0" borderId="0" xfId="1448" applyFont="1" applyAlignment="1">
      <alignment horizontal="center" wrapText="1"/>
    </xf>
    <xf numFmtId="0" fontId="102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/>
    </xf>
    <xf numFmtId="0" fontId="95" fillId="0" borderId="0" xfId="1448" applyFont="1" applyAlignment="1">
      <alignment horizontal="center" vertical="center"/>
    </xf>
    <xf numFmtId="0" fontId="95" fillId="0" borderId="0" xfId="1448" applyFont="1" applyAlignment="1">
      <alignment vertical="center" wrapText="1"/>
    </xf>
    <xf numFmtId="0" fontId="95" fillId="0" borderId="0" xfId="527" applyNumberFormat="1" applyFont="1" applyFill="1" applyBorder="1" applyAlignment="1">
      <alignment horizontal="center" wrapText="1"/>
    </xf>
    <xf numFmtId="41" fontId="96" fillId="0" borderId="0" xfId="1448" applyNumberFormat="1" applyFont="1" applyAlignment="1">
      <alignment wrapText="1"/>
    </xf>
    <xf numFmtId="41" fontId="96" fillId="0" borderId="0" xfId="527" applyNumberFormat="1" applyFont="1" applyFill="1" applyAlignment="1">
      <alignment wrapText="1"/>
    </xf>
    <xf numFmtId="0" fontId="96" fillId="0" borderId="0" xfId="1448" applyFont="1" applyAlignment="1">
      <alignment vertical="top" wrapText="1"/>
    </xf>
    <xf numFmtId="0" fontId="95" fillId="0" borderId="0" xfId="527" applyNumberFormat="1" applyFont="1" applyFill="1" applyAlignment="1">
      <alignment horizontal="center" wrapText="1"/>
    </xf>
    <xf numFmtId="0" fontId="96" fillId="0" borderId="0" xfId="527" applyNumberFormat="1" applyFont="1" applyFill="1" applyAlignment="1">
      <alignment horizontal="center" wrapText="1"/>
    </xf>
    <xf numFmtId="168" fontId="45" fillId="0" borderId="21" xfId="717" applyNumberFormat="1" applyFont="1" applyFill="1" applyBorder="1" applyAlignment="1" applyProtection="1">
      <alignment horizontal="center" vertical="center" wrapText="1"/>
    </xf>
    <xf numFmtId="41" fontId="45" fillId="0" borderId="21" xfId="1451" applyNumberFormat="1" applyFont="1" applyBorder="1" applyAlignment="1">
      <alignment horizontal="center" vertical="center" wrapText="1"/>
    </xf>
    <xf numFmtId="168" fontId="57" fillId="0" borderId="21" xfId="717" applyNumberFormat="1" applyFont="1" applyFill="1" applyBorder="1" applyAlignment="1" applyProtection="1">
      <alignment horizontal="center" vertical="center" wrapText="1"/>
    </xf>
    <xf numFmtId="0" fontId="45" fillId="0" borderId="21" xfId="1451" applyFont="1" applyBorder="1" applyAlignment="1">
      <alignment horizontal="center" vertical="center" wrapText="1"/>
    </xf>
    <xf numFmtId="168" fontId="45" fillId="0" borderId="21" xfId="728" applyFont="1" applyFill="1" applyBorder="1" applyAlignment="1" applyProtection="1">
      <alignment horizontal="center" vertical="center" wrapText="1"/>
    </xf>
    <xf numFmtId="3" fontId="45" fillId="0" borderId="21" xfId="1450" applyNumberFormat="1" applyFont="1" applyBorder="1" applyAlignment="1">
      <alignment horizontal="center" vertical="center" wrapText="1"/>
    </xf>
    <xf numFmtId="168" fontId="45" fillId="0" borderId="21" xfId="728" applyFont="1" applyFill="1" applyBorder="1" applyAlignment="1">
      <alignment horizontal="center" vertical="center" wrapText="1"/>
    </xf>
    <xf numFmtId="0" fontId="122" fillId="0" borderId="26" xfId="1451" applyFont="1" applyBorder="1"/>
    <xf numFmtId="0" fontId="122" fillId="0" borderId="36" xfId="1451" applyFont="1" applyBorder="1"/>
    <xf numFmtId="0" fontId="122" fillId="0" borderId="48" xfId="1451" applyFont="1" applyBorder="1"/>
    <xf numFmtId="0" fontId="122" fillId="0" borderId="28" xfId="1451" applyFont="1" applyBorder="1"/>
    <xf numFmtId="0" fontId="122" fillId="0" borderId="37" xfId="1451" applyFont="1" applyBorder="1"/>
    <xf numFmtId="0" fontId="117" fillId="0" borderId="37" xfId="1451" applyFont="1" applyBorder="1" applyAlignment="1">
      <alignment vertical="center"/>
    </xf>
    <xf numFmtId="0" fontId="122" fillId="0" borderId="34" xfId="1451" applyFont="1" applyBorder="1"/>
    <xf numFmtId="0" fontId="122" fillId="0" borderId="19" xfId="1451" applyFont="1" applyBorder="1"/>
    <xf numFmtId="0" fontId="117" fillId="0" borderId="19" xfId="1451" applyFont="1" applyBorder="1" applyAlignment="1">
      <alignment vertical="center"/>
    </xf>
    <xf numFmtId="0" fontId="117" fillId="0" borderId="19" xfId="1451" applyFont="1" applyBorder="1" applyAlignment="1">
      <alignment horizontal="center" vertical="center"/>
    </xf>
    <xf numFmtId="0" fontId="117" fillId="0" borderId="31" xfId="1451" applyFont="1" applyBorder="1" applyAlignment="1">
      <alignment vertical="center"/>
    </xf>
    <xf numFmtId="0" fontId="44" fillId="0" borderId="3" xfId="1448" applyFont="1" applyBorder="1" applyAlignment="1">
      <alignment horizontal="center" vertical="center"/>
    </xf>
    <xf numFmtId="0" fontId="44" fillId="0" borderId="3" xfId="1448" applyFont="1" applyBorder="1" applyAlignment="1">
      <alignment horizontal="left" vertical="center" wrapText="1"/>
    </xf>
    <xf numFmtId="0" fontId="44" fillId="0" borderId="3" xfId="1448" applyFont="1" applyBorder="1" applyAlignment="1">
      <alignment horizontal="center" vertical="center" wrapText="1"/>
    </xf>
    <xf numFmtId="168" fontId="44" fillId="0" borderId="3" xfId="715" applyNumberFormat="1" applyFont="1" applyFill="1" applyBorder="1" applyAlignment="1">
      <alignment horizontal="center" vertical="center" wrapText="1"/>
    </xf>
    <xf numFmtId="3" fontId="131" fillId="32" borderId="3" xfId="1448" applyNumberFormat="1" applyFont="1" applyFill="1" applyBorder="1" applyAlignment="1">
      <alignment horizontal="center" vertical="center" wrapText="1"/>
    </xf>
    <xf numFmtId="0" fontId="45" fillId="0" borderId="21" xfId="1451" applyFont="1" applyBorder="1" applyAlignment="1">
      <alignment horizontal="center" vertical="center"/>
    </xf>
    <xf numFmtId="0" fontId="137" fillId="0" borderId="21" xfId="1451" applyFont="1" applyBorder="1" applyAlignment="1">
      <alignment horizontal="left" vertical="center" wrapText="1"/>
    </xf>
    <xf numFmtId="0" fontId="45" fillId="33" borderId="21" xfId="1451" applyFont="1" applyFill="1" applyBorder="1" applyAlignment="1">
      <alignment horizontal="left" vertical="center" wrapText="1"/>
    </xf>
    <xf numFmtId="0" fontId="45" fillId="0" borderId="21" xfId="1451" applyFont="1" applyBorder="1" applyAlignment="1">
      <alignment horizontal="left" wrapText="1"/>
    </xf>
    <xf numFmtId="0" fontId="45" fillId="0" borderId="21" xfId="1450" applyFont="1" applyBorder="1" applyAlignment="1">
      <alignment horizontal="center" vertical="center"/>
    </xf>
    <xf numFmtId="0" fontId="45" fillId="0" borderId="21" xfId="1450" applyFont="1" applyBorder="1" applyAlignment="1">
      <alignment horizontal="left" wrapText="1"/>
    </xf>
    <xf numFmtId="0" fontId="115" fillId="0" borderId="21" xfId="1615" applyFont="1" applyBorder="1" applyAlignment="1">
      <alignment vertical="top" wrapText="1"/>
    </xf>
    <xf numFmtId="43" fontId="130" fillId="0" borderId="0" xfId="523" applyFont="1" applyFill="1" applyAlignment="1">
      <alignment horizontal="left" wrapText="1"/>
    </xf>
    <xf numFmtId="0" fontId="9" fillId="0" borderId="0" xfId="2673" applyAlignment="1">
      <alignment vertical="center" wrapText="1"/>
    </xf>
    <xf numFmtId="0" fontId="9" fillId="0" borderId="0" xfId="2673" applyAlignment="1">
      <alignment horizontal="center" vertical="center" wrapText="1"/>
    </xf>
    <xf numFmtId="0" fontId="9" fillId="0" borderId="28" xfId="2673" applyBorder="1" applyAlignment="1">
      <alignment vertical="center" wrapText="1"/>
    </xf>
    <xf numFmtId="0" fontId="135" fillId="0" borderId="0" xfId="2673" applyFont="1" applyAlignment="1">
      <alignment vertical="center" wrapText="1"/>
    </xf>
    <xf numFmtId="0" fontId="98" fillId="0" borderId="0" xfId="2673" applyFont="1" applyAlignment="1">
      <alignment vertical="center" wrapText="1"/>
    </xf>
    <xf numFmtId="2" fontId="106" fillId="0" borderId="0" xfId="2673" applyNumberFormat="1" applyFont="1" applyAlignment="1">
      <alignment horizontal="center" vertical="center" wrapText="1"/>
    </xf>
    <xf numFmtId="0" fontId="108" fillId="0" borderId="0" xfId="2673" applyFont="1" applyAlignment="1">
      <alignment horizontal="center" vertical="center" wrapText="1"/>
    </xf>
    <xf numFmtId="0" fontId="135" fillId="0" borderId="28" xfId="2673" applyFont="1" applyBorder="1" applyAlignment="1">
      <alignment vertical="center" wrapText="1"/>
    </xf>
    <xf numFmtId="0" fontId="11" fillId="0" borderId="21" xfId="1615" applyFont="1" applyBorder="1" applyAlignment="1">
      <alignment horizontal="center" vertical="center"/>
    </xf>
    <xf numFmtId="0" fontId="122" fillId="33" borderId="0" xfId="1451" applyFont="1" applyFill="1"/>
    <xf numFmtId="0" fontId="122" fillId="33" borderId="26" xfId="1451" applyFont="1" applyFill="1" applyBorder="1"/>
    <xf numFmtId="0" fontId="122" fillId="33" borderId="36" xfId="1451" applyFont="1" applyFill="1" applyBorder="1"/>
    <xf numFmtId="0" fontId="122" fillId="33" borderId="48" xfId="1451" applyFont="1" applyFill="1" applyBorder="1"/>
    <xf numFmtId="0" fontId="122" fillId="33" borderId="28" xfId="1451" applyFont="1" applyFill="1" applyBorder="1"/>
    <xf numFmtId="0" fontId="122" fillId="33" borderId="37" xfId="1451" applyFont="1" applyFill="1" applyBorder="1"/>
    <xf numFmtId="0" fontId="123" fillId="33" borderId="0" xfId="1451" applyFont="1" applyFill="1" applyAlignment="1">
      <alignment vertical="center"/>
    </xf>
    <xf numFmtId="0" fontId="124" fillId="33" borderId="0" xfId="1451" applyFont="1" applyFill="1" applyAlignment="1">
      <alignment vertical="center"/>
    </xf>
    <xf numFmtId="0" fontId="125" fillId="33" borderId="0" xfId="1451" applyFont="1" applyFill="1" applyAlignment="1">
      <alignment horizontal="center" vertical="center"/>
    </xf>
    <xf numFmtId="0" fontId="126" fillId="33" borderId="0" xfId="1451" applyFont="1" applyFill="1"/>
    <xf numFmtId="0" fontId="127" fillId="33" borderId="0" xfId="1451" applyFont="1" applyFill="1"/>
    <xf numFmtId="0" fontId="117" fillId="33" borderId="0" xfId="1451" applyFont="1" applyFill="1" applyAlignment="1">
      <alignment vertical="center"/>
    </xf>
    <xf numFmtId="0" fontId="117" fillId="33" borderId="37" xfId="1451" applyFont="1" applyFill="1" applyBorder="1" applyAlignment="1">
      <alignment vertical="center"/>
    </xf>
    <xf numFmtId="0" fontId="127" fillId="33" borderId="0" xfId="1451" applyFont="1" applyFill="1" applyAlignment="1">
      <alignment horizontal="center"/>
    </xf>
    <xf numFmtId="0" fontId="117" fillId="33" borderId="0" xfId="1451" applyFont="1" applyFill="1" applyAlignment="1">
      <alignment horizontal="center" vertical="center"/>
    </xf>
    <xf numFmtId="0" fontId="117" fillId="33" borderId="37" xfId="1451" applyFont="1" applyFill="1" applyBorder="1" applyAlignment="1">
      <alignment horizontal="center" vertical="center"/>
    </xf>
    <xf numFmtId="0" fontId="128" fillId="33" borderId="0" xfId="1451" applyFont="1" applyFill="1" applyAlignment="1">
      <alignment vertical="center"/>
    </xf>
    <xf numFmtId="0" fontId="128" fillId="33" borderId="37" xfId="1451" applyFont="1" applyFill="1" applyBorder="1" applyAlignment="1">
      <alignment vertical="center"/>
    </xf>
    <xf numFmtId="0" fontId="122" fillId="33" borderId="34" xfId="1451" applyFont="1" applyFill="1" applyBorder="1"/>
    <xf numFmtId="0" fontId="122" fillId="33" borderId="19" xfId="1451" applyFont="1" applyFill="1" applyBorder="1"/>
    <xf numFmtId="0" fontId="117" fillId="33" borderId="19" xfId="1451" applyFont="1" applyFill="1" applyBorder="1" applyAlignment="1">
      <alignment vertical="center"/>
    </xf>
    <xf numFmtId="0" fontId="117" fillId="33" borderId="19" xfId="1451" applyFont="1" applyFill="1" applyBorder="1" applyAlignment="1">
      <alignment horizontal="center" vertical="center"/>
    </xf>
    <xf numFmtId="0" fontId="117" fillId="33" borderId="31" xfId="1451" applyFont="1" applyFill="1" applyBorder="1" applyAlignment="1">
      <alignment vertical="center"/>
    </xf>
    <xf numFmtId="0" fontId="122" fillId="33" borderId="31" xfId="1451" applyFont="1" applyFill="1" applyBorder="1"/>
    <xf numFmtId="0" fontId="116" fillId="33" borderId="0" xfId="0" applyFont="1" applyFill="1" applyAlignment="1">
      <alignment horizontal="center"/>
    </xf>
    <xf numFmtId="0" fontId="116" fillId="33" borderId="26" xfId="0" applyFont="1" applyFill="1" applyBorder="1" applyAlignment="1">
      <alignment horizontal="center"/>
    </xf>
    <xf numFmtId="0" fontId="116" fillId="33" borderId="36" xfId="0" applyFont="1" applyFill="1" applyBorder="1" applyAlignment="1">
      <alignment horizontal="center"/>
    </xf>
    <xf numFmtId="0" fontId="116" fillId="33" borderId="28" xfId="0" applyFont="1" applyFill="1" applyBorder="1" applyAlignment="1">
      <alignment horizontal="center"/>
    </xf>
    <xf numFmtId="0" fontId="117" fillId="33" borderId="18" xfId="0" applyFont="1" applyFill="1" applyBorder="1" applyAlignment="1">
      <alignment horizontal="left"/>
    </xf>
    <xf numFmtId="0" fontId="116" fillId="33" borderId="37" xfId="0" applyFont="1" applyFill="1" applyBorder="1" applyAlignment="1">
      <alignment horizontal="center"/>
    </xf>
    <xf numFmtId="0" fontId="116" fillId="33" borderId="3" xfId="0" applyFont="1" applyFill="1" applyBorder="1" applyAlignment="1">
      <alignment horizontal="center"/>
    </xf>
    <xf numFmtId="0" fontId="138" fillId="33" borderId="0" xfId="0" applyFont="1" applyFill="1" applyAlignment="1">
      <alignment horizontal="center"/>
    </xf>
    <xf numFmtId="0" fontId="118" fillId="33" borderId="28" xfId="0" applyFont="1" applyFill="1" applyBorder="1" applyAlignment="1">
      <alignment horizontal="center"/>
    </xf>
    <xf numFmtId="0" fontId="118" fillId="33" borderId="0" xfId="0" applyFont="1" applyFill="1" applyAlignment="1">
      <alignment horizontal="center"/>
    </xf>
    <xf numFmtId="0" fontId="116" fillId="33" borderId="38" xfId="0" applyFont="1" applyFill="1" applyBorder="1" applyAlignment="1">
      <alignment horizontal="center"/>
    </xf>
    <xf numFmtId="0" fontId="93" fillId="33" borderId="40" xfId="0" applyFont="1" applyFill="1" applyBorder="1" applyAlignment="1">
      <alignment horizontal="center" vertical="center"/>
    </xf>
    <xf numFmtId="0" fontId="93" fillId="33" borderId="47" xfId="0" applyFont="1" applyFill="1" applyBorder="1" applyAlignment="1">
      <alignment horizontal="center" vertical="center"/>
    </xf>
    <xf numFmtId="0" fontId="116" fillId="33" borderId="3" xfId="0" applyFont="1" applyFill="1" applyBorder="1" applyAlignment="1">
      <alignment horizontal="center" vertical="center"/>
    </xf>
    <xf numFmtId="0" fontId="116" fillId="33" borderId="39" xfId="0" applyFont="1" applyFill="1" applyBorder="1" applyAlignment="1">
      <alignment horizontal="center" vertical="center"/>
    </xf>
    <xf numFmtId="0" fontId="119" fillId="33" borderId="0" xfId="0" applyFont="1" applyFill="1" applyAlignment="1">
      <alignment horizontal="center"/>
    </xf>
    <xf numFmtId="0" fontId="93" fillId="33" borderId="68" xfId="0" applyFont="1" applyFill="1" applyBorder="1" applyAlignment="1">
      <alignment horizontal="center" vertical="center"/>
    </xf>
    <xf numFmtId="0" fontId="116" fillId="33" borderId="3" xfId="0" applyFont="1" applyFill="1" applyBorder="1" applyAlignment="1">
      <alignment vertical="top" wrapText="1"/>
    </xf>
    <xf numFmtId="0" fontId="116" fillId="33" borderId="39" xfId="0" applyFont="1" applyFill="1" applyBorder="1" applyAlignment="1">
      <alignment vertical="top" wrapText="1"/>
    </xf>
    <xf numFmtId="0" fontId="120" fillId="33" borderId="69" xfId="0" applyFont="1" applyFill="1" applyBorder="1" applyAlignment="1">
      <alignment horizontal="center" vertical="center"/>
    </xf>
    <xf numFmtId="49" fontId="116" fillId="33" borderId="7" xfId="0" applyNumberFormat="1" applyFont="1" applyFill="1" applyBorder="1" applyAlignment="1">
      <alignment horizontal="center" vertical="top" wrapText="1"/>
    </xf>
    <xf numFmtId="49" fontId="116" fillId="33" borderId="41" xfId="0" applyNumberFormat="1" applyFont="1" applyFill="1" applyBorder="1" applyAlignment="1">
      <alignment horizontal="center" vertical="top" wrapText="1"/>
    </xf>
    <xf numFmtId="0" fontId="120" fillId="33" borderId="70" xfId="0" applyFont="1" applyFill="1" applyBorder="1" applyAlignment="1">
      <alignment horizontal="center" vertical="center"/>
    </xf>
    <xf numFmtId="0" fontId="116" fillId="33" borderId="7" xfId="0" applyFont="1" applyFill="1" applyBorder="1" applyAlignment="1">
      <alignment horizontal="center" vertical="top" wrapText="1"/>
    </xf>
    <xf numFmtId="0" fontId="116" fillId="33" borderId="41" xfId="0" applyFont="1" applyFill="1" applyBorder="1" applyAlignment="1">
      <alignment horizontal="center" vertical="top" wrapText="1"/>
    </xf>
    <xf numFmtId="0" fontId="121" fillId="33" borderId="71" xfId="0" applyFont="1" applyFill="1" applyBorder="1" applyAlignment="1">
      <alignment horizontal="center" vertical="top" wrapText="1"/>
    </xf>
    <xf numFmtId="0" fontId="121" fillId="33" borderId="72" xfId="0" applyFont="1" applyFill="1" applyBorder="1" applyAlignment="1">
      <alignment horizontal="center" vertical="top" wrapText="1"/>
    </xf>
    <xf numFmtId="0" fontId="116" fillId="33" borderId="0" xfId="0" applyFont="1" applyFill="1" applyAlignment="1">
      <alignment vertical="top" wrapText="1"/>
    </xf>
    <xf numFmtId="0" fontId="116" fillId="33" borderId="37" xfId="0" applyFont="1" applyFill="1" applyBorder="1" applyAlignment="1">
      <alignment vertical="top" wrapText="1"/>
    </xf>
    <xf numFmtId="0" fontId="116" fillId="33" borderId="42" xfId="0" applyFont="1" applyFill="1" applyBorder="1" applyAlignment="1">
      <alignment horizontal="center"/>
    </xf>
    <xf numFmtId="0" fontId="116" fillId="33" borderId="43" xfId="0" applyFont="1" applyFill="1" applyBorder="1" applyAlignment="1">
      <alignment vertical="top" wrapText="1"/>
    </xf>
    <xf numFmtId="0" fontId="116" fillId="33" borderId="44" xfId="0" applyFont="1" applyFill="1" applyBorder="1" applyAlignment="1">
      <alignment vertical="top" wrapText="1"/>
    </xf>
    <xf numFmtId="0" fontId="116" fillId="33" borderId="45" xfId="0" applyFont="1" applyFill="1" applyBorder="1" applyAlignment="1">
      <alignment vertical="top" wrapText="1"/>
    </xf>
    <xf numFmtId="0" fontId="121" fillId="33" borderId="28" xfId="0" applyFont="1" applyFill="1" applyBorder="1" applyAlignment="1">
      <alignment horizontal="center"/>
    </xf>
    <xf numFmtId="0" fontId="121" fillId="33" borderId="0" xfId="0" applyFont="1" applyFill="1" applyAlignment="1">
      <alignment horizontal="center"/>
    </xf>
    <xf numFmtId="0" fontId="116" fillId="33" borderId="39" xfId="0" applyFont="1" applyFill="1" applyBorder="1" applyAlignment="1">
      <alignment horizontal="center"/>
    </xf>
    <xf numFmtId="20" fontId="116" fillId="33" borderId="39" xfId="0" applyNumberFormat="1" applyFont="1" applyFill="1" applyBorder="1" applyAlignment="1">
      <alignment horizontal="center"/>
    </xf>
    <xf numFmtId="0" fontId="116" fillId="33" borderId="42" xfId="0" applyFont="1" applyFill="1" applyBorder="1" applyAlignment="1">
      <alignment horizontal="center" vertical="center" wrapText="1"/>
    </xf>
    <xf numFmtId="0" fontId="121" fillId="33" borderId="34" xfId="0" applyFont="1" applyFill="1" applyBorder="1" applyAlignment="1">
      <alignment horizontal="center"/>
    </xf>
    <xf numFmtId="0" fontId="121" fillId="33" borderId="19" xfId="0" applyFont="1" applyFill="1" applyBorder="1" applyAlignment="1">
      <alignment horizontal="center"/>
    </xf>
    <xf numFmtId="0" fontId="116" fillId="33" borderId="19" xfId="0" applyFont="1" applyFill="1" applyBorder="1" applyAlignment="1">
      <alignment horizontal="center"/>
    </xf>
    <xf numFmtId="0" fontId="116" fillId="33" borderId="46" xfId="0" applyFont="1" applyFill="1" applyBorder="1" applyAlignment="1">
      <alignment horizontal="center"/>
    </xf>
    <xf numFmtId="0" fontId="148" fillId="0" borderId="7" xfId="2673" applyFont="1" applyBorder="1" applyAlignment="1">
      <alignment horizontal="center" vertical="center" wrapText="1"/>
    </xf>
    <xf numFmtId="0" fontId="98" fillId="0" borderId="0" xfId="2673" applyFont="1" applyAlignment="1">
      <alignment horizontal="left" vertical="center" wrapText="1"/>
    </xf>
    <xf numFmtId="0" fontId="54" fillId="0" borderId="21" xfId="1450" applyFont="1" applyBorder="1" applyAlignment="1">
      <alignment horizontal="center" wrapText="1"/>
    </xf>
    <xf numFmtId="0" fontId="45" fillId="0" borderId="21" xfId="1450" applyFont="1" applyBorder="1" applyAlignment="1">
      <alignment horizontal="center" vertical="center" wrapText="1"/>
    </xf>
    <xf numFmtId="3" fontId="45" fillId="0" borderId="21" xfId="1451" applyNumberFormat="1" applyFont="1" applyBorder="1" applyAlignment="1">
      <alignment horizontal="center" vertical="center" wrapText="1"/>
    </xf>
    <xf numFmtId="41" fontId="45" fillId="0" borderId="21" xfId="1450" applyNumberFormat="1" applyFont="1" applyBorder="1" applyAlignment="1">
      <alignment horizontal="center" vertical="center" wrapText="1"/>
    </xf>
    <xf numFmtId="3" fontId="45" fillId="0" borderId="0" xfId="1451" applyNumberFormat="1" applyFont="1" applyAlignment="1">
      <alignment horizontal="center" vertical="center" wrapText="1"/>
    </xf>
    <xf numFmtId="0" fontId="22" fillId="0" borderId="0" xfId="1649"/>
    <xf numFmtId="3" fontId="137" fillId="0" borderId="21" xfId="1451" applyNumberFormat="1" applyFont="1" applyBorder="1" applyAlignment="1">
      <alignment horizontal="center" vertical="center" wrapText="1"/>
    </xf>
    <xf numFmtId="3" fontId="11" fillId="0" borderId="21" xfId="1615" applyNumberFormat="1" applyFont="1" applyBorder="1" applyAlignment="1">
      <alignment horizontal="center" vertical="center"/>
    </xf>
    <xf numFmtId="0" fontId="10" fillId="0" borderId="0" xfId="2670" applyAlignment="1">
      <alignment horizontal="center" vertical="center"/>
    </xf>
    <xf numFmtId="0" fontId="144" fillId="36" borderId="0" xfId="2670" applyFont="1" applyFill="1" applyAlignment="1">
      <alignment horizontal="left" vertical="center"/>
    </xf>
    <xf numFmtId="0" fontId="144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left" vertical="center"/>
    </xf>
    <xf numFmtId="0" fontId="146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right" vertical="center"/>
    </xf>
    <xf numFmtId="9" fontId="147" fillId="36" borderId="0" xfId="2671" applyFont="1" applyFill="1" applyBorder="1" applyAlignment="1" applyProtection="1">
      <alignment horizontal="right" vertical="center"/>
    </xf>
    <xf numFmtId="43" fontId="146" fillId="36" borderId="0" xfId="2672" applyFont="1" applyFill="1" applyBorder="1" applyAlignment="1" applyProtection="1">
      <alignment horizontal="right" vertical="center"/>
    </xf>
    <xf numFmtId="43" fontId="147" fillId="36" borderId="0" xfId="2672" applyFont="1" applyFill="1" applyBorder="1" applyAlignment="1" applyProtection="1">
      <alignment horizontal="right" vertical="center"/>
    </xf>
    <xf numFmtId="10" fontId="147" fillId="36" borderId="0" xfId="2671" applyNumberFormat="1" applyFont="1" applyFill="1" applyBorder="1" applyAlignment="1" applyProtection="1">
      <alignment horizontal="right" vertical="center"/>
    </xf>
    <xf numFmtId="168" fontId="146" fillId="36" borderId="0" xfId="2672" applyNumberFormat="1" applyFont="1" applyFill="1" applyBorder="1" applyAlignment="1" applyProtection="1">
      <alignment horizontal="right" vertical="center"/>
    </xf>
    <xf numFmtId="0" fontId="140" fillId="0" borderId="0" xfId="2670" applyFont="1" applyAlignment="1">
      <alignment horizontal="left" vertical="center"/>
    </xf>
    <xf numFmtId="0" fontId="143" fillId="0" borderId="0" xfId="2670" applyFont="1" applyAlignment="1">
      <alignment horizontal="left" vertical="center"/>
    </xf>
    <xf numFmtId="43" fontId="0" fillId="0" borderId="0" xfId="2672" applyFont="1" applyAlignment="1" applyProtection="1">
      <alignment horizontal="center" vertical="center"/>
    </xf>
    <xf numFmtId="0" fontId="113" fillId="0" borderId="0" xfId="1538"/>
    <xf numFmtId="43" fontId="113" fillId="0" borderId="0" xfId="1538" applyNumberFormat="1"/>
    <xf numFmtId="0" fontId="62" fillId="0" borderId="0" xfId="1538" applyFont="1"/>
    <xf numFmtId="0" fontId="129" fillId="0" borderId="0" xfId="1538" applyFont="1"/>
    <xf numFmtId="0" fontId="53" fillId="0" borderId="44" xfId="1538" applyFont="1" applyBorder="1" applyAlignment="1">
      <alignment horizontal="left"/>
    </xf>
    <xf numFmtId="0" fontId="113" fillId="38" borderId="3" xfId="1538" applyFill="1" applyBorder="1" applyAlignment="1">
      <alignment vertical="center"/>
    </xf>
    <xf numFmtId="0" fontId="113" fillId="38" borderId="0" xfId="1538" applyFill="1"/>
    <xf numFmtId="0" fontId="62" fillId="38" borderId="0" xfId="1538" applyFont="1" applyFill="1"/>
    <xf numFmtId="0" fontId="104" fillId="0" borderId="0" xfId="1538" applyFont="1" applyAlignment="1">
      <alignment horizontal="center" vertical="center" wrapText="1"/>
    </xf>
    <xf numFmtId="0" fontId="113" fillId="38" borderId="3" xfId="1538" applyFill="1" applyBorder="1" applyAlignment="1">
      <alignment horizontal="center" vertical="center"/>
    </xf>
    <xf numFmtId="0" fontId="113" fillId="0" borderId="0" xfId="1538" applyAlignment="1">
      <alignment horizontal="center" vertical="center"/>
    </xf>
    <xf numFmtId="1" fontId="113" fillId="0" borderId="0" xfId="1538" applyNumberFormat="1"/>
    <xf numFmtId="0" fontId="113" fillId="0" borderId="3" xfId="1538" applyBorder="1"/>
    <xf numFmtId="43" fontId="0" fillId="0" borderId="3" xfId="1026" applyFont="1" applyFill="1" applyBorder="1" applyProtection="1"/>
    <xf numFmtId="43" fontId="113" fillId="0" borderId="3" xfId="1538" applyNumberFormat="1" applyBorder="1"/>
    <xf numFmtId="43" fontId="141" fillId="0" borderId="3" xfId="1026" applyFont="1" applyBorder="1" applyProtection="1"/>
    <xf numFmtId="43" fontId="0" fillId="0" borderId="3" xfId="1026" applyFont="1" applyBorder="1" applyProtection="1"/>
    <xf numFmtId="43" fontId="129" fillId="0" borderId="3" xfId="1538" applyNumberFormat="1" applyFont="1" applyBorder="1"/>
    <xf numFmtId="0" fontId="62" fillId="0" borderId="3" xfId="1538" applyFont="1" applyBorder="1"/>
    <xf numFmtId="41" fontId="113" fillId="0" borderId="3" xfId="1538" applyNumberFormat="1" applyBorder="1"/>
    <xf numFmtId="43" fontId="105" fillId="0" borderId="3" xfId="1026" applyFont="1" applyFill="1" applyBorder="1" applyProtection="1"/>
    <xf numFmtId="0" fontId="50" fillId="0" borderId="0" xfId="1538" applyFont="1"/>
    <xf numFmtId="0" fontId="50" fillId="0" borderId="3" xfId="1538" applyFont="1" applyBorder="1" applyAlignment="1">
      <alignment horizontal="center"/>
    </xf>
    <xf numFmtId="43" fontId="50" fillId="0" borderId="3" xfId="1538" applyNumberFormat="1" applyFont="1" applyBorder="1"/>
    <xf numFmtId="0" fontId="113" fillId="29" borderId="0" xfId="1538" applyFill="1"/>
    <xf numFmtId="0" fontId="50" fillId="0" borderId="0" xfId="1538" applyFont="1" applyAlignment="1">
      <alignment horizontal="center"/>
    </xf>
    <xf numFmtId="43" fontId="50" fillId="0" borderId="0" xfId="1538" applyNumberFormat="1" applyFont="1"/>
    <xf numFmtId="0" fontId="113" fillId="29" borderId="3" xfId="1538" applyFill="1" applyBorder="1"/>
    <xf numFmtId="168" fontId="113" fillId="29" borderId="3" xfId="1538" applyNumberFormat="1" applyFill="1" applyBorder="1" applyAlignment="1">
      <alignment horizontal="right"/>
    </xf>
    <xf numFmtId="166" fontId="113" fillId="0" borderId="0" xfId="1538" applyNumberFormat="1"/>
    <xf numFmtId="43" fontId="113" fillId="29" borderId="3" xfId="1538" applyNumberFormat="1" applyFill="1" applyBorder="1" applyAlignment="1">
      <alignment horizontal="right"/>
    </xf>
    <xf numFmtId="43" fontId="0" fillId="29" borderId="3" xfId="1026" applyFont="1" applyFill="1" applyBorder="1" applyProtection="1"/>
    <xf numFmtId="40" fontId="113" fillId="29" borderId="3" xfId="1538" applyNumberFormat="1" applyFill="1" applyBorder="1"/>
    <xf numFmtId="10" fontId="113" fillId="29" borderId="3" xfId="1538" applyNumberFormat="1" applyFill="1" applyBorder="1"/>
    <xf numFmtId="0" fontId="150" fillId="0" borderId="0" xfId="1614" applyFont="1" applyAlignment="1">
      <alignment horizontal="center"/>
    </xf>
    <xf numFmtId="0" fontId="151" fillId="0" borderId="0" xfId="1614" applyFont="1" applyAlignment="1">
      <alignment horizontal="center" vertical="center"/>
    </xf>
    <xf numFmtId="0" fontId="152" fillId="0" borderId="0" xfId="1614" applyFont="1" applyAlignment="1">
      <alignment horizontal="left" vertical="center"/>
    </xf>
    <xf numFmtId="0" fontId="152" fillId="0" borderId="0" xfId="1614" applyFont="1" applyAlignment="1">
      <alignment vertical="center"/>
    </xf>
    <xf numFmtId="0" fontId="153" fillId="0" borderId="0" xfId="1614" applyFont="1" applyAlignment="1">
      <alignment horizontal="center" vertical="center"/>
    </xf>
    <xf numFmtId="3" fontId="151" fillId="0" borderId="0" xfId="1614" applyNumberFormat="1" applyFont="1" applyAlignment="1">
      <alignment horizontal="center" vertical="center"/>
    </xf>
    <xf numFmtId="0" fontId="154" fillId="0" borderId="0" xfId="1614" applyFont="1" applyAlignment="1">
      <alignment horizontal="center" vertical="center"/>
    </xf>
    <xf numFmtId="0" fontId="153" fillId="0" borderId="0" xfId="1614" applyFont="1" applyAlignment="1">
      <alignment horizontal="center"/>
    </xf>
    <xf numFmtId="0" fontId="151" fillId="0" borderId="0" xfId="1614" applyFont="1" applyAlignment="1">
      <alignment horizontal="center"/>
    </xf>
    <xf numFmtId="3" fontId="150" fillId="0" borderId="0" xfId="1614" applyNumberFormat="1" applyFont="1" applyAlignment="1">
      <alignment horizontal="center"/>
    </xf>
    <xf numFmtId="0" fontId="155" fillId="0" borderId="0" xfId="1614" applyFont="1"/>
    <xf numFmtId="43" fontId="155" fillId="0" borderId="0" xfId="1652" applyNumberFormat="1" applyFont="1"/>
    <xf numFmtId="0" fontId="155" fillId="0" borderId="0" xfId="1614" applyFont="1" applyAlignment="1">
      <alignment horizontal="left" vertical="center"/>
    </xf>
    <xf numFmtId="0" fontId="155" fillId="0" borderId="0" xfId="1614" applyFont="1" applyAlignment="1">
      <alignment horizontal="center" vertical="center"/>
    </xf>
    <xf numFmtId="3" fontId="152" fillId="0" borderId="0" xfId="1614" applyNumberFormat="1" applyFont="1" applyAlignment="1">
      <alignment horizontal="left" vertical="center"/>
    </xf>
    <xf numFmtId="0" fontId="155" fillId="0" borderId="0" xfId="1614" applyFont="1" applyAlignment="1">
      <alignment horizontal="center"/>
    </xf>
    <xf numFmtId="0" fontId="152" fillId="0" borderId="0" xfId="1614" applyFont="1" applyAlignment="1">
      <alignment horizontal="center"/>
    </xf>
    <xf numFmtId="0" fontId="155" fillId="0" borderId="0" xfId="1614" applyFont="1" applyAlignment="1">
      <alignment horizontal="center" vertical="center" wrapText="1"/>
    </xf>
    <xf numFmtId="0" fontId="152" fillId="0" borderId="0" xfId="1614" applyFont="1" applyAlignment="1">
      <alignment horizontal="center" vertical="center" wrapText="1"/>
    </xf>
    <xf numFmtId="3" fontId="151" fillId="0" borderId="0" xfId="1614" applyNumberFormat="1" applyFont="1" applyAlignment="1">
      <alignment vertical="center"/>
    </xf>
    <xf numFmtId="0" fontId="152" fillId="0" borderId="20" xfId="1615" applyFont="1" applyBorder="1" applyAlignment="1">
      <alignment horizontal="center" vertical="center"/>
    </xf>
    <xf numFmtId="0" fontId="152" fillId="0" borderId="21" xfId="1615" applyFont="1" applyBorder="1" applyAlignment="1">
      <alignment horizontal="left" vertical="center" wrapText="1"/>
    </xf>
    <xf numFmtId="0" fontId="151" fillId="0" borderId="21" xfId="1614" applyFont="1" applyBorder="1" applyAlignment="1">
      <alignment horizontal="center" vertical="center" wrapText="1"/>
    </xf>
    <xf numFmtId="0" fontId="158" fillId="0" borderId="21" xfId="1614" applyFont="1" applyBorder="1" applyAlignment="1">
      <alignment horizontal="center" vertical="center"/>
    </xf>
    <xf numFmtId="3" fontId="158" fillId="0" borderId="21" xfId="1614" applyNumberFormat="1" applyFont="1" applyBorder="1" applyAlignment="1">
      <alignment horizontal="center" vertical="center"/>
    </xf>
    <xf numFmtId="3" fontId="151" fillId="0" borderId="21" xfId="1614" applyNumberFormat="1" applyFont="1" applyBorder="1" applyAlignment="1">
      <alignment horizontal="center" vertical="center"/>
    </xf>
    <xf numFmtId="3" fontId="151" fillId="0" borderId="22" xfId="1614" applyNumberFormat="1" applyFont="1" applyBorder="1" applyAlignment="1">
      <alignment horizontal="center" vertical="center"/>
    </xf>
    <xf numFmtId="3" fontId="151" fillId="0" borderId="0" xfId="1614" applyNumberFormat="1" applyFont="1" applyAlignment="1">
      <alignment horizontal="center"/>
    </xf>
    <xf numFmtId="3" fontId="150" fillId="0" borderId="0" xfId="1614" applyNumberFormat="1" applyFont="1" applyAlignment="1">
      <alignment horizontal="center" vertical="center"/>
    </xf>
    <xf numFmtId="0" fontId="158" fillId="0" borderId="0" xfId="1614" applyFont="1" applyAlignment="1">
      <alignment horizontal="center"/>
    </xf>
    <xf numFmtId="0" fontId="152" fillId="0" borderId="20" xfId="1653" applyFont="1" applyBorder="1" applyAlignment="1">
      <alignment horizontal="center" vertical="center"/>
    </xf>
    <xf numFmtId="0" fontId="152" fillId="0" borderId="21" xfId="1451" applyFont="1" applyBorder="1" applyAlignment="1">
      <alignment horizontal="left" vertical="center" wrapText="1"/>
    </xf>
    <xf numFmtId="0" fontId="153" fillId="0" borderId="21" xfId="1653" applyFont="1" applyBorder="1" applyAlignment="1">
      <alignment horizontal="center" vertical="center"/>
    </xf>
    <xf numFmtId="3" fontId="154" fillId="0" borderId="0" xfId="1614" applyNumberFormat="1" applyFont="1" applyAlignment="1">
      <alignment horizontal="center" vertical="center"/>
    </xf>
    <xf numFmtId="0" fontId="154" fillId="0" borderId="0" xfId="1614" applyFont="1" applyAlignment="1">
      <alignment horizontal="center"/>
    </xf>
    <xf numFmtId="0" fontId="153" fillId="0" borderId="20" xfId="1653" applyFont="1" applyBorder="1" applyAlignment="1">
      <alignment horizontal="center" vertical="center"/>
    </xf>
    <xf numFmtId="0" fontId="153" fillId="0" borderId="21" xfId="1652" applyFont="1" applyBorder="1" applyAlignment="1">
      <alignment vertical="center" wrapText="1"/>
    </xf>
    <xf numFmtId="0" fontId="151" fillId="0" borderId="20" xfId="1652" applyFont="1" applyBorder="1" applyAlignment="1">
      <alignment horizontal="center" vertical="center"/>
    </xf>
    <xf numFmtId="0" fontId="155" fillId="0" borderId="20" xfId="1652" applyFont="1" applyBorder="1" applyAlignment="1">
      <alignment horizontal="center" vertical="center"/>
    </xf>
    <xf numFmtId="0" fontId="155" fillId="0" borderId="21" xfId="1652" applyFont="1" applyBorder="1" applyAlignment="1">
      <alignment vertical="center" wrapText="1"/>
    </xf>
    <xf numFmtId="0" fontId="158" fillId="0" borderId="21" xfId="1652" applyFont="1" applyBorder="1" applyAlignment="1">
      <alignment horizontal="center" vertical="center"/>
    </xf>
    <xf numFmtId="0" fontId="158" fillId="0" borderId="49" xfId="1652" applyFont="1" applyBorder="1" applyAlignment="1">
      <alignment horizontal="center" vertical="center"/>
    </xf>
    <xf numFmtId="0" fontId="158" fillId="0" borderId="3" xfId="1652" applyFont="1" applyBorder="1" applyAlignment="1">
      <alignment vertical="center" wrapText="1"/>
    </xf>
    <xf numFmtId="0" fontId="151" fillId="0" borderId="3" xfId="1614" applyFont="1" applyBorder="1" applyAlignment="1">
      <alignment horizontal="center" vertical="center" wrapText="1"/>
    </xf>
    <xf numFmtId="0" fontId="158" fillId="0" borderId="3" xfId="1614" applyFont="1" applyBorder="1" applyAlignment="1">
      <alignment horizontal="center" vertical="center"/>
    </xf>
    <xf numFmtId="0" fontId="158" fillId="0" borderId="3" xfId="1652" applyFont="1" applyBorder="1" applyAlignment="1">
      <alignment horizontal="center" vertical="center"/>
    </xf>
    <xf numFmtId="206" fontId="158" fillId="0" borderId="3" xfId="1614" applyNumberFormat="1" applyFont="1" applyBorder="1" applyAlignment="1">
      <alignment horizontal="center" vertical="center"/>
    </xf>
    <xf numFmtId="3" fontId="151" fillId="0" borderId="3" xfId="1614" applyNumberFormat="1" applyFont="1" applyBorder="1" applyAlignment="1">
      <alignment horizontal="center" vertical="center"/>
    </xf>
    <xf numFmtId="3" fontId="151" fillId="0" borderId="39" xfId="1614" applyNumberFormat="1" applyFont="1" applyBorder="1" applyAlignment="1">
      <alignment horizontal="center" vertical="center"/>
    </xf>
    <xf numFmtId="0" fontId="158" fillId="0" borderId="20" xfId="1652" applyFont="1" applyBorder="1" applyAlignment="1">
      <alignment horizontal="center" vertical="center"/>
    </xf>
    <xf numFmtId="0" fontId="158" fillId="0" borderId="21" xfId="1652" applyFont="1" applyBorder="1" applyAlignment="1">
      <alignment vertical="center" wrapText="1"/>
    </xf>
    <xf numFmtId="0" fontId="151" fillId="0" borderId="23" xfId="1614" applyFont="1" applyBorder="1" applyAlignment="1">
      <alignment horizontal="center" vertical="center"/>
    </xf>
    <xf numFmtId="0" fontId="151" fillId="0" borderId="24" xfId="1614" applyFont="1" applyBorder="1" applyAlignment="1">
      <alignment horizontal="left" vertical="center"/>
    </xf>
    <xf numFmtId="0" fontId="151" fillId="0" borderId="24" xfId="1614" applyFont="1" applyBorder="1" applyAlignment="1">
      <alignment vertical="center"/>
    </xf>
    <xf numFmtId="0" fontId="158" fillId="0" borderId="24" xfId="1614" applyFont="1" applyBorder="1" applyAlignment="1">
      <alignment horizontal="center" vertical="center"/>
    </xf>
    <xf numFmtId="3" fontId="151" fillId="0" borderId="24" xfId="1614" applyNumberFormat="1" applyFont="1" applyBorder="1" applyAlignment="1">
      <alignment horizontal="center" vertical="center"/>
    </xf>
    <xf numFmtId="3" fontId="151" fillId="0" borderId="25" xfId="1614" applyNumberFormat="1" applyFont="1" applyBorder="1" applyAlignment="1">
      <alignment horizontal="center" vertical="center"/>
    </xf>
    <xf numFmtId="0" fontId="153" fillId="0" borderId="26" xfId="1614" applyFont="1" applyBorder="1" applyAlignment="1">
      <alignment horizontal="center" vertical="center"/>
    </xf>
    <xf numFmtId="37" fontId="155" fillId="0" borderId="27" xfId="1614" applyNumberFormat="1" applyFont="1" applyBorder="1" applyAlignment="1">
      <alignment horizontal="center"/>
    </xf>
    <xf numFmtId="37" fontId="153" fillId="0" borderId="27" xfId="1614" applyNumberFormat="1" applyFont="1" applyBorder="1" applyAlignment="1">
      <alignment horizontal="center"/>
    </xf>
    <xf numFmtId="37" fontId="151" fillId="0" borderId="0" xfId="1614" applyNumberFormat="1" applyFont="1" applyAlignment="1">
      <alignment horizontal="center"/>
    </xf>
    <xf numFmtId="0" fontId="153" fillId="0" borderId="28" xfId="1614" applyFont="1" applyBorder="1" applyAlignment="1">
      <alignment horizontal="center" vertical="center"/>
    </xf>
    <xf numFmtId="37" fontId="155" fillId="0" borderId="29" xfId="1614" applyNumberFormat="1" applyFont="1" applyBorder="1" applyAlignment="1">
      <alignment horizontal="center"/>
    </xf>
    <xf numFmtId="37" fontId="153" fillId="0" borderId="29" xfId="1614" applyNumberFormat="1" applyFont="1" applyBorder="1" applyAlignment="1">
      <alignment horizontal="center"/>
    </xf>
    <xf numFmtId="37" fontId="159" fillId="0" borderId="30" xfId="1614" applyNumberFormat="1" applyFont="1" applyBorder="1" applyAlignment="1">
      <alignment horizontal="center"/>
    </xf>
    <xf numFmtId="37" fontId="159" fillId="0" borderId="32" xfId="1614" applyNumberFormat="1" applyFont="1" applyBorder="1" applyAlignment="1">
      <alignment horizontal="center"/>
    </xf>
    <xf numFmtId="0" fontId="159" fillId="0" borderId="34" xfId="1614" applyFont="1" applyBorder="1" applyAlignment="1">
      <alignment vertical="center"/>
    </xf>
    <xf numFmtId="0" fontId="153" fillId="0" borderId="19" xfId="1614" applyFont="1" applyBorder="1"/>
    <xf numFmtId="0" fontId="153" fillId="0" borderId="19" xfId="1614" applyFont="1" applyBorder="1" applyAlignment="1">
      <alignment horizontal="center"/>
    </xf>
    <xf numFmtId="0" fontId="153" fillId="0" borderId="19" xfId="1614" applyFont="1" applyBorder="1" applyAlignment="1">
      <alignment horizontal="right"/>
    </xf>
    <xf numFmtId="0" fontId="153" fillId="0" borderId="31" xfId="1614" applyFont="1" applyBorder="1" applyAlignment="1">
      <alignment horizontal="right"/>
    </xf>
    <xf numFmtId="0" fontId="151" fillId="0" borderId="0" xfId="1614" applyFont="1" applyAlignment="1">
      <alignment horizontal="left" vertical="center"/>
    </xf>
    <xf numFmtId="0" fontId="151" fillId="0" borderId="0" xfId="1614" applyFont="1" applyAlignment="1">
      <alignment vertical="center"/>
    </xf>
    <xf numFmtId="0" fontId="158" fillId="0" borderId="0" xfId="1614" applyFont="1" applyAlignment="1">
      <alignment horizontal="center" vertical="center"/>
    </xf>
    <xf numFmtId="41" fontId="158" fillId="0" borderId="0" xfId="1652" applyNumberFormat="1" applyFont="1" applyAlignment="1">
      <alignment vertical="center"/>
    </xf>
    <xf numFmtId="0" fontId="153" fillId="0" borderId="0" xfId="1652" applyFont="1" applyAlignment="1">
      <alignment horizontal="right"/>
    </xf>
    <xf numFmtId="0" fontId="160" fillId="0" borderId="0" xfId="1644" applyFont="1" applyAlignment="1">
      <alignment horizontal="center" vertical="center"/>
    </xf>
    <xf numFmtId="0" fontId="158" fillId="0" borderId="0" xfId="1652" applyFont="1" applyAlignment="1">
      <alignment vertical="center"/>
    </xf>
    <xf numFmtId="0" fontId="161" fillId="39" borderId="81" xfId="2670" applyFont="1" applyFill="1" applyBorder="1" applyAlignment="1">
      <alignment horizontal="left" vertical="center"/>
    </xf>
    <xf numFmtId="0" fontId="161" fillId="39" borderId="82" xfId="2670" applyFont="1" applyFill="1" applyBorder="1" applyAlignment="1">
      <alignment horizontal="center" vertical="center"/>
    </xf>
    <xf numFmtId="0" fontId="161" fillId="39" borderId="84" xfId="2670" applyFont="1" applyFill="1" applyBorder="1" applyAlignment="1">
      <alignment horizontal="left" vertical="center"/>
    </xf>
    <xf numFmtId="0" fontId="161" fillId="39" borderId="80" xfId="2670" applyFont="1" applyFill="1" applyBorder="1" applyAlignment="1">
      <alignment horizontal="center" vertical="center"/>
    </xf>
    <xf numFmtId="0" fontId="161" fillId="39" borderId="86" xfId="2670" applyFont="1" applyFill="1" applyBorder="1" applyAlignment="1">
      <alignment horizontal="left" vertical="center"/>
    </xf>
    <xf numFmtId="0" fontId="161" fillId="39" borderId="87" xfId="2670" applyFont="1" applyFill="1" applyBorder="1" applyAlignment="1">
      <alignment horizontal="center" vertical="center"/>
    </xf>
    <xf numFmtId="43" fontId="142" fillId="40" borderId="83" xfId="2672" applyFont="1" applyFill="1" applyBorder="1" applyAlignment="1" applyProtection="1">
      <alignment horizontal="right" vertical="center" wrapText="1"/>
      <protection locked="0"/>
    </xf>
    <xf numFmtId="43" fontId="142" fillId="40" borderId="85" xfId="2672" applyFont="1" applyFill="1" applyBorder="1" applyAlignment="1" applyProtection="1">
      <alignment horizontal="right" vertical="center"/>
      <protection locked="0"/>
    </xf>
    <xf numFmtId="168" fontId="142" fillId="40" borderId="85" xfId="2672" applyNumberFormat="1" applyFont="1" applyFill="1" applyBorder="1" applyAlignment="1" applyProtection="1">
      <alignment horizontal="right" vertical="center"/>
      <protection locked="0"/>
    </xf>
    <xf numFmtId="168" fontId="142" fillId="40" borderId="88" xfId="2672" applyNumberFormat="1" applyFont="1" applyFill="1" applyBorder="1" applyAlignment="1" applyProtection="1">
      <alignment horizontal="right" vertical="center"/>
      <protection locked="0"/>
    </xf>
    <xf numFmtId="0" fontId="122" fillId="0" borderId="0" xfId="1451" applyFont="1"/>
    <xf numFmtId="0" fontId="123" fillId="0" borderId="0" xfId="1451" applyFont="1" applyAlignment="1">
      <alignment vertical="center"/>
    </xf>
    <xf numFmtId="0" fontId="149" fillId="0" borderId="0" xfId="1451" applyFont="1"/>
    <xf numFmtId="0" fontId="124" fillId="0" borderId="0" xfId="1451" applyFont="1" applyAlignment="1">
      <alignment vertical="center"/>
    </xf>
    <xf numFmtId="0" fontId="125" fillId="0" borderId="0" xfId="1451" applyFont="1" applyAlignment="1">
      <alignment horizontal="center" vertical="center"/>
    </xf>
    <xf numFmtId="0" fontId="126" fillId="0" borderId="0" xfId="1451" applyFont="1"/>
    <xf numFmtId="0" fontId="127" fillId="0" borderId="0" xfId="1451" applyFont="1"/>
    <xf numFmtId="0" fontId="117" fillId="0" borderId="0" xfId="1451" applyFont="1" applyAlignment="1">
      <alignment vertical="center"/>
    </xf>
    <xf numFmtId="0" fontId="117" fillId="0" borderId="0" xfId="1451" applyFont="1" applyAlignment="1">
      <alignment horizontal="center" vertical="center"/>
    </xf>
    <xf numFmtId="0" fontId="122" fillId="0" borderId="0" xfId="1451" applyFont="1" applyAlignment="1">
      <alignment horizontal="center" vertical="center"/>
    </xf>
    <xf numFmtId="0" fontId="122" fillId="0" borderId="0" xfId="1451" applyFont="1" applyAlignment="1">
      <alignment horizontal="center"/>
    </xf>
    <xf numFmtId="0" fontId="124" fillId="35" borderId="0" xfId="1451" applyFont="1" applyFill="1" applyAlignment="1">
      <alignment vertical="center"/>
    </xf>
    <xf numFmtId="0" fontId="127" fillId="0" borderId="19" xfId="1451" applyFont="1" applyBorder="1" applyAlignment="1">
      <alignment horizontal="center"/>
    </xf>
    <xf numFmtId="0" fontId="127" fillId="0" borderId="19" xfId="1451" applyFont="1" applyBorder="1"/>
    <xf numFmtId="1" fontId="108" fillId="0" borderId="0" xfId="2673" applyNumberFormat="1" applyFont="1" applyAlignment="1">
      <alignment horizontal="center" vertical="center" wrapText="1"/>
    </xf>
    <xf numFmtId="1" fontId="106" fillId="0" borderId="0" xfId="2673" applyNumberFormat="1" applyFont="1" applyAlignment="1">
      <alignment horizontal="center" vertical="center" wrapText="1"/>
    </xf>
    <xf numFmtId="0" fontId="107" fillId="0" borderId="62" xfId="2673" applyFont="1" applyBorder="1" applyAlignment="1">
      <alignment horizontal="center" vertical="center" wrapText="1"/>
    </xf>
    <xf numFmtId="0" fontId="165" fillId="0" borderId="0" xfId="2673" applyFont="1" applyAlignment="1">
      <alignment horizontal="center" vertical="center" wrapText="1"/>
    </xf>
    <xf numFmtId="0" fontId="166" fillId="0" borderId="0" xfId="2673" applyFont="1" applyAlignment="1">
      <alignment vertical="center" wrapText="1"/>
    </xf>
    <xf numFmtId="0" fontId="167" fillId="0" borderId="0" xfId="2673" applyFont="1" applyAlignment="1">
      <alignment vertical="center" wrapText="1"/>
    </xf>
    <xf numFmtId="0" fontId="148" fillId="35" borderId="92" xfId="2673" applyFont="1" applyFill="1" applyBorder="1" applyAlignment="1">
      <alignment vertical="center" wrapText="1"/>
    </xf>
    <xf numFmtId="0" fontId="148" fillId="43" borderId="92" xfId="2673" applyFont="1" applyFill="1" applyBorder="1" applyAlignment="1">
      <alignment vertical="center" wrapText="1"/>
    </xf>
    <xf numFmtId="0" fontId="164" fillId="0" borderId="0" xfId="2673" applyFont="1" applyAlignment="1">
      <alignment vertical="center" wrapText="1"/>
    </xf>
    <xf numFmtId="0" fontId="170" fillId="0" borderId="0" xfId="2673" applyFont="1" applyAlignment="1">
      <alignment horizontal="center" vertical="center" wrapText="1"/>
    </xf>
    <xf numFmtId="1" fontId="171" fillId="0" borderId="0" xfId="2673" applyNumberFormat="1" applyFont="1" applyAlignment="1">
      <alignment horizontal="center" vertical="center" wrapText="1"/>
    </xf>
    <xf numFmtId="0" fontId="107" fillId="0" borderId="0" xfId="2673" applyFont="1" applyAlignment="1">
      <alignment horizontal="center" vertical="center" wrapText="1"/>
    </xf>
    <xf numFmtId="0" fontId="136" fillId="35" borderId="32" xfId="2673" applyFont="1" applyFill="1" applyBorder="1" applyAlignment="1">
      <alignment vertical="center" wrapText="1"/>
    </xf>
    <xf numFmtId="0" fontId="136" fillId="43" borderId="32" xfId="2673" applyFont="1" applyFill="1" applyBorder="1" applyAlignment="1">
      <alignment vertical="center" wrapText="1"/>
    </xf>
    <xf numFmtId="0" fontId="136" fillId="0" borderId="0" xfId="2673" applyFont="1" applyAlignment="1">
      <alignment vertical="center" wrapText="1"/>
    </xf>
    <xf numFmtId="2" fontId="136" fillId="0" borderId="0" xfId="2673" applyNumberFormat="1" applyFont="1" applyAlignment="1">
      <alignment horizontal="center" vertical="center" wrapText="1"/>
    </xf>
    <xf numFmtId="0" fontId="107" fillId="0" borderId="3" xfId="2673" applyFont="1" applyBorder="1" applyAlignment="1">
      <alignment horizontal="center" vertical="center" wrapText="1"/>
    </xf>
    <xf numFmtId="0" fontId="148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9" fillId="0" borderId="0" xfId="2673" applyNumberFormat="1" applyAlignment="1">
      <alignment vertical="center" wrapText="1"/>
    </xf>
    <xf numFmtId="1" fontId="9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6" fillId="0" borderId="0" xfId="2675" applyFont="1" applyFill="1" applyBorder="1" applyAlignment="1">
      <alignment horizontal="center" vertical="center" wrapText="1"/>
    </xf>
    <xf numFmtId="1" fontId="136" fillId="0" borderId="50" xfId="2673" applyNumberFormat="1" applyFont="1" applyBorder="1" applyAlignment="1">
      <alignment vertical="center" wrapText="1"/>
    </xf>
    <xf numFmtId="0" fontId="172" fillId="0" borderId="0" xfId="2673" applyFont="1" applyAlignment="1">
      <alignment vertical="center" wrapText="1"/>
    </xf>
    <xf numFmtId="0" fontId="172" fillId="0" borderId="0" xfId="2673" applyFont="1" applyAlignment="1">
      <alignment horizontal="center" vertical="center" wrapText="1"/>
    </xf>
    <xf numFmtId="2" fontId="172" fillId="0" borderId="0" xfId="2673" applyNumberFormat="1" applyFont="1" applyAlignment="1">
      <alignment horizontal="center" vertical="center" wrapText="1"/>
    </xf>
    <xf numFmtId="1" fontId="172" fillId="0" borderId="0" xfId="2673" applyNumberFormat="1" applyFont="1" applyAlignment="1">
      <alignment horizontal="center" vertical="center" wrapText="1"/>
    </xf>
    <xf numFmtId="0" fontId="173" fillId="0" borderId="0" xfId="2673" applyFont="1" applyAlignment="1">
      <alignment vertical="center" wrapText="1"/>
    </xf>
    <xf numFmtId="0" fontId="148" fillId="35" borderId="51" xfId="2673" applyFont="1" applyFill="1" applyBorder="1" applyAlignment="1">
      <alignment vertical="center" wrapText="1"/>
    </xf>
    <xf numFmtId="0" fontId="148" fillId="0" borderId="53" xfId="2673" applyFont="1" applyBorder="1" applyAlignment="1">
      <alignment horizontal="center" vertical="center" wrapText="1"/>
    </xf>
    <xf numFmtId="0" fontId="148" fillId="35" borderId="49" xfId="2673" applyFont="1" applyFill="1" applyBorder="1" applyAlignment="1">
      <alignment vertical="center" wrapText="1"/>
    </xf>
    <xf numFmtId="1" fontId="136" fillId="0" borderId="58" xfId="2673" applyNumberFormat="1" applyFont="1" applyBorder="1" applyAlignment="1">
      <alignment vertical="center" wrapText="1"/>
    </xf>
    <xf numFmtId="0" fontId="136" fillId="35" borderId="49" xfId="2673" applyFont="1" applyFill="1" applyBorder="1" applyAlignment="1">
      <alignment vertical="center" wrapText="1"/>
    </xf>
    <xf numFmtId="0" fontId="136" fillId="35" borderId="96" xfId="2673" applyFont="1" applyFill="1" applyBorder="1" applyAlignment="1">
      <alignment vertical="center" wrapText="1"/>
    </xf>
    <xf numFmtId="0" fontId="107" fillId="0" borderId="64" xfId="2673" applyFont="1" applyBorder="1" applyAlignment="1">
      <alignment horizontal="center" vertical="center" wrapText="1"/>
    </xf>
    <xf numFmtId="0" fontId="148" fillId="0" borderId="51" xfId="2673" applyFont="1" applyBorder="1" applyAlignment="1">
      <alignment vertical="center" wrapText="1"/>
    </xf>
    <xf numFmtId="0" fontId="148" fillId="0" borderId="49" xfId="2673" applyFont="1" applyBorder="1" applyAlignment="1">
      <alignment vertical="center" wrapText="1"/>
    </xf>
    <xf numFmtId="0" fontId="136" fillId="0" borderId="49" xfId="2673" applyFont="1" applyBorder="1" applyAlignment="1">
      <alignment vertical="center" wrapText="1"/>
    </xf>
    <xf numFmtId="0" fontId="136" fillId="0" borderId="96" xfId="2673" applyFont="1" applyBorder="1" applyAlignment="1">
      <alignment vertical="center" wrapText="1"/>
    </xf>
    <xf numFmtId="43" fontId="0" fillId="46" borderId="3" xfId="1026" applyFont="1" applyFill="1" applyBorder="1" applyProtection="1">
      <protection locked="0"/>
    </xf>
    <xf numFmtId="0" fontId="93" fillId="33" borderId="60" xfId="0" applyFont="1" applyFill="1" applyBorder="1" applyAlignment="1">
      <alignment horizontal="left" vertical="center"/>
    </xf>
    <xf numFmtId="0" fontId="93" fillId="33" borderId="61" xfId="0" applyFont="1" applyFill="1" applyBorder="1" applyAlignment="1">
      <alignment horizontal="left" vertical="center"/>
    </xf>
    <xf numFmtId="49" fontId="93" fillId="33" borderId="61" xfId="0" applyNumberFormat="1" applyFont="1" applyFill="1" applyBorder="1" applyAlignment="1">
      <alignment horizontal="left" vertical="center"/>
    </xf>
    <xf numFmtId="165" fontId="154" fillId="0" borderId="0" xfId="2676" applyFont="1" applyAlignment="1">
      <alignment horizontal="center" vertical="center"/>
    </xf>
    <xf numFmtId="0" fontId="8" fillId="0" borderId="0" xfId="2670" applyFont="1" applyAlignment="1">
      <alignment horizontal="center" vertical="center"/>
    </xf>
    <xf numFmtId="0" fontId="129" fillId="0" borderId="0" xfId="2670" applyFont="1" applyAlignment="1">
      <alignment horizontal="left" vertical="center"/>
    </xf>
    <xf numFmtId="0" fontId="8" fillId="0" borderId="21" xfId="1653" applyFont="1" applyBorder="1" applyAlignment="1">
      <alignment horizontal="left" vertical="center" wrapText="1"/>
    </xf>
    <xf numFmtId="206" fontId="45" fillId="0" borderId="21" xfId="2549" applyNumberFormat="1" applyFont="1" applyBorder="1" applyAlignment="1">
      <alignment horizontal="center" vertical="center" wrapText="1"/>
    </xf>
    <xf numFmtId="0" fontId="45" fillId="0" borderId="21" xfId="2677" applyFont="1" applyBorder="1" applyAlignment="1">
      <alignment horizontal="left" vertical="center" wrapText="1"/>
    </xf>
    <xf numFmtId="0" fontId="117" fillId="33" borderId="0" xfId="0" applyFont="1" applyFill="1" applyAlignment="1">
      <alignment horizontal="left"/>
    </xf>
    <xf numFmtId="168" fontId="146" fillId="47" borderId="0" xfId="2672" applyNumberFormat="1" applyFont="1" applyFill="1" applyBorder="1" applyAlignment="1" applyProtection="1">
      <alignment horizontal="right" vertical="center"/>
    </xf>
    <xf numFmtId="0" fontId="176" fillId="0" borderId="97" xfId="1450" applyFont="1" applyBorder="1" applyAlignment="1">
      <alignment horizontal="center" vertical="center"/>
    </xf>
    <xf numFmtId="0" fontId="7" fillId="0" borderId="20" xfId="1652" applyFont="1" applyBorder="1" applyAlignment="1">
      <alignment horizontal="center" vertical="center"/>
    </xf>
    <xf numFmtId="0" fontId="129" fillId="0" borderId="20" xfId="1652" applyFont="1" applyBorder="1" applyAlignment="1">
      <alignment horizontal="center" vertical="center"/>
    </xf>
    <xf numFmtId="0" fontId="129" fillId="0" borderId="21" xfId="1652" applyFont="1" applyBorder="1" applyAlignment="1">
      <alignment horizontal="left" vertical="center" wrapText="1"/>
    </xf>
    <xf numFmtId="0" fontId="7" fillId="0" borderId="21" xfId="1652" applyFont="1" applyBorder="1" applyAlignment="1">
      <alignment horizontal="left" vertical="center" wrapText="1"/>
    </xf>
    <xf numFmtId="0" fontId="6" fillId="0" borderId="20" xfId="1652" applyFont="1" applyBorder="1" applyAlignment="1">
      <alignment horizontal="center" vertical="center"/>
    </xf>
    <xf numFmtId="0" fontId="6" fillId="0" borderId="21" xfId="1652" applyFont="1" applyBorder="1" applyAlignment="1">
      <alignment vertical="center" wrapText="1"/>
    </xf>
    <xf numFmtId="0" fontId="129" fillId="0" borderId="21" xfId="1652" applyFont="1" applyBorder="1" applyAlignment="1">
      <alignment vertical="center" wrapText="1"/>
    </xf>
    <xf numFmtId="0" fontId="11" fillId="0" borderId="21" xfId="1614" applyFont="1" applyBorder="1" applyAlignment="1">
      <alignment horizontal="center" vertical="center"/>
    </xf>
    <xf numFmtId="0" fontId="115" fillId="0" borderId="20" xfId="1652" applyFont="1" applyBorder="1" applyAlignment="1">
      <alignment horizontal="center" vertical="center"/>
    </xf>
    <xf numFmtId="0" fontId="115" fillId="0" borderId="21" xfId="1652" applyFont="1" applyBorder="1" applyAlignment="1">
      <alignment vertical="center"/>
    </xf>
    <xf numFmtId="0" fontId="45" fillId="0" borderId="21" xfId="1450" applyFont="1" applyBorder="1" applyAlignment="1">
      <alignment vertical="center" wrapText="1"/>
    </xf>
    <xf numFmtId="0" fontId="4" fillId="0" borderId="21" xfId="1652" applyFont="1" applyBorder="1" applyAlignment="1">
      <alignment horizontal="left" vertical="center" wrapText="1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3" fillId="0" borderId="21" xfId="1652" applyFont="1" applyBorder="1" applyAlignment="1">
      <alignment horizontal="left" vertical="center" wrapText="1"/>
    </xf>
    <xf numFmtId="0" fontId="3" fillId="0" borderId="21" xfId="1652" applyFont="1" applyBorder="1" applyAlignment="1">
      <alignment horizontal="center" vertic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45" fillId="0" borderId="21" xfId="0" applyFont="1" applyBorder="1" applyAlignment="1">
      <alignment horizontal="left" vertical="center" wrapText="1"/>
    </xf>
    <xf numFmtId="3" fontId="11" fillId="0" borderId="21" xfId="1599" applyNumberFormat="1" applyFont="1" applyBorder="1" applyAlignment="1">
      <alignment horizontal="center" vertical="center"/>
    </xf>
    <xf numFmtId="0" fontId="11" fillId="0" borderId="21" xfId="1614" applyFont="1" applyBorder="1" applyAlignment="1">
      <alignment horizontal="center" vertical="center" wrapText="1"/>
    </xf>
    <xf numFmtId="0" fontId="1" fillId="0" borderId="21" xfId="1652" applyFont="1" applyBorder="1" applyAlignment="1">
      <alignment horizontal="left" vertical="center" wrapText="1"/>
    </xf>
    <xf numFmtId="0" fontId="116" fillId="33" borderId="0" xfId="0" applyFont="1" applyFill="1" applyAlignment="1">
      <alignment vertical="center" wrapText="1"/>
    </xf>
    <xf numFmtId="0" fontId="116" fillId="33" borderId="37" xfId="0" applyFont="1" applyFill="1" applyBorder="1" applyAlignment="1">
      <alignment vertical="center" wrapText="1"/>
    </xf>
    <xf numFmtId="0" fontId="116" fillId="33" borderId="44" xfId="0" applyFont="1" applyFill="1" applyBorder="1" applyAlignment="1">
      <alignment vertical="center" wrapText="1"/>
    </xf>
    <xf numFmtId="0" fontId="116" fillId="33" borderId="45" xfId="0" applyFont="1" applyFill="1" applyBorder="1" applyAlignment="1">
      <alignment vertical="center" wrapText="1"/>
    </xf>
    <xf numFmtId="49" fontId="93" fillId="33" borderId="60" xfId="0" applyNumberFormat="1" applyFont="1" applyFill="1" applyBorder="1" applyAlignment="1">
      <alignment horizontal="left" vertical="center"/>
    </xf>
    <xf numFmtId="0" fontId="121" fillId="0" borderId="69" xfId="1450" applyFont="1" applyBorder="1" applyAlignment="1">
      <alignment horizontal="center" vertical="center"/>
    </xf>
    <xf numFmtId="3" fontId="44" fillId="31" borderId="38" xfId="1615" applyNumberFormat="1" applyFont="1" applyFill="1" applyBorder="1" applyAlignment="1">
      <alignment horizontal="center" vertical="center"/>
    </xf>
    <xf numFmtId="3" fontId="44" fillId="31" borderId="66" xfId="1615" applyNumberFormat="1" applyFont="1" applyFill="1" applyBorder="1" applyAlignment="1">
      <alignment horizontal="center" vertical="center"/>
    </xf>
    <xf numFmtId="3" fontId="44" fillId="31" borderId="18" xfId="1615" applyNumberFormat="1" applyFont="1" applyFill="1" applyBorder="1" applyAlignment="1">
      <alignment horizontal="center" vertical="center"/>
    </xf>
    <xf numFmtId="3" fontId="44" fillId="31" borderId="42" xfId="1615" applyNumberFormat="1" applyFont="1" applyFill="1" applyBorder="1" applyAlignment="1">
      <alignment horizontal="center" vertical="center"/>
    </xf>
    <xf numFmtId="3" fontId="44" fillId="31" borderId="43" xfId="1615" applyNumberFormat="1" applyFont="1" applyFill="1" applyBorder="1" applyAlignment="1">
      <alignment horizontal="center" vertical="center"/>
    </xf>
    <xf numFmtId="3" fontId="44" fillId="31" borderId="67" xfId="1615" applyNumberFormat="1" applyFont="1" applyFill="1" applyBorder="1" applyAlignment="1">
      <alignment horizontal="center" vertical="center"/>
    </xf>
    <xf numFmtId="3" fontId="44" fillId="31" borderId="3" xfId="1615" applyNumberFormat="1" applyFont="1" applyFill="1" applyBorder="1" applyAlignment="1">
      <alignment horizontal="center" vertical="center"/>
    </xf>
    <xf numFmtId="0" fontId="97" fillId="0" borderId="0" xfId="1653" applyFont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/>
    </xf>
    <xf numFmtId="0" fontId="53" fillId="31" borderId="3" xfId="1615" applyFont="1" applyFill="1" applyBorder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 wrapText="1"/>
    </xf>
    <xf numFmtId="37" fontId="63" fillId="0" borderId="19" xfId="1614" applyNumberFormat="1" applyFont="1" applyBorder="1" applyAlignment="1">
      <alignment horizontal="center"/>
    </xf>
    <xf numFmtId="0" fontId="48" fillId="0" borderId="0" xfId="1652" applyFont="1" applyAlignment="1">
      <alignment horizontal="center" vertical="center"/>
    </xf>
    <xf numFmtId="0" fontId="112" fillId="0" borderId="0" xfId="1652" applyAlignment="1">
      <alignment horizontal="center" vertical="center"/>
    </xf>
    <xf numFmtId="0" fontId="63" fillId="0" borderId="26" xfId="1614" applyFont="1" applyBorder="1" applyAlignment="1">
      <alignment horizontal="left" vertical="center"/>
    </xf>
    <xf numFmtId="0" fontId="63" fillId="0" borderId="36" xfId="1614" applyFont="1" applyBorder="1" applyAlignment="1">
      <alignment horizontal="left" vertical="center"/>
    </xf>
    <xf numFmtId="0" fontId="63" fillId="0" borderId="48" xfId="1614" applyFont="1" applyBorder="1" applyAlignment="1">
      <alignment horizontal="left" vertical="center"/>
    </xf>
    <xf numFmtId="0" fontId="63" fillId="0" borderId="28" xfId="1614" applyFont="1" applyBorder="1" applyAlignment="1">
      <alignment horizontal="left" vertical="center"/>
    </xf>
    <xf numFmtId="0" fontId="63" fillId="0" borderId="0" xfId="1614" applyFont="1" applyAlignment="1">
      <alignment horizontal="left" vertical="center"/>
    </xf>
    <xf numFmtId="0" fontId="63" fillId="0" borderId="37" xfId="1614" applyFont="1" applyBorder="1" applyAlignment="1">
      <alignment horizontal="left" vertical="center"/>
    </xf>
    <xf numFmtId="0" fontId="53" fillId="0" borderId="0" xfId="1614" applyFont="1" applyAlignment="1">
      <alignment horizontal="left" vertical="top" wrapText="1"/>
    </xf>
    <xf numFmtId="37" fontId="112" fillId="0" borderId="36" xfId="1614" applyNumberFormat="1" applyBorder="1" applyAlignment="1">
      <alignment horizontal="center"/>
    </xf>
    <xf numFmtId="37" fontId="112" fillId="0" borderId="0" xfId="1614" applyNumberFormat="1" applyAlignment="1">
      <alignment horizontal="center"/>
    </xf>
    <xf numFmtId="0" fontId="53" fillId="0" borderId="3" xfId="1614" applyFont="1" applyBorder="1" applyAlignment="1">
      <alignment horizontal="center" vertical="center"/>
    </xf>
    <xf numFmtId="0" fontId="53" fillId="0" borderId="39" xfId="1614" applyFont="1" applyBorder="1" applyAlignment="1">
      <alignment horizontal="center" vertical="center"/>
    </xf>
    <xf numFmtId="0" fontId="53" fillId="0" borderId="35" xfId="1652" applyFont="1" applyBorder="1" applyAlignment="1">
      <alignment horizontal="center" vertical="center" wrapText="1"/>
    </xf>
    <xf numFmtId="0" fontId="53" fillId="0" borderId="33" xfId="1652" applyFont="1" applyBorder="1" applyAlignment="1">
      <alignment horizontal="center" vertical="center" wrapText="1"/>
    </xf>
    <xf numFmtId="0" fontId="97" fillId="0" borderId="0" xfId="1652" applyFont="1" applyAlignment="1">
      <alignment horizontal="center" vertical="center"/>
    </xf>
    <xf numFmtId="0" fontId="51" fillId="0" borderId="51" xfId="1614" applyFont="1" applyBorder="1" applyAlignment="1">
      <alignment horizontal="center" vertical="center"/>
    </xf>
    <xf numFmtId="0" fontId="51" fillId="0" borderId="49" xfId="1614" applyFont="1" applyBorder="1" applyAlignment="1">
      <alignment horizontal="center" vertical="center"/>
    </xf>
    <xf numFmtId="0" fontId="51" fillId="0" borderId="52" xfId="1614" applyFont="1" applyBorder="1" applyAlignment="1">
      <alignment horizontal="center" vertical="center"/>
    </xf>
    <xf numFmtId="0" fontId="51" fillId="0" borderId="21" xfId="1614" applyFont="1" applyBorder="1" applyAlignment="1">
      <alignment horizontal="center" vertical="center"/>
    </xf>
    <xf numFmtId="0" fontId="51" fillId="0" borderId="33" xfId="1614" applyFont="1" applyBorder="1" applyAlignment="1">
      <alignment horizontal="center" vertical="center"/>
    </xf>
    <xf numFmtId="0" fontId="53" fillId="0" borderId="53" xfId="1614" applyFont="1" applyBorder="1" applyAlignment="1">
      <alignment horizontal="center" vertical="center"/>
    </xf>
    <xf numFmtId="0" fontId="51" fillId="0" borderId="52" xfId="1614" applyFont="1" applyBorder="1" applyAlignment="1">
      <alignment horizontal="center" vertical="center" wrapText="1"/>
    </xf>
    <xf numFmtId="0" fontId="51" fillId="0" borderId="21" xfId="1614" applyFont="1" applyBorder="1" applyAlignment="1">
      <alignment horizontal="center" vertical="center" wrapText="1"/>
    </xf>
    <xf numFmtId="0" fontId="51" fillId="0" borderId="33" xfId="1614" applyFont="1" applyBorder="1" applyAlignment="1">
      <alignment horizontal="center" vertical="center" wrapText="1"/>
    </xf>
    <xf numFmtId="0" fontId="53" fillId="0" borderId="54" xfId="1614" applyFont="1" applyBorder="1" applyAlignment="1">
      <alignment horizontal="center" vertical="center"/>
    </xf>
    <xf numFmtId="168" fontId="44" fillId="0" borderId="3" xfId="714" applyFont="1" applyFill="1" applyBorder="1" applyAlignment="1">
      <alignment horizontal="center" vertical="center" wrapText="1"/>
    </xf>
    <xf numFmtId="0" fontId="55" fillId="0" borderId="0" xfId="1448" applyFont="1" applyAlignment="1">
      <alignment horizontal="center" wrapText="1"/>
    </xf>
    <xf numFmtId="0" fontId="44" fillId="0" borderId="3" xfId="1448" applyFont="1" applyBorder="1" applyAlignment="1">
      <alignment horizontal="center" vertical="center" wrapText="1"/>
    </xf>
    <xf numFmtId="0" fontId="56" fillId="0" borderId="3" xfId="1448" applyFont="1" applyBorder="1" applyAlignment="1">
      <alignment horizontal="center" vertical="center" wrapText="1"/>
    </xf>
    <xf numFmtId="0" fontId="9" fillId="0" borderId="94" xfId="2673" applyBorder="1" applyAlignment="1">
      <alignment horizontal="center" vertical="center" wrapText="1"/>
    </xf>
    <xf numFmtId="0" fontId="9" fillId="0" borderId="6" xfId="2673" applyBorder="1" applyAlignment="1">
      <alignment horizontal="center" vertical="center" wrapText="1"/>
    </xf>
    <xf numFmtId="0" fontId="9" fillId="0" borderId="95" xfId="2673" applyBorder="1" applyAlignment="1">
      <alignment horizontal="center" vertical="center" wrapText="1"/>
    </xf>
    <xf numFmtId="9" fontId="172" fillId="0" borderId="0" xfId="2675" applyFont="1" applyFill="1" applyBorder="1" applyAlignment="1">
      <alignment horizontal="center" vertical="center" wrapText="1"/>
    </xf>
    <xf numFmtId="0" fontId="169" fillId="37" borderId="0" xfId="2673" applyFont="1" applyFill="1" applyAlignment="1">
      <alignment horizontal="left" vertical="center" wrapText="1"/>
    </xf>
    <xf numFmtId="166" fontId="148" fillId="35" borderId="7" xfId="2673" applyNumberFormat="1" applyFont="1" applyFill="1" applyBorder="1" applyAlignment="1">
      <alignment horizontal="center" vertical="center" wrapText="1"/>
    </xf>
    <xf numFmtId="0" fontId="148" fillId="35" borderId="58" xfId="2673" applyFont="1" applyFill="1" applyBorder="1" applyAlignment="1">
      <alignment horizontal="center" vertical="center" wrapText="1"/>
    </xf>
    <xf numFmtId="2" fontId="136" fillId="35" borderId="62" xfId="2673" applyNumberFormat="1" applyFont="1" applyFill="1" applyBorder="1" applyAlignment="1">
      <alignment horizontal="center" vertical="center" wrapText="1"/>
    </xf>
    <xf numFmtId="2" fontId="136" fillId="35" borderId="93" xfId="2673" applyNumberFormat="1" applyFont="1" applyFill="1" applyBorder="1" applyAlignment="1">
      <alignment horizontal="center" vertical="center" wrapText="1"/>
    </xf>
    <xf numFmtId="0" fontId="165" fillId="41" borderId="89" xfId="2673" applyFont="1" applyFill="1" applyBorder="1" applyAlignment="1">
      <alignment horizontal="center" vertical="center" wrapText="1"/>
    </xf>
    <xf numFmtId="0" fontId="165" fillId="41" borderId="90" xfId="2673" applyFont="1" applyFill="1" applyBorder="1" applyAlignment="1">
      <alignment horizontal="center" vertical="center" wrapText="1"/>
    </xf>
    <xf numFmtId="0" fontId="165" fillId="41" borderId="91" xfId="2673" applyFont="1" applyFill="1" applyBorder="1" applyAlignment="1">
      <alignment horizontal="center" vertical="center" wrapText="1"/>
    </xf>
    <xf numFmtId="0" fontId="136" fillId="35" borderId="7" xfId="2673" applyFont="1" applyFill="1" applyBorder="1" applyAlignment="1">
      <alignment horizontal="center" vertical="center" wrapText="1"/>
    </xf>
    <xf numFmtId="0" fontId="136" fillId="35" borderId="58" xfId="2673" applyFont="1" applyFill="1" applyBorder="1" applyAlignment="1">
      <alignment horizontal="center" vertical="center" wrapText="1"/>
    </xf>
    <xf numFmtId="1" fontId="148" fillId="35" borderId="7" xfId="2673" applyNumberFormat="1" applyFont="1" applyFill="1" applyBorder="1" applyAlignment="1">
      <alignment horizontal="center" vertical="center" wrapText="1"/>
    </xf>
    <xf numFmtId="1" fontId="148" fillId="35" borderId="58" xfId="2673" applyNumberFormat="1" applyFont="1" applyFill="1" applyBorder="1" applyAlignment="1">
      <alignment horizontal="center" vertical="center" wrapText="1"/>
    </xf>
    <xf numFmtId="166" fontId="148" fillId="0" borderId="53" xfId="2673" applyNumberFormat="1" applyFont="1" applyBorder="1" applyAlignment="1">
      <alignment horizontal="center" vertical="center" wrapText="1"/>
    </xf>
    <xf numFmtId="0" fontId="148" fillId="0" borderId="54" xfId="2673" applyFont="1" applyBorder="1" applyAlignment="1">
      <alignment horizontal="center" vertical="center" wrapText="1"/>
    </xf>
    <xf numFmtId="9" fontId="136" fillId="0" borderId="64" xfId="2675" applyFont="1" applyFill="1" applyBorder="1" applyAlignment="1">
      <alignment horizontal="center" vertical="center" wrapText="1"/>
    </xf>
    <xf numFmtId="9" fontId="136" fillId="0" borderId="65" xfId="2675" applyFont="1" applyFill="1" applyBorder="1" applyAlignment="1">
      <alignment horizontal="center" vertical="center" wrapText="1"/>
    </xf>
    <xf numFmtId="1" fontId="148" fillId="0" borderId="3" xfId="2673" applyNumberFormat="1" applyFont="1" applyBorder="1" applyAlignment="1">
      <alignment horizontal="center" vertical="center" wrapText="1"/>
    </xf>
    <xf numFmtId="1" fontId="148" fillId="0" borderId="39" xfId="2673" applyNumberFormat="1" applyFont="1" applyBorder="1" applyAlignment="1">
      <alignment horizontal="center" vertical="center" wrapText="1"/>
    </xf>
    <xf numFmtId="2" fontId="136" fillId="0" borderId="3" xfId="2673" applyNumberFormat="1" applyFont="1" applyBorder="1" applyAlignment="1">
      <alignment horizontal="center" vertical="center" wrapText="1"/>
    </xf>
    <xf numFmtId="2" fontId="136" fillId="0" borderId="39" xfId="2673" applyNumberFormat="1" applyFont="1" applyBorder="1" applyAlignment="1">
      <alignment horizontal="center" vertical="center" wrapText="1"/>
    </xf>
    <xf numFmtId="9" fontId="136" fillId="35" borderId="64" xfId="2675" applyFont="1" applyFill="1" applyBorder="1" applyAlignment="1">
      <alignment horizontal="center" vertical="center" wrapText="1"/>
    </xf>
    <xf numFmtId="9" fontId="136" fillId="35" borderId="65" xfId="2675" applyFont="1" applyFill="1" applyBorder="1" applyAlignment="1">
      <alignment horizontal="center" vertical="center" wrapText="1"/>
    </xf>
    <xf numFmtId="2" fontId="136" fillId="35" borderId="3" xfId="2673" applyNumberFormat="1" applyFont="1" applyFill="1" applyBorder="1" applyAlignment="1">
      <alignment horizontal="center" vertical="center" wrapText="1"/>
    </xf>
    <xf numFmtId="2" fontId="136" fillId="35" borderId="39" xfId="2673" applyNumberFormat="1" applyFont="1" applyFill="1" applyBorder="1" applyAlignment="1">
      <alignment horizontal="center" vertical="center" wrapText="1"/>
    </xf>
    <xf numFmtId="0" fontId="168" fillId="0" borderId="50" xfId="2673" applyFont="1" applyBorder="1" applyAlignment="1">
      <alignment horizontal="center" vertical="center" wrapText="1"/>
    </xf>
    <xf numFmtId="0" fontId="168" fillId="0" borderId="58" xfId="2673" applyFont="1" applyBorder="1" applyAlignment="1">
      <alignment horizontal="center" vertical="center" wrapText="1"/>
    </xf>
    <xf numFmtId="0" fontId="168" fillId="44" borderId="3" xfId="2673" applyFont="1" applyFill="1" applyBorder="1" applyAlignment="1">
      <alignment horizontal="center" vertical="center" wrapText="1"/>
    </xf>
    <xf numFmtId="0" fontId="168" fillId="44" borderId="39" xfId="2673" applyFont="1" applyFill="1" applyBorder="1" applyAlignment="1">
      <alignment horizontal="center" vertical="center" wrapText="1"/>
    </xf>
    <xf numFmtId="1" fontId="136" fillId="0" borderId="3" xfId="2673" applyNumberFormat="1" applyFont="1" applyBorder="1" applyAlignment="1">
      <alignment horizontal="center" vertical="center" wrapText="1"/>
    </xf>
    <xf numFmtId="1" fontId="136" fillId="0" borderId="39" xfId="2673" applyNumberFormat="1" applyFont="1" applyBorder="1" applyAlignment="1">
      <alignment horizontal="center" vertical="center" wrapText="1"/>
    </xf>
    <xf numFmtId="2" fontId="136" fillId="45" borderId="3" xfId="2673" applyNumberFormat="1" applyFont="1" applyFill="1" applyBorder="1" applyAlignment="1">
      <alignment horizontal="center" vertical="center" wrapText="1"/>
    </xf>
    <xf numFmtId="2" fontId="136" fillId="45" borderId="39" xfId="2673" applyNumberFormat="1" applyFont="1" applyFill="1" applyBorder="1" applyAlignment="1">
      <alignment horizontal="center" vertical="center" wrapText="1"/>
    </xf>
    <xf numFmtId="0" fontId="165" fillId="42" borderId="89" xfId="2673" applyFont="1" applyFill="1" applyBorder="1" applyAlignment="1">
      <alignment horizontal="center" vertical="center" wrapText="1"/>
    </xf>
    <xf numFmtId="0" fontId="165" fillId="42" borderId="90" xfId="2673" applyFont="1" applyFill="1" applyBorder="1" applyAlignment="1">
      <alignment horizontal="center" vertical="center" wrapText="1"/>
    </xf>
    <xf numFmtId="0" fontId="165" fillId="42" borderId="91" xfId="2673" applyFont="1" applyFill="1" applyBorder="1" applyAlignment="1">
      <alignment horizontal="center" vertical="center" wrapText="1"/>
    </xf>
    <xf numFmtId="166" fontId="148" fillId="43" borderId="7" xfId="2673" applyNumberFormat="1" applyFont="1" applyFill="1" applyBorder="1" applyAlignment="1">
      <alignment horizontal="center" vertical="center" wrapText="1"/>
    </xf>
    <xf numFmtId="0" fontId="148" fillId="43" borderId="58" xfId="2673" applyFont="1" applyFill="1" applyBorder="1" applyAlignment="1">
      <alignment horizontal="center" vertical="center" wrapText="1"/>
    </xf>
    <xf numFmtId="1" fontId="136" fillId="43" borderId="7" xfId="2673" applyNumberFormat="1" applyFont="1" applyFill="1" applyBorder="1" applyAlignment="1">
      <alignment horizontal="center" vertical="center" wrapText="1"/>
    </xf>
    <xf numFmtId="1" fontId="136" fillId="43" borderId="58" xfId="2673" applyNumberFormat="1" applyFont="1" applyFill="1" applyBorder="1" applyAlignment="1">
      <alignment horizontal="center" vertical="center" wrapText="1"/>
    </xf>
    <xf numFmtId="0" fontId="136" fillId="43" borderId="7" xfId="2673" applyFont="1" applyFill="1" applyBorder="1" applyAlignment="1">
      <alignment horizontal="center" vertical="center" wrapText="1"/>
    </xf>
    <xf numFmtId="0" fontId="136" fillId="43" borderId="58" xfId="2673" applyFont="1" applyFill="1" applyBorder="1" applyAlignment="1">
      <alignment horizontal="center" vertical="center" wrapText="1"/>
    </xf>
    <xf numFmtId="2" fontId="136" fillId="43" borderId="62" xfId="2673" applyNumberFormat="1" applyFont="1" applyFill="1" applyBorder="1" applyAlignment="1">
      <alignment horizontal="center" vertical="center" wrapText="1"/>
    </xf>
    <xf numFmtId="2" fontId="136" fillId="43" borderId="93" xfId="2673" applyNumberFormat="1" applyFont="1" applyFill="1" applyBorder="1" applyAlignment="1">
      <alignment horizontal="center" vertical="center" wrapText="1"/>
    </xf>
    <xf numFmtId="0" fontId="10" fillId="34" borderId="77" xfId="2670" applyFill="1" applyBorder="1" applyAlignment="1">
      <alignment horizontal="center" vertical="center"/>
    </xf>
    <xf numFmtId="0" fontId="140" fillId="0" borderId="78" xfId="2670" applyFont="1" applyBorder="1" applyAlignment="1">
      <alignment horizontal="left" vertical="center"/>
    </xf>
    <xf numFmtId="0" fontId="53" fillId="0" borderId="44" xfId="1538" applyFont="1" applyBorder="1" applyAlignment="1">
      <alignment horizontal="left"/>
    </xf>
    <xf numFmtId="0" fontId="113" fillId="38" borderId="3" xfId="1538" applyFill="1" applyBorder="1" applyAlignment="1">
      <alignment horizontal="center" vertical="center"/>
    </xf>
    <xf numFmtId="0" fontId="113" fillId="38" borderId="3" xfId="1538" applyFill="1" applyBorder="1" applyAlignment="1">
      <alignment horizontal="center" vertical="center" wrapText="1"/>
    </xf>
    <xf numFmtId="0" fontId="104" fillId="38" borderId="3" xfId="1538" applyFont="1" applyFill="1" applyBorder="1" applyAlignment="1">
      <alignment horizontal="center" vertical="center" wrapText="1"/>
    </xf>
    <xf numFmtId="0" fontId="50" fillId="0" borderId="3" xfId="1538" applyFont="1" applyBorder="1" applyAlignment="1">
      <alignment horizontal="center"/>
    </xf>
    <xf numFmtId="0" fontId="113" fillId="38" borderId="35" xfId="1538" applyFill="1" applyBorder="1" applyAlignment="1">
      <alignment horizontal="center" vertical="center" wrapText="1"/>
    </xf>
    <xf numFmtId="0" fontId="113" fillId="38" borderId="33" xfId="1538" applyFill="1" applyBorder="1" applyAlignment="1">
      <alignment horizontal="center" vertical="center" wrapText="1"/>
    </xf>
    <xf numFmtId="0" fontId="155" fillId="30" borderId="3" xfId="1614" applyFont="1" applyFill="1" applyBorder="1" applyAlignment="1">
      <alignment horizontal="center" vertical="center"/>
    </xf>
    <xf numFmtId="0" fontId="156" fillId="0" borderId="0" xfId="1652" applyFont="1" applyAlignment="1">
      <alignment horizontal="center" vertical="center"/>
    </xf>
    <xf numFmtId="37" fontId="153" fillId="0" borderId="36" xfId="1614" applyNumberFormat="1" applyFont="1" applyBorder="1" applyAlignment="1">
      <alignment horizontal="center"/>
    </xf>
    <xf numFmtId="0" fontId="157" fillId="35" borderId="51" xfId="1614" applyFont="1" applyFill="1" applyBorder="1" applyAlignment="1">
      <alignment horizontal="center" vertical="center"/>
    </xf>
    <xf numFmtId="0" fontId="157" fillId="35" borderId="49" xfId="1614" applyFont="1" applyFill="1" applyBorder="1" applyAlignment="1">
      <alignment horizontal="center" vertical="center"/>
    </xf>
    <xf numFmtId="0" fontId="157" fillId="35" borderId="52" xfId="1614" applyFont="1" applyFill="1" applyBorder="1" applyAlignment="1">
      <alignment horizontal="center" vertical="center"/>
    </xf>
    <xf numFmtId="0" fontId="157" fillId="35" borderId="21" xfId="1614" applyFont="1" applyFill="1" applyBorder="1" applyAlignment="1">
      <alignment horizontal="center" vertical="center"/>
    </xf>
    <xf numFmtId="0" fontId="157" fillId="35" borderId="33" xfId="1614" applyFont="1" applyFill="1" applyBorder="1" applyAlignment="1">
      <alignment horizontal="center" vertical="center"/>
    </xf>
    <xf numFmtId="0" fontId="157" fillId="35" borderId="53" xfId="1614" applyFont="1" applyFill="1" applyBorder="1" applyAlignment="1">
      <alignment horizontal="center" vertical="center"/>
    </xf>
    <xf numFmtId="0" fontId="157" fillId="35" borderId="3" xfId="1614" applyFont="1" applyFill="1" applyBorder="1" applyAlignment="1">
      <alignment horizontal="center" vertical="center"/>
    </xf>
    <xf numFmtId="0" fontId="157" fillId="35" borderId="52" xfId="1614" applyFont="1" applyFill="1" applyBorder="1" applyAlignment="1">
      <alignment horizontal="center" vertical="center" wrapText="1"/>
    </xf>
    <xf numFmtId="0" fontId="157" fillId="35" borderId="21" xfId="1614" applyFont="1" applyFill="1" applyBorder="1" applyAlignment="1">
      <alignment horizontal="center" vertical="center" wrapText="1"/>
    </xf>
    <xf numFmtId="0" fontId="157" fillId="35" borderId="33" xfId="1614" applyFont="1" applyFill="1" applyBorder="1" applyAlignment="1">
      <alignment horizontal="center" vertical="center" wrapText="1"/>
    </xf>
    <xf numFmtId="0" fontId="157" fillId="35" borderId="35" xfId="1652" applyFont="1" applyFill="1" applyBorder="1" applyAlignment="1">
      <alignment horizontal="center" vertical="center" wrapText="1"/>
    </xf>
    <xf numFmtId="0" fontId="157" fillId="35" borderId="33" xfId="1652" applyFont="1" applyFill="1" applyBorder="1" applyAlignment="1">
      <alignment horizontal="center" vertical="center" wrapText="1"/>
    </xf>
    <xf numFmtId="0" fontId="152" fillId="0" borderId="0" xfId="1644" applyFont="1" applyAlignment="1">
      <alignment horizontal="center" vertical="center"/>
    </xf>
    <xf numFmtId="37" fontId="159" fillId="0" borderId="19" xfId="1614" applyNumberFormat="1" applyFont="1" applyBorder="1" applyAlignment="1">
      <alignment horizontal="center"/>
    </xf>
    <xf numFmtId="0" fontId="155" fillId="0" borderId="0" xfId="1614" applyFont="1" applyAlignment="1">
      <alignment horizontal="left" vertical="top" wrapText="1"/>
    </xf>
    <xf numFmtId="37" fontId="153" fillId="0" borderId="0" xfId="1614" applyNumberFormat="1" applyFont="1" applyAlignment="1">
      <alignment horizontal="center"/>
    </xf>
    <xf numFmtId="0" fontId="174" fillId="0" borderId="26" xfId="1614" applyFont="1" applyBorder="1" applyAlignment="1">
      <alignment horizontal="left" vertical="center" wrapText="1"/>
    </xf>
    <xf numFmtId="0" fontId="174" fillId="0" borderId="36" xfId="1614" applyFont="1" applyBorder="1" applyAlignment="1">
      <alignment horizontal="left" vertical="center" wrapText="1"/>
    </xf>
    <xf numFmtId="0" fontId="174" fillId="0" borderId="48" xfId="1614" applyFont="1" applyBorder="1" applyAlignment="1">
      <alignment horizontal="left" vertical="center" wrapText="1"/>
    </xf>
    <xf numFmtId="0" fontId="174" fillId="0" borderId="28" xfId="1614" applyFont="1" applyBorder="1" applyAlignment="1">
      <alignment horizontal="left" vertical="center" wrapText="1"/>
    </xf>
    <xf numFmtId="0" fontId="174" fillId="0" borderId="0" xfId="1614" applyFont="1" applyAlignment="1">
      <alignment horizontal="left" vertical="center" wrapText="1"/>
    </xf>
    <xf numFmtId="0" fontId="174" fillId="0" borderId="37" xfId="1614" applyFont="1" applyBorder="1" applyAlignment="1">
      <alignment horizontal="left" vertical="center" wrapText="1"/>
    </xf>
    <xf numFmtId="0" fontId="158" fillId="0" borderId="0" xfId="1652" applyFont="1" applyAlignment="1">
      <alignment horizontal="center" vertical="center"/>
    </xf>
    <xf numFmtId="0" fontId="153" fillId="0" borderId="0" xfId="1652" applyFont="1" applyAlignment="1">
      <alignment horizontal="center" vertical="center"/>
    </xf>
    <xf numFmtId="0" fontId="157" fillId="35" borderId="54" xfId="1614" applyFont="1" applyFill="1" applyBorder="1" applyAlignment="1">
      <alignment horizontal="center" vertical="center"/>
    </xf>
    <xf numFmtId="0" fontId="157" fillId="35" borderId="39" xfId="1614" applyFont="1" applyFill="1" applyBorder="1" applyAlignment="1">
      <alignment horizontal="center" vertical="center"/>
    </xf>
    <xf numFmtId="0" fontId="116" fillId="33" borderId="3" xfId="0" applyFont="1" applyFill="1" applyBorder="1" applyAlignment="1">
      <alignment horizontal="center"/>
    </xf>
    <xf numFmtId="0" fontId="116" fillId="33" borderId="39" xfId="0" applyFont="1" applyFill="1" applyBorder="1" applyAlignment="1">
      <alignment horizontal="center"/>
    </xf>
    <xf numFmtId="0" fontId="132" fillId="35" borderId="55" xfId="0" applyFont="1" applyFill="1" applyBorder="1" applyAlignment="1">
      <alignment horizontal="center" vertical="center"/>
    </xf>
    <xf numFmtId="0" fontId="132" fillId="35" borderId="36" xfId="0" applyFont="1" applyFill="1" applyBorder="1" applyAlignment="1">
      <alignment horizontal="center" vertical="center"/>
    </xf>
    <xf numFmtId="0" fontId="132" fillId="35" borderId="48" xfId="0" applyFont="1" applyFill="1" applyBorder="1" applyAlignment="1">
      <alignment horizontal="center" vertical="center"/>
    </xf>
    <xf numFmtId="0" fontId="132" fillId="35" borderId="43" xfId="0" applyFont="1" applyFill="1" applyBorder="1" applyAlignment="1">
      <alignment horizontal="center" vertical="center"/>
    </xf>
    <xf numFmtId="0" fontId="132" fillId="35" borderId="44" xfId="0" applyFont="1" applyFill="1" applyBorder="1" applyAlignment="1">
      <alignment horizontal="center" vertical="center"/>
    </xf>
    <xf numFmtId="0" fontId="132" fillId="35" borderId="45" xfId="0" applyFont="1" applyFill="1" applyBorder="1" applyAlignment="1">
      <alignment horizontal="center" vertical="center"/>
    </xf>
    <xf numFmtId="207" fontId="121" fillId="0" borderId="73" xfId="1450" applyNumberFormat="1" applyFont="1" applyBorder="1" applyAlignment="1">
      <alignment horizontal="left" vertical="center"/>
    </xf>
    <xf numFmtId="207" fontId="176" fillId="0" borderId="74" xfId="1450" applyNumberFormat="1" applyFont="1" applyBorder="1" applyAlignment="1">
      <alignment horizontal="left" vertical="center"/>
    </xf>
    <xf numFmtId="49" fontId="116" fillId="33" borderId="50" xfId="0" applyNumberFormat="1" applyFont="1" applyFill="1" applyBorder="1" applyAlignment="1">
      <alignment horizontal="left" vertical="center"/>
    </xf>
    <xf numFmtId="49" fontId="116" fillId="33" borderId="41" xfId="0" applyNumberFormat="1" applyFont="1" applyFill="1" applyBorder="1" applyAlignment="1">
      <alignment horizontal="left" vertical="center"/>
    </xf>
    <xf numFmtId="0" fontId="116" fillId="33" borderId="56" xfId="0" applyFont="1" applyFill="1" applyBorder="1" applyAlignment="1">
      <alignment horizontal="center"/>
    </xf>
    <xf numFmtId="0" fontId="116" fillId="33" borderId="57" xfId="0" applyFont="1" applyFill="1" applyBorder="1" applyAlignment="1">
      <alignment horizontal="center"/>
    </xf>
    <xf numFmtId="0" fontId="117" fillId="33" borderId="18" xfId="0" applyFont="1" applyFill="1" applyBorder="1" applyAlignment="1">
      <alignment horizontal="left"/>
    </xf>
    <xf numFmtId="0" fontId="117" fillId="33" borderId="0" xfId="0" applyFont="1" applyFill="1" applyAlignment="1">
      <alignment horizontal="left"/>
    </xf>
    <xf numFmtId="0" fontId="117" fillId="33" borderId="37" xfId="0" applyFont="1" applyFill="1" applyBorder="1" applyAlignment="1">
      <alignment horizontal="left"/>
    </xf>
    <xf numFmtId="0" fontId="133" fillId="33" borderId="50" xfId="0" applyFont="1" applyFill="1" applyBorder="1" applyAlignment="1">
      <alignment horizontal="center" vertical="center"/>
    </xf>
    <xf numFmtId="0" fontId="133" fillId="33" borderId="7" xfId="0" applyFont="1" applyFill="1" applyBorder="1" applyAlignment="1">
      <alignment horizontal="center" vertical="center"/>
    </xf>
    <xf numFmtId="0" fontId="133" fillId="33" borderId="41" xfId="0" applyFont="1" applyFill="1" applyBorder="1" applyAlignment="1">
      <alignment horizontal="center" vertical="center"/>
    </xf>
    <xf numFmtId="0" fontId="117" fillId="33" borderId="50" xfId="0" applyFont="1" applyFill="1" applyBorder="1" applyAlignment="1">
      <alignment horizontal="center" vertical="center"/>
    </xf>
    <xf numFmtId="0" fontId="117" fillId="33" borderId="7" xfId="0" applyFont="1" applyFill="1" applyBorder="1" applyAlignment="1">
      <alignment horizontal="center" vertical="center"/>
    </xf>
    <xf numFmtId="0" fontId="117" fillId="33" borderId="58" xfId="0" applyFont="1" applyFill="1" applyBorder="1" applyAlignment="1">
      <alignment horizontal="center" vertical="center"/>
    </xf>
    <xf numFmtId="49" fontId="134" fillId="33" borderId="59" xfId="0" applyNumberFormat="1" applyFont="1" applyFill="1" applyBorder="1" applyAlignment="1">
      <alignment horizontal="left" vertical="center"/>
    </xf>
    <xf numFmtId="49" fontId="134" fillId="33" borderId="40" xfId="0" applyNumberFormat="1" applyFont="1" applyFill="1" applyBorder="1" applyAlignment="1">
      <alignment horizontal="left" vertical="center"/>
    </xf>
    <xf numFmtId="0" fontId="93" fillId="33" borderId="60" xfId="0" applyFont="1" applyFill="1" applyBorder="1" applyAlignment="1">
      <alignment horizontal="left" vertical="center"/>
    </xf>
    <xf numFmtId="0" fontId="93" fillId="33" borderId="79" xfId="0" applyFont="1" applyFill="1" applyBorder="1" applyAlignment="1">
      <alignment horizontal="left" vertical="center"/>
    </xf>
    <xf numFmtId="0" fontId="134" fillId="33" borderId="60" xfId="0" applyFont="1" applyFill="1" applyBorder="1" applyAlignment="1">
      <alignment horizontal="left" vertical="center"/>
    </xf>
    <xf numFmtId="0" fontId="134" fillId="33" borderId="61" xfId="0" applyFont="1" applyFill="1" applyBorder="1" applyAlignment="1">
      <alignment horizontal="left" vertical="center"/>
    </xf>
    <xf numFmtId="49" fontId="116" fillId="33" borderId="50" xfId="0" applyNumberFormat="1" applyFont="1" applyFill="1" applyBorder="1" applyAlignment="1">
      <alignment horizontal="center" vertical="center"/>
    </xf>
    <xf numFmtId="49" fontId="116" fillId="33" borderId="7" xfId="0" applyNumberFormat="1" applyFont="1" applyFill="1" applyBorder="1" applyAlignment="1">
      <alignment horizontal="center" vertical="center"/>
    </xf>
    <xf numFmtId="49" fontId="116" fillId="33" borderId="58" xfId="0" applyNumberFormat="1" applyFont="1" applyFill="1" applyBorder="1" applyAlignment="1">
      <alignment horizontal="center" vertical="center"/>
    </xf>
    <xf numFmtId="49" fontId="116" fillId="33" borderId="41" xfId="0" applyNumberFormat="1" applyFont="1" applyFill="1" applyBorder="1" applyAlignment="1">
      <alignment horizontal="center" vertical="center"/>
    </xf>
    <xf numFmtId="0" fontId="120" fillId="33" borderId="73" xfId="0" applyFont="1" applyFill="1" applyBorder="1" applyAlignment="1">
      <alignment horizontal="center" vertical="center"/>
    </xf>
    <xf numFmtId="0" fontId="120" fillId="33" borderId="74" xfId="0" applyFont="1" applyFill="1" applyBorder="1" applyAlignment="1">
      <alignment horizontal="center" vertical="center"/>
    </xf>
    <xf numFmtId="49" fontId="116" fillId="33" borderId="7" xfId="0" applyNumberFormat="1" applyFont="1" applyFill="1" applyBorder="1" applyAlignment="1">
      <alignment horizontal="center" vertical="top" wrapText="1"/>
    </xf>
    <xf numFmtId="49" fontId="116" fillId="33" borderId="41" xfId="0" applyNumberFormat="1" applyFont="1" applyFill="1" applyBorder="1" applyAlignment="1">
      <alignment horizontal="center" vertical="top" wrapText="1"/>
    </xf>
    <xf numFmtId="0" fontId="116" fillId="33" borderId="7" xfId="0" applyFont="1" applyFill="1" applyBorder="1" applyAlignment="1">
      <alignment horizontal="center" vertical="top" wrapText="1"/>
    </xf>
    <xf numFmtId="0" fontId="116" fillId="33" borderId="41" xfId="0" applyFont="1" applyFill="1" applyBorder="1" applyAlignment="1">
      <alignment horizontal="center" vertical="top" wrapText="1"/>
    </xf>
    <xf numFmtId="0" fontId="93" fillId="33" borderId="59" xfId="0" applyFont="1" applyFill="1" applyBorder="1" applyAlignment="1">
      <alignment horizontal="center" vertical="center"/>
    </xf>
    <xf numFmtId="0" fontId="93" fillId="33" borderId="40" xfId="0" applyFont="1" applyFill="1" applyBorder="1" applyAlignment="1">
      <alignment horizontal="center" vertical="center"/>
    </xf>
    <xf numFmtId="0" fontId="121" fillId="33" borderId="75" xfId="0" applyFont="1" applyFill="1" applyBorder="1" applyAlignment="1">
      <alignment horizontal="center" vertical="center" wrapText="1"/>
    </xf>
    <xf numFmtId="0" fontId="121" fillId="33" borderId="76" xfId="0" applyFont="1" applyFill="1" applyBorder="1" applyAlignment="1">
      <alignment horizontal="center" vertical="center" wrapText="1"/>
    </xf>
    <xf numFmtId="0" fontId="117" fillId="33" borderId="18" xfId="0" applyFont="1" applyFill="1" applyBorder="1" applyAlignment="1">
      <alignment horizontal="left" vertical="top" wrapText="1"/>
    </xf>
    <xf numFmtId="0" fontId="117" fillId="33" borderId="0" xfId="0" applyFont="1" applyFill="1" applyAlignment="1">
      <alignment horizontal="left" vertical="top" wrapText="1"/>
    </xf>
    <xf numFmtId="0" fontId="116" fillId="33" borderId="7" xfId="0" applyFont="1" applyFill="1" applyBorder="1" applyAlignment="1">
      <alignment horizontal="center"/>
    </xf>
    <xf numFmtId="0" fontId="116" fillId="33" borderId="41" xfId="0" applyFont="1" applyFill="1" applyBorder="1" applyAlignment="1">
      <alignment horizontal="center"/>
    </xf>
    <xf numFmtId="15" fontId="116" fillId="33" borderId="3" xfId="0" applyNumberFormat="1" applyFont="1" applyFill="1" applyBorder="1" applyAlignment="1">
      <alignment horizontal="center"/>
    </xf>
    <xf numFmtId="0" fontId="116" fillId="33" borderId="56" xfId="0" applyFont="1" applyFill="1" applyBorder="1" applyAlignment="1">
      <alignment horizontal="center" vertical="center"/>
    </xf>
    <xf numFmtId="0" fontId="116" fillId="33" borderId="57" xfId="0" applyFont="1" applyFill="1" applyBorder="1" applyAlignment="1">
      <alignment horizontal="center" vertical="center"/>
    </xf>
    <xf numFmtId="0" fontId="116" fillId="33" borderId="18" xfId="0" applyFont="1" applyFill="1" applyBorder="1" applyAlignment="1">
      <alignment horizontal="center" vertical="center" wrapText="1"/>
    </xf>
    <xf numFmtId="0" fontId="116" fillId="33" borderId="0" xfId="0" applyFont="1" applyFill="1" applyAlignment="1">
      <alignment horizontal="center" vertical="center" wrapText="1"/>
    </xf>
    <xf numFmtId="0" fontId="116" fillId="33" borderId="37" xfId="0" applyFont="1" applyFill="1" applyBorder="1" applyAlignment="1">
      <alignment horizontal="center" vertical="center" wrapText="1"/>
    </xf>
    <xf numFmtId="0" fontId="116" fillId="33" borderId="64" xfId="0" applyFont="1" applyFill="1" applyBorder="1" applyAlignment="1">
      <alignment horizontal="center"/>
    </xf>
    <xf numFmtId="0" fontId="116" fillId="33" borderId="62" xfId="0" applyFont="1" applyFill="1" applyBorder="1" applyAlignment="1">
      <alignment horizontal="center"/>
    </xf>
    <xf numFmtId="0" fontId="116" fillId="33" borderId="63" xfId="0" applyFont="1" applyFill="1" applyBorder="1" applyAlignment="1">
      <alignment horizontal="center"/>
    </xf>
    <xf numFmtId="0" fontId="116" fillId="33" borderId="65" xfId="0" applyFont="1" applyFill="1" applyBorder="1" applyAlignment="1">
      <alignment horizontal="center"/>
    </xf>
    <xf numFmtId="0" fontId="124" fillId="35" borderId="26" xfId="1451" applyFont="1" applyFill="1" applyBorder="1" applyAlignment="1">
      <alignment horizontal="center" vertical="center"/>
    </xf>
    <xf numFmtId="0" fontId="124" fillId="35" borderId="36" xfId="1451" applyFont="1" applyFill="1" applyBorder="1" applyAlignment="1">
      <alignment horizontal="center" vertical="center"/>
    </xf>
    <xf numFmtId="0" fontId="124" fillId="35" borderId="48" xfId="1451" applyFont="1" applyFill="1" applyBorder="1" applyAlignment="1">
      <alignment horizontal="center" vertical="center"/>
    </xf>
    <xf numFmtId="0" fontId="124" fillId="35" borderId="28" xfId="1451" applyFont="1" applyFill="1" applyBorder="1" applyAlignment="1">
      <alignment horizontal="center" vertical="center"/>
    </xf>
    <xf numFmtId="0" fontId="124" fillId="35" borderId="0" xfId="1451" applyFont="1" applyFill="1" applyAlignment="1">
      <alignment horizontal="center" vertical="center"/>
    </xf>
    <xf numFmtId="0" fontId="124" fillId="35" borderId="37" xfId="1451" applyFont="1" applyFill="1" applyBorder="1" applyAlignment="1">
      <alignment horizontal="center" vertical="center"/>
    </xf>
    <xf numFmtId="0" fontId="124" fillId="35" borderId="34" xfId="1451" applyFont="1" applyFill="1" applyBorder="1" applyAlignment="1">
      <alignment horizontal="center" vertical="center"/>
    </xf>
    <xf numFmtId="0" fontId="124" fillId="35" borderId="19" xfId="1451" applyFont="1" applyFill="1" applyBorder="1" applyAlignment="1">
      <alignment horizontal="center" vertical="center"/>
    </xf>
    <xf numFmtId="0" fontId="124" fillId="35" borderId="31" xfId="1451" applyFont="1" applyFill="1" applyBorder="1" applyAlignment="1">
      <alignment horizontal="center" vertical="center"/>
    </xf>
    <xf numFmtId="0" fontId="162" fillId="0" borderId="0" xfId="1451" applyFont="1" applyAlignment="1">
      <alignment horizontal="left"/>
    </xf>
    <xf numFmtId="43" fontId="155" fillId="0" borderId="0" xfId="1614" applyNumberFormat="1" applyFont="1" applyAlignment="1">
      <alignment horizontal="left" vertical="top" wrapText="1"/>
    </xf>
  </cellXfs>
  <cellStyles count="338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3" xfId="2901" xr:uid="{56C809E9-E525-4D16-BC9E-FF2A892E9B54}"/>
    <cellStyle name="Comma [0] 11 3" xfId="535" xr:uid="{00000000-0005-0000-0000-000017020000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3" xfId="2904" xr:uid="{5C3B9A18-950F-4DE5-9C52-1F1296869748}"/>
    <cellStyle name="Comma [0] 12 4" xfId="2902" xr:uid="{99BCCA6F-4BFA-416A-9F12-8C5740FF3EE9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3" xfId="2910" xr:uid="{7F54D159-D09E-4040-A8B6-00E4D5AA7A1B}"/>
    <cellStyle name="Comma [0] 18 3" xfId="557" xr:uid="{00000000-0005-0000-0000-00002D020000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3" xfId="2912" xr:uid="{644C7D1C-7334-47CC-B8D6-A430430C29FC}"/>
    <cellStyle name="Comma [0] 19 3" xfId="561" xr:uid="{00000000-0005-0000-0000-000031020000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3" xfId="2922" xr:uid="{52EB1D73-9647-4505-B93F-CC969CD219C3}"/>
    <cellStyle name="Comma [0] 2 2 2 2 2 2 2 4" xfId="2920" xr:uid="{E692216F-B0B4-4BB9-A627-97233D982EC6}"/>
    <cellStyle name="Comma [0] 2 2 2 2 2 2 3" xfId="578" xr:uid="{00000000-0005-0000-0000-000042020000}"/>
    <cellStyle name="Comma [0] 2 2 2 2 2 2 3 2" xfId="2923" xr:uid="{A77F1E1E-9D60-4752-9DC0-CE5DC06E53B1}"/>
    <cellStyle name="Comma [0] 2 2 2 2 2 2 4" xfId="579" xr:uid="{00000000-0005-0000-0000-000043020000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3" xfId="2925" xr:uid="{A759050E-D27B-4ACD-AF69-B645B0B10A9C}"/>
    <cellStyle name="Comma [0] 2 2 2 2 2 5" xfId="2918" xr:uid="{AB84DAE5-3105-48EE-AFA8-0E5AF34EEB9C}"/>
    <cellStyle name="Comma [0] 2 2 2 2 3" xfId="584" xr:uid="{00000000-0005-0000-0000-000048020000}"/>
    <cellStyle name="Comma [0] 2 2 2 2 3 2" xfId="2926" xr:uid="{18971653-2CA5-48DE-8267-773E1101B5DC}"/>
    <cellStyle name="Comma [0] 2 2 2 2 4" xfId="585" xr:uid="{00000000-0005-0000-0000-000049020000}"/>
    <cellStyle name="Comma [0] 2 2 2 2 4 2" xfId="2927" xr:uid="{E0FEAE12-E0E7-4348-8FEB-F32F57795C1C}"/>
    <cellStyle name="Comma [0] 2 2 2 2 5" xfId="586" xr:uid="{00000000-0005-0000-0000-00004A02000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3" xfId="2930" xr:uid="{86A4FE35-4158-4CB0-BDFA-84069A519708}"/>
    <cellStyle name="Comma [0] 2 2 2 6" xfId="593" xr:uid="{00000000-0005-0000-0000-00005102000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4" xfId="595" xr:uid="{00000000-0005-0000-0000-000053020000}"/>
    <cellStyle name="Comma [0] 2 2 4 2" xfId="2932" xr:uid="{C9CCE147-48D5-4E4B-9D1E-96FC8DCB7AAC}"/>
    <cellStyle name="Comma [0] 2 2 5" xfId="596" xr:uid="{00000000-0005-0000-0000-000054020000}"/>
    <cellStyle name="Comma [0] 2 2 5 2" xfId="2933" xr:uid="{3BA5F741-83D3-4C00-B64C-5D0C44E1BDB1}"/>
    <cellStyle name="Comma [0] 2 2 6" xfId="597" xr:uid="{00000000-0005-0000-0000-000055020000}"/>
    <cellStyle name="Comma [0] 2 2 6 2" xfId="598" xr:uid="{00000000-0005-0000-0000-000056020000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7" xfId="613" xr:uid="{00000000-0005-0000-0000-000065020000}"/>
    <cellStyle name="Comma [0] 2 3 8" xfId="614" xr:uid="{00000000-0005-0000-0000-000066020000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3" xfId="656" xr:uid="{00000000-0005-0000-0000-000090020000}"/>
    <cellStyle name="Comma [0] 23 2" xfId="2981" xr:uid="{F1385260-B0CB-4E72-8E4C-691543042BAB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3" xfId="2983" xr:uid="{D44D7F46-8DFB-4ED0-826F-5990A21DF477}"/>
    <cellStyle name="Comma [0] 24 3" xfId="660" xr:uid="{00000000-0005-0000-0000-000094020000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27 3" xfId="2985" xr:uid="{93C28C36-7A54-4C67-A9B8-2CB1E65E9557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4" xfId="2986" xr:uid="{3E11F46F-86BF-457D-AAF8-F36350F33CFF}"/>
    <cellStyle name="Comma [0] 3 3" xfId="669" xr:uid="{00000000-0005-0000-0000-00009D020000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3" xfId="3002" xr:uid="{FD19AC32-37E0-467E-AD02-D38723F54C9E}"/>
    <cellStyle name="Comma [0] 8 4" xfId="698" xr:uid="{00000000-0005-0000-0000-0000BA020000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3" xfId="3015" xr:uid="{D4296D05-C153-46E6-89B9-366396362C85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3" xfId="3022" xr:uid="{339E7626-38FF-4328-818B-93BEDF3DD077}"/>
    <cellStyle name="Comma 12 7" xfId="742" xr:uid="{00000000-0005-0000-0000-0000E6020000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3" xfId="3024" xr:uid="{F1E36446-09C1-480C-B039-710911FC658F}"/>
    <cellStyle name="Comma 13 3" xfId="746" xr:uid="{00000000-0005-0000-0000-0000EA020000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3" xfId="3027" xr:uid="{83581F20-972A-43C9-8419-BFF7BF04B014}"/>
    <cellStyle name="Comma 14 2 3" xfId="751" xr:uid="{00000000-0005-0000-0000-0000EF020000}"/>
    <cellStyle name="Comma 14 2 4" xfId="3026" xr:uid="{F8247EB5-E4C0-491D-8563-509141C72D57}"/>
    <cellStyle name="Comma 14 3" xfId="752" xr:uid="{00000000-0005-0000-0000-0000F0020000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3" xfId="3031" xr:uid="{57FE5085-1B76-45BD-9075-347E7B7AF522}"/>
    <cellStyle name="Comma 15 5" xfId="760" xr:uid="{00000000-0005-0000-0000-0000F8020000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3" xfId="3036" xr:uid="{79EB30D2-A693-4775-8421-B8C559DA9B2E}"/>
    <cellStyle name="Comma 18 3" xfId="769" xr:uid="{00000000-0005-0000-0000-000001030000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3" xfId="3057" xr:uid="{A912B6DB-EE4A-4651-A2DC-3EF2FC964E42}"/>
    <cellStyle name="Comma 2 2 2 2 2 2 2 4" xfId="3055" xr:uid="{A5F63825-5350-4D7B-9D88-09A52BA42B0B}"/>
    <cellStyle name="Comma 2 2 2 2 2 2 3" xfId="806" xr:uid="{00000000-0005-0000-0000-000026030000}"/>
    <cellStyle name="Comma 2 2 2 2 2 2 3 2" xfId="3058" xr:uid="{4D2EF11E-6DB9-49E1-A02C-F3AC680431D3}"/>
    <cellStyle name="Comma 2 2 2 2 2 2 4" xfId="807" xr:uid="{00000000-0005-0000-0000-000027030000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3" xfId="3060" xr:uid="{C2B9D5D3-AEF7-4D9C-8441-9C787B46E48A}"/>
    <cellStyle name="Comma 2 2 2 2 2 5" xfId="3053" xr:uid="{292E16A3-50C0-4300-B2A0-C61C77350C20}"/>
    <cellStyle name="Comma 2 2 2 2 3" xfId="812" xr:uid="{00000000-0005-0000-0000-00002C030000}"/>
    <cellStyle name="Comma 2 2 2 2 3 2" xfId="3061" xr:uid="{77E7F2D4-EB1C-49C4-B9B2-4930A683FA23}"/>
    <cellStyle name="Comma 2 2 2 2 4" xfId="813" xr:uid="{00000000-0005-0000-0000-00002D030000}"/>
    <cellStyle name="Comma 2 2 2 2 4 2" xfId="3062" xr:uid="{EF259039-703B-4878-97EA-1EF79FAA0879}"/>
    <cellStyle name="Comma 2 2 2 2 5" xfId="814" xr:uid="{00000000-0005-0000-0000-00002E030000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5" xfId="824" xr:uid="{00000000-0005-0000-0000-000038030000}"/>
    <cellStyle name="Comma 2 2 5 2" xfId="3068" xr:uid="{4BC0779D-8E6A-4D1A-A3B3-265220889FF9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3" xfId="3113" xr:uid="{12B0CA1A-DD18-42EB-8EA2-C30D64AB2CDB}"/>
    <cellStyle name="Comma 2 58 5" xfId="918" xr:uid="{00000000-0005-0000-0000-000096030000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3" xfId="3119" xr:uid="{BBE64F19-6DDB-4B0E-855F-8DBE7DE85715}"/>
    <cellStyle name="Comma 20 3" xfId="953" xr:uid="{00000000-0005-0000-0000-0000B903000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3" xfId="3121" xr:uid="{1ADD6D14-A05B-40A4-8BC2-B83F674A8B02}"/>
    <cellStyle name="Comma 21 3" xfId="957" xr:uid="{00000000-0005-0000-0000-0000BD030000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3" xfId="3123" xr:uid="{8662D34A-87FE-4E93-8D66-C4B9E2E8EC06}"/>
    <cellStyle name="Comma 22 3" xfId="961" xr:uid="{00000000-0005-0000-0000-0000C1030000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8" xfId="971" xr:uid="{00000000-0005-0000-0000-0000CB030000}"/>
    <cellStyle name="Comma 28 2" xfId="972" xr:uid="{00000000-0005-0000-0000-0000CC030000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3 4" xfId="3182" xr:uid="{9F82FAF5-27C0-45C9-84D7-C51609381F8D}"/>
    <cellStyle name="Comma 34" xfId="1038" xr:uid="{00000000-0005-0000-0000-00000E040000}"/>
    <cellStyle name="Comma 34 2" xfId="1039" xr:uid="{00000000-0005-0000-0000-00000F040000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3" xfId="3186" xr:uid="{F7828FDB-280A-4DB2-A34D-13055E70D125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 6" xfId="3185" xr:uid="{DB7B830A-8ED3-475D-9BE0-A00F7F10C261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2 3" xfId="3187" xr:uid="{C0A33045-EC4F-4689-9FC0-9AACC9E26ED7}"/>
    <cellStyle name="Comma 45" xfId="1056" xr:uid="{00000000-0005-0000-0000-000020040000}"/>
    <cellStyle name="Comma 45 2" xfId="1057" xr:uid="{00000000-0005-0000-0000-000021040000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3" xfId="3196" xr:uid="{617E6A58-3CD2-4746-8BB7-1993A4ABE718}"/>
    <cellStyle name="Comma 58" xfId="1076" xr:uid="{00000000-0005-0000-0000-000034040000}"/>
    <cellStyle name="Comma 58 2" xfId="1077" xr:uid="{00000000-0005-0000-0000-00003504000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3" xfId="3207" xr:uid="{648F0BE3-19F6-40CE-8536-897CE90C6E10}"/>
    <cellStyle name="Comma 7 4" xfId="3205" xr:uid="{B12EFE5C-D056-4BAE-B5DA-7C1A3BF49D5E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3" xfId="3213" xr:uid="{8971175D-897D-4AE1-AD6B-222E20BFBB24}"/>
    <cellStyle name="Comma 8 2 3" xfId="1104" xr:uid="{00000000-0005-0000-0000-000050040000}"/>
    <cellStyle name="Comma 8 2 4" xfId="3212" xr:uid="{27C17A73-FA94-4E80-84C4-AD3DCC26A00F}"/>
    <cellStyle name="Comma 8 3" xfId="1105" xr:uid="{00000000-0005-0000-0000-000051040000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 4" xfId="2694" xr:uid="{B37BEAAF-FB27-40B1-9038-FD4B8C20F131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5" xfId="2692" xr:uid="{44F62430-6188-47B9-AE7F-EB79CCC4D478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4" xfId="3260" xr:uid="{E2C51F0A-73AE-43E6-AC62-98B10C0EB78F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8" xfId="3262" xr:uid="{7D930580-CBA0-45C0-962B-5257BAEA215B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 4" xfId="3291" xr:uid="{635301BC-F383-4E63-BF06-A50CA37FCD63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 4" xfId="3292" xr:uid="{FC7A31D4-D0D5-4DC0-9A7C-2D437D486A01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 4" xfId="3293" xr:uid="{D50CF4AC-B985-4C69-81E1-3BDA35AF95F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 4" xfId="3294" xr:uid="{1F04B7CF-6F4D-4E5C-B9E3-2932436C5F49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 4" xfId="3295" xr:uid="{5C632049-1586-4B5A-9123-1A05AFD9A02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 4" xfId="3296" xr:uid="{E3B5CF06-C930-4B74-A8B7-98418645863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 4" xfId="3297" xr:uid="{B289E0C4-5219-4328-AC08-6E5162768C21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 4" xfId="3298" xr:uid="{A022EFBD-0457-43FE-93A2-9680FCED381E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 4" xfId="3299" xr:uid="{20B1DF31-EE27-4BF4-9C5F-CB505333A17B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 4" xfId="3300" xr:uid="{7D5523E1-E51F-43FA-9C11-61AE1ECCD06A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 4" xfId="3301" xr:uid="{DF392157-20FB-4C10-AC87-00CA2B72942E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 4" xfId="3302" xr:uid="{2DE4B2FC-83A0-42D7-94B8-94B0547F0684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 4" xfId="3303" xr:uid="{54DE021C-7E40-4199-BB26-9C931E4F2FEC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 4" xfId="3304" xr:uid="{89E1DADF-8075-420F-8FEA-FA29055B5505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 4" xfId="3305" xr:uid="{8505BD6A-B679-47FB-A836-85B46333D10C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 4" xfId="3306" xr:uid="{F2AAE5A1-C9B7-46F7-A1D2-A6FA25CC02E5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 4" xfId="3307" xr:uid="{9B262350-0361-47E3-B23D-C3EFDD4AFE3F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 4" xfId="3308" xr:uid="{F8AA5604-C2D9-4BE0-B93D-9A34B1900D2B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 4" xfId="3309" xr:uid="{B5ACD420-A955-4AF6-9320-2EF6F5AD10C9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 4" xfId="3310" xr:uid="{61BF7309-909A-4ECA-B0AE-E074E4D3769C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 4" xfId="3311" xr:uid="{7093E9B6-ED01-45E0-BEC8-A2F2498F82EA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 4" xfId="3312" xr:uid="{4A7AED1F-3FC2-4C72-B973-8AF1D1B8ACDA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 4" xfId="3313" xr:uid="{24DB31D7-9DB4-467D-B95E-F0141D29C108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 4" xfId="3314" xr:uid="{D59BE19E-0575-4AF6-842F-E0BFB23AB60A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 4" xfId="3315" xr:uid="{9EBB00CF-22C4-430E-B2A9-891E8141BA22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 4" xfId="3316" xr:uid="{5E8F4200-D52D-4291-BDA0-96B2B0949589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 4" xfId="3317" xr:uid="{44B22F36-8559-4FBC-8FC5-88C3AEB460F1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 4" xfId="3318" xr:uid="{DCD141E3-E3B2-4EB9-8A62-746BE733B7B1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 4" xfId="3319" xr:uid="{2AB9B911-8824-40B6-B1FF-1885532D25C7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 4" xfId="3320" xr:uid="{8DA3D6C4-A746-4F96-A1BC-AF4943EAEA31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 4" xfId="3321" xr:uid="{C898CEFB-A1A9-4083-879D-94769BB17A0F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 4" xfId="3322" xr:uid="{919DCAFD-BA45-4718-8F96-8AEF4E0E0177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 4" xfId="3323" xr:uid="{22A8AD11-F50E-42E3-867A-1EF75F3B0F6C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 4" xfId="3324" xr:uid="{37ADA00E-43B3-4467-9C41-A2D09F2A8622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 4" xfId="3325" xr:uid="{7CEDF028-2CCC-4D96-B89C-27E3600BD081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 4" xfId="3326" xr:uid="{71D3340D-4E70-4BF5-8C08-A8151F7FB7D3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 4" xfId="3327" xr:uid="{626AA525-C2FF-4DC6-9BE0-104D273D2CCA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 4" xfId="3328" xr:uid="{E79AC231-CFB8-4D87-B05C-317D4419DA07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 4" xfId="3329" xr:uid="{C592B71B-8874-41FC-9CE1-95C9B48FCA3E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 4" xfId="3330" xr:uid="{BB0ABEC9-B454-4F77-834C-6D611339CF04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 4" xfId="3331" xr:uid="{71C853B7-736D-4801-B9FD-393232A7E1E2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 4" xfId="3332" xr:uid="{4A540369-4FAD-42A7-9CF0-8DE0EB3AB369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 4" xfId="3333" xr:uid="{9CF2F042-3B53-40BB-9D37-89DA46C9BAAC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 4" xfId="3334" xr:uid="{16808FD0-904B-4EF0-AE2E-96D0A166EB7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 4" xfId="3335" xr:uid="{96678D52-40D5-4321-A6B8-177DED92CCE3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 4" xfId="3336" xr:uid="{7B758A73-490D-4951-94FD-64039D089986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 4" xfId="3337" xr:uid="{B6470EC2-4A3D-4F01-AF60-F61B55ACB861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 4" xfId="3338" xr:uid="{171EA315-9363-46C1-B053-286CD271FCA4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 4" xfId="3339" xr:uid="{FC1FFDCA-E227-471E-AC42-2CC6A6D58D84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 4" xfId="3340" xr:uid="{BA2B0224-85F1-4C99-8702-2F088FFF9A85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 4" xfId="3341" xr:uid="{01A20DE4-A345-447B-9688-84BD6B61BB48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 4" xfId="3342" xr:uid="{0F6AAF5E-DBDE-4B3B-BE82-533A4842E6B1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 4" xfId="3343" xr:uid="{BFE5131E-F159-4CF4-AC7E-5B687C0D0158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 4" xfId="3344" xr:uid="{0939E711-E70E-44FC-8AF8-6EF4F68302DA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 4" xfId="3345" xr:uid="{CA6ECB73-DBF2-4037-9B0E-9DC3B2279B9C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 4" xfId="3346" xr:uid="{9117C561-A2A7-463B-8EB7-96CB7B3F2EB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 4" xfId="3347" xr:uid="{18B86224-717E-4BE5-AEF4-219EE9E90F24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 4" xfId="3348" xr:uid="{FAA7F6CE-FB6F-4C49-82DB-30E61BFFB3D5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 4" xfId="3349" xr:uid="{CE352438-E17A-43B1-B0DA-37B3E816F236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 4" xfId="3350" xr:uid="{62463FE0-83C0-4B86-8705-E4B5A1ED376C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 4" xfId="3351" xr:uid="{5326EB08-B7DB-4850-86AA-689A98FA75AE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 4" xfId="3352" xr:uid="{D9FA8E9A-0515-48DB-97FE-65AEB04846EB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 4" xfId="3353" xr:uid="{262FA922-FC5B-49C6-85F9-FDB3DFD4364C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bt2 3" xfId="3386" xr:uid="{C388C377-9D31-4001-8867-7FA674D891F0}"/>
    <cellStyle name="subt1" xfId="2589" xr:uid="{00000000-0005-0000-0000-00001F0A0000}"/>
    <cellStyle name="subt1 2" xfId="2590" xr:uid="{00000000-0005-0000-0000-0000200A0000}"/>
    <cellStyle name="subt1 3" xfId="3387" xr:uid="{465694C6-D059-4306-8695-F4759D8BF803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62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emf"/><Relationship Id="rId13" Type="http://schemas.openxmlformats.org/officeDocument/2006/relationships/image" Target="../media/image28.emf"/><Relationship Id="rId3" Type="http://schemas.openxmlformats.org/officeDocument/2006/relationships/image" Target="../media/image18.emf"/><Relationship Id="rId7" Type="http://schemas.openxmlformats.org/officeDocument/2006/relationships/image" Target="../media/image22.emf"/><Relationship Id="rId12" Type="http://schemas.openxmlformats.org/officeDocument/2006/relationships/image" Target="../media/image27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6" Type="http://schemas.openxmlformats.org/officeDocument/2006/relationships/image" Target="../media/image21.emf"/><Relationship Id="rId11" Type="http://schemas.openxmlformats.org/officeDocument/2006/relationships/image" Target="../media/image26.emf"/><Relationship Id="rId5" Type="http://schemas.openxmlformats.org/officeDocument/2006/relationships/image" Target="../media/image20.emf"/><Relationship Id="rId10" Type="http://schemas.openxmlformats.org/officeDocument/2006/relationships/image" Target="../media/image25.emf"/><Relationship Id="rId4" Type="http://schemas.openxmlformats.org/officeDocument/2006/relationships/image" Target="../media/image19.emf"/><Relationship Id="rId9" Type="http://schemas.openxmlformats.org/officeDocument/2006/relationships/image" Target="../media/image24.emf"/><Relationship Id="rId14" Type="http://schemas.openxmlformats.org/officeDocument/2006/relationships/image" Target="../media/image29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127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128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166</xdr:row>
      <xdr:rowOff>81642</xdr:rowOff>
    </xdr:from>
    <xdr:to>
      <xdr:col>12</xdr:col>
      <xdr:colOff>41108</xdr:colOff>
      <xdr:row>169</xdr:row>
      <xdr:rowOff>185508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0D4E3E-6DDD-4D88-8962-7FA1CEEF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346387</xdr:colOff>
      <xdr:row>1</xdr:row>
      <xdr:rowOff>78442</xdr:rowOff>
    </xdr:from>
    <xdr:to>
      <xdr:col>21</xdr:col>
      <xdr:colOff>61686</xdr:colOff>
      <xdr:row>6</xdr:row>
      <xdr:rowOff>91566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D6474E8-45FB-41D1-9237-637ED47057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756152" y="235324"/>
          <a:ext cx="858299" cy="797536"/>
        </a:xfrm>
        <a:prstGeom prst="rect">
          <a:avLst/>
        </a:prstGeom>
      </xdr:spPr>
    </xdr:pic>
    <xdr:clientData/>
  </xdr:twoCellAnchor>
  <xdr:twoCellAnchor>
    <xdr:from>
      <xdr:col>26</xdr:col>
      <xdr:colOff>23969</xdr:colOff>
      <xdr:row>5</xdr:row>
      <xdr:rowOff>38072</xdr:rowOff>
    </xdr:from>
    <xdr:to>
      <xdr:col>29</xdr:col>
      <xdr:colOff>311192</xdr:colOff>
      <xdr:row>16</xdr:row>
      <xdr:rowOff>142121</xdr:rowOff>
    </xdr:to>
    <xdr:grpSp>
      <xdr:nvGrpSpPr>
        <xdr:cNvPr id="98" name="Group 97">
          <a:extLst>
            <a:ext uri="{FF2B5EF4-FFF2-40B4-BE49-F238E27FC236}">
              <a16:creationId xmlns:a16="http://schemas.microsoft.com/office/drawing/2014/main" id="{B0220285-EE97-4E6E-A95C-45576091A7EB}"/>
            </a:ext>
          </a:extLst>
        </xdr:cNvPr>
        <xdr:cNvGrpSpPr/>
      </xdr:nvGrpSpPr>
      <xdr:grpSpPr>
        <a:xfrm>
          <a:off x="9510869" y="819122"/>
          <a:ext cx="1487373" cy="1789974"/>
          <a:chOff x="9713886" y="808452"/>
          <a:chExt cx="1342558" cy="1766630"/>
        </a:xfrm>
      </xdr:grpSpPr>
      <xdr:grpSp>
        <xdr:nvGrpSpPr>
          <xdr:cNvPr id="100" name="Group 13">
            <a:extLst>
              <a:ext uri="{FF2B5EF4-FFF2-40B4-BE49-F238E27FC236}">
                <a16:creationId xmlns:a16="http://schemas.microsoft.com/office/drawing/2014/main" id="{50C9901A-C801-0776-8FE4-B2C270794108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61" name="Oval 1">
              <a:extLst>
                <a:ext uri="{FF2B5EF4-FFF2-40B4-BE49-F238E27FC236}">
                  <a16:creationId xmlns:a16="http://schemas.microsoft.com/office/drawing/2014/main" id="{5FF210CF-F4E7-3D2B-931B-2E7D3D8CA5C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62" name="Straight Connector 3">
              <a:extLst>
                <a:ext uri="{FF2B5EF4-FFF2-40B4-BE49-F238E27FC236}">
                  <a16:creationId xmlns:a16="http://schemas.microsoft.com/office/drawing/2014/main" id="{762C6821-1D93-EE49-F11E-3DB5AABA0D16}"/>
                </a:ext>
              </a:extLst>
            </xdr:cNvPr>
            <xdr:cNvCxnSpPr>
              <a:stCxn id="118" idx="1"/>
              <a:endCxn id="11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3" name="Straight Connector 7">
              <a:extLst>
                <a:ext uri="{FF2B5EF4-FFF2-40B4-BE49-F238E27FC236}">
                  <a16:creationId xmlns:a16="http://schemas.microsoft.com/office/drawing/2014/main" id="{1B71846B-C579-5610-4EB6-7B7798435E84}"/>
                </a:ext>
              </a:extLst>
            </xdr:cNvPr>
            <xdr:cNvCxnSpPr>
              <a:stCxn id="118" idx="3"/>
              <a:endCxn id="11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1" name="Oval 100">
            <a:extLst>
              <a:ext uri="{FF2B5EF4-FFF2-40B4-BE49-F238E27FC236}">
                <a16:creationId xmlns:a16="http://schemas.microsoft.com/office/drawing/2014/main" id="{1ED72490-DD0F-F5B2-9D07-9FDBFF9CBA22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02" name="Group 101">
            <a:extLst>
              <a:ext uri="{FF2B5EF4-FFF2-40B4-BE49-F238E27FC236}">
                <a16:creationId xmlns:a16="http://schemas.microsoft.com/office/drawing/2014/main" id="{205F34CF-2A28-583B-0529-95EF820167E1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58" name="Oval 157">
              <a:extLst>
                <a:ext uri="{FF2B5EF4-FFF2-40B4-BE49-F238E27FC236}">
                  <a16:creationId xmlns:a16="http://schemas.microsoft.com/office/drawing/2014/main" id="{C3F28DCD-DC48-0552-3329-10C656561C8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59" name="Straight Connector 158">
              <a:extLst>
                <a:ext uri="{FF2B5EF4-FFF2-40B4-BE49-F238E27FC236}">
                  <a16:creationId xmlns:a16="http://schemas.microsoft.com/office/drawing/2014/main" id="{F1CBA8F2-FE4F-39C6-8FAF-84768DBC520D}"/>
                </a:ext>
              </a:extLst>
            </xdr:cNvPr>
            <xdr:cNvCxnSpPr>
              <a:stCxn id="158" idx="1"/>
              <a:endCxn id="15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0" name="Straight Connector 159">
              <a:extLst>
                <a:ext uri="{FF2B5EF4-FFF2-40B4-BE49-F238E27FC236}">
                  <a16:creationId xmlns:a16="http://schemas.microsoft.com/office/drawing/2014/main" id="{193210BB-409A-7954-57CC-062A331656F6}"/>
                </a:ext>
              </a:extLst>
            </xdr:cNvPr>
            <xdr:cNvCxnSpPr>
              <a:stCxn id="158" idx="3"/>
              <a:endCxn id="15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3" name="Oval 102">
            <a:extLst>
              <a:ext uri="{FF2B5EF4-FFF2-40B4-BE49-F238E27FC236}">
                <a16:creationId xmlns:a16="http://schemas.microsoft.com/office/drawing/2014/main" id="{F02B710D-E15D-AA89-9665-0CC769BFB09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60384C31-6FCB-D2C4-0E0F-2E649056AAE9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01E2B950-29B2-1848-AF25-6F0E0904341B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7" name="Straight Connector 106">
            <a:extLst>
              <a:ext uri="{FF2B5EF4-FFF2-40B4-BE49-F238E27FC236}">
                <a16:creationId xmlns:a16="http://schemas.microsoft.com/office/drawing/2014/main" id="{54B67F37-6DDC-578E-2CE0-DFE1705C93D8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31F3EC0C-6A4C-8FCA-A44F-AC48EC5D7460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05AD8B54-0AC0-B7F0-3D77-466C53073A16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4C89575F-E9A9-4E6A-8315-4A539A817DF0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5998B5BA-A3BE-E234-564D-CD863F59CECC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3" name="Straight Connector 112">
            <a:extLst>
              <a:ext uri="{FF2B5EF4-FFF2-40B4-BE49-F238E27FC236}">
                <a16:creationId xmlns:a16="http://schemas.microsoft.com/office/drawing/2014/main" id="{B164A5BD-E660-0ED4-7643-39E4750F9741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4" name="Straight Connector 113">
            <a:extLst>
              <a:ext uri="{FF2B5EF4-FFF2-40B4-BE49-F238E27FC236}">
                <a16:creationId xmlns:a16="http://schemas.microsoft.com/office/drawing/2014/main" id="{02560172-58A2-F70E-8398-72A7DD6E66CC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5" name="Straight Connector 114">
            <a:extLst>
              <a:ext uri="{FF2B5EF4-FFF2-40B4-BE49-F238E27FC236}">
                <a16:creationId xmlns:a16="http://schemas.microsoft.com/office/drawing/2014/main" id="{BAED6733-4F62-727A-6367-25EC7E3509F9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6" name="Straight Connector 115">
            <a:extLst>
              <a:ext uri="{FF2B5EF4-FFF2-40B4-BE49-F238E27FC236}">
                <a16:creationId xmlns:a16="http://schemas.microsoft.com/office/drawing/2014/main" id="{48073994-7726-FBA4-29A9-E67BD670DF9A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7" name="Straight Connector 116">
            <a:extLst>
              <a:ext uri="{FF2B5EF4-FFF2-40B4-BE49-F238E27FC236}">
                <a16:creationId xmlns:a16="http://schemas.microsoft.com/office/drawing/2014/main" id="{3A10A7BA-D8F2-457F-18D7-39C5629A1113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8" name="Straight Connector 50">
            <a:extLst>
              <a:ext uri="{FF2B5EF4-FFF2-40B4-BE49-F238E27FC236}">
                <a16:creationId xmlns:a16="http://schemas.microsoft.com/office/drawing/2014/main" id="{A48ACB9E-DB2C-5482-BD0D-17818437C24E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118">
            <a:extLst>
              <a:ext uri="{FF2B5EF4-FFF2-40B4-BE49-F238E27FC236}">
                <a16:creationId xmlns:a16="http://schemas.microsoft.com/office/drawing/2014/main" id="{26A2B502-9AD4-AE10-D55B-59AF1C84280B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0" name="Straight Connector 52">
            <a:extLst>
              <a:ext uri="{FF2B5EF4-FFF2-40B4-BE49-F238E27FC236}">
                <a16:creationId xmlns:a16="http://schemas.microsoft.com/office/drawing/2014/main" id="{2A50B355-713A-5306-DEF5-2813E63F066E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1" name="Straight Connector 120">
            <a:extLst>
              <a:ext uri="{FF2B5EF4-FFF2-40B4-BE49-F238E27FC236}">
                <a16:creationId xmlns:a16="http://schemas.microsoft.com/office/drawing/2014/main" id="{2E46E561-9ED4-FFAB-8E91-4B4A7C837827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2" name="Straight Connector 121">
            <a:extLst>
              <a:ext uri="{FF2B5EF4-FFF2-40B4-BE49-F238E27FC236}">
                <a16:creationId xmlns:a16="http://schemas.microsoft.com/office/drawing/2014/main" id="{6100DD25-324C-7EE6-E16C-4157668F3B76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783D031E-237B-C782-6AA5-40AB9166972C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Straight Connector 123">
            <a:extLst>
              <a:ext uri="{FF2B5EF4-FFF2-40B4-BE49-F238E27FC236}">
                <a16:creationId xmlns:a16="http://schemas.microsoft.com/office/drawing/2014/main" id="{544036DA-7162-B315-70F8-41114D46A032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" name="Straight Connector 124">
            <a:extLst>
              <a:ext uri="{FF2B5EF4-FFF2-40B4-BE49-F238E27FC236}">
                <a16:creationId xmlns:a16="http://schemas.microsoft.com/office/drawing/2014/main" id="{06DA957E-B201-6D9C-DE91-93254E2E2AB7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AFF13467-09EE-1738-6526-D89443F802F5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61661414-1DB8-836C-E270-81F6813D9654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8" name="Isosceles Triangle 127">
            <a:extLst>
              <a:ext uri="{FF2B5EF4-FFF2-40B4-BE49-F238E27FC236}">
                <a16:creationId xmlns:a16="http://schemas.microsoft.com/office/drawing/2014/main" id="{CAA7B0CB-CCEC-CEC2-346D-55BCC5B1C729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29" name="Isosceles Triangle 128">
            <a:extLst>
              <a:ext uri="{FF2B5EF4-FFF2-40B4-BE49-F238E27FC236}">
                <a16:creationId xmlns:a16="http://schemas.microsoft.com/office/drawing/2014/main" id="{D58C91C4-2BED-646A-0FE6-B34DEEACEB91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30" name="Group 73">
            <a:extLst>
              <a:ext uri="{FF2B5EF4-FFF2-40B4-BE49-F238E27FC236}">
                <a16:creationId xmlns:a16="http://schemas.microsoft.com/office/drawing/2014/main" id="{08552458-3D8C-CE19-2F7A-62E95A8513F1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156" name="TextBox 155">
              <a:extLst>
                <a:ext uri="{FF2B5EF4-FFF2-40B4-BE49-F238E27FC236}">
                  <a16:creationId xmlns:a16="http://schemas.microsoft.com/office/drawing/2014/main" id="{49D0E229-2B8E-C108-3DD9-8B759C8D524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57" name="Straight Connector 156">
              <a:extLst>
                <a:ext uri="{FF2B5EF4-FFF2-40B4-BE49-F238E27FC236}">
                  <a16:creationId xmlns:a16="http://schemas.microsoft.com/office/drawing/2014/main" id="{14539FCB-D89D-2884-260F-41CEC915BBDD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1" name="Group 74">
            <a:extLst>
              <a:ext uri="{FF2B5EF4-FFF2-40B4-BE49-F238E27FC236}">
                <a16:creationId xmlns:a16="http://schemas.microsoft.com/office/drawing/2014/main" id="{0A652D11-CE4C-B844-B3EF-62A803970F9B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54" name="TextBox 153">
              <a:extLst>
                <a:ext uri="{FF2B5EF4-FFF2-40B4-BE49-F238E27FC236}">
                  <a16:creationId xmlns:a16="http://schemas.microsoft.com/office/drawing/2014/main" id="{0D1C1100-84E2-239C-9A72-426777E3FF6E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55" name="Straight Connector 154">
              <a:extLst>
                <a:ext uri="{FF2B5EF4-FFF2-40B4-BE49-F238E27FC236}">
                  <a16:creationId xmlns:a16="http://schemas.microsoft.com/office/drawing/2014/main" id="{FD41C644-60AA-884E-BDB7-EDBF245FE343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2" name="Group 89">
            <a:extLst>
              <a:ext uri="{FF2B5EF4-FFF2-40B4-BE49-F238E27FC236}">
                <a16:creationId xmlns:a16="http://schemas.microsoft.com/office/drawing/2014/main" id="{F167137F-D4B0-1397-5D25-F0893FCE2079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50" name="Straight Connector 149">
              <a:extLst>
                <a:ext uri="{FF2B5EF4-FFF2-40B4-BE49-F238E27FC236}">
                  <a16:creationId xmlns:a16="http://schemas.microsoft.com/office/drawing/2014/main" id="{8922B58E-C463-5272-5B92-CEC79DE2519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1" name="Straight Connector 79">
              <a:extLst>
                <a:ext uri="{FF2B5EF4-FFF2-40B4-BE49-F238E27FC236}">
                  <a16:creationId xmlns:a16="http://schemas.microsoft.com/office/drawing/2014/main" id="{B43B55BE-F998-02E6-25F5-ECF496F07E2B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2" name="Straight Connector 80">
              <a:extLst>
                <a:ext uri="{FF2B5EF4-FFF2-40B4-BE49-F238E27FC236}">
                  <a16:creationId xmlns:a16="http://schemas.microsoft.com/office/drawing/2014/main" id="{04B550B3-FA10-EFCF-E2AB-FAA679F66B1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3" name="Straight Connector 88">
              <a:extLst>
                <a:ext uri="{FF2B5EF4-FFF2-40B4-BE49-F238E27FC236}">
                  <a16:creationId xmlns:a16="http://schemas.microsoft.com/office/drawing/2014/main" id="{CFCC0818-65BC-C4B3-B978-CE6E0D5563F3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3" name="Group 90">
            <a:extLst>
              <a:ext uri="{FF2B5EF4-FFF2-40B4-BE49-F238E27FC236}">
                <a16:creationId xmlns:a16="http://schemas.microsoft.com/office/drawing/2014/main" id="{87368B0D-E0CD-3EC2-D9A0-0DECB970356B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46" name="Straight Connector 145">
              <a:extLst>
                <a:ext uri="{FF2B5EF4-FFF2-40B4-BE49-F238E27FC236}">
                  <a16:creationId xmlns:a16="http://schemas.microsoft.com/office/drawing/2014/main" id="{1773F9F8-E733-B7FE-1BE9-0E51F202F454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7" name="Straight Connector 146">
              <a:extLst>
                <a:ext uri="{FF2B5EF4-FFF2-40B4-BE49-F238E27FC236}">
                  <a16:creationId xmlns:a16="http://schemas.microsoft.com/office/drawing/2014/main" id="{4B815E5A-9254-EAB0-25B5-DB58F08EADB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8" name="Straight Connector 147">
              <a:extLst>
                <a:ext uri="{FF2B5EF4-FFF2-40B4-BE49-F238E27FC236}">
                  <a16:creationId xmlns:a16="http://schemas.microsoft.com/office/drawing/2014/main" id="{71E14BAF-F324-EAD6-04F5-4B844C20A56E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9" name="Straight Connector 148">
              <a:extLst>
                <a:ext uri="{FF2B5EF4-FFF2-40B4-BE49-F238E27FC236}">
                  <a16:creationId xmlns:a16="http://schemas.microsoft.com/office/drawing/2014/main" id="{9D1016D4-6D69-38A3-56AA-375D12578899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2E37EC39-5E35-AD5A-5CF1-9E60DCC1786B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2F93CE7D-A8B4-47AE-2780-128DC91FD3EE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Arrow Connector 135">
            <a:extLst>
              <a:ext uri="{FF2B5EF4-FFF2-40B4-BE49-F238E27FC236}">
                <a16:creationId xmlns:a16="http://schemas.microsoft.com/office/drawing/2014/main" id="{543B080B-B410-476D-D7E4-29233BCF46BD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Arrow Connector 136">
            <a:extLst>
              <a:ext uri="{FF2B5EF4-FFF2-40B4-BE49-F238E27FC236}">
                <a16:creationId xmlns:a16="http://schemas.microsoft.com/office/drawing/2014/main" id="{9CE5843D-0E3D-41C4-D873-C5DD09EE3E3F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38" name="Group 155">
            <a:extLst>
              <a:ext uri="{FF2B5EF4-FFF2-40B4-BE49-F238E27FC236}">
                <a16:creationId xmlns:a16="http://schemas.microsoft.com/office/drawing/2014/main" id="{BCD8227E-6ADC-0C2E-C628-5734318E5A17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143" name="Isosceles Triangle 142">
              <a:extLst>
                <a:ext uri="{FF2B5EF4-FFF2-40B4-BE49-F238E27FC236}">
                  <a16:creationId xmlns:a16="http://schemas.microsoft.com/office/drawing/2014/main" id="{D5D0619C-2A09-8145-869D-DC68D98672FF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4" name="Isosceles Triangle 143">
              <a:extLst>
                <a:ext uri="{FF2B5EF4-FFF2-40B4-BE49-F238E27FC236}">
                  <a16:creationId xmlns:a16="http://schemas.microsoft.com/office/drawing/2014/main" id="{63569B17-CB95-BB1D-EEE2-A6BBA1434CD6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5" name="Isosceles Triangle 144">
              <a:extLst>
                <a:ext uri="{FF2B5EF4-FFF2-40B4-BE49-F238E27FC236}">
                  <a16:creationId xmlns:a16="http://schemas.microsoft.com/office/drawing/2014/main" id="{46E673B2-C5B4-81B5-1CE7-F1AE02D23F25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39" name="Group 134">
            <a:extLst>
              <a:ext uri="{FF2B5EF4-FFF2-40B4-BE49-F238E27FC236}">
                <a16:creationId xmlns:a16="http://schemas.microsoft.com/office/drawing/2014/main" id="{DE7D50AE-A8C0-40C8-BB73-94D53503059C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40" name="Isosceles Triangle 139">
              <a:extLst>
                <a:ext uri="{FF2B5EF4-FFF2-40B4-BE49-F238E27FC236}">
                  <a16:creationId xmlns:a16="http://schemas.microsoft.com/office/drawing/2014/main" id="{4C0D222E-E798-E1DC-0354-54940B5E541F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1" name="Isosceles Triangle 140">
              <a:extLst>
                <a:ext uri="{FF2B5EF4-FFF2-40B4-BE49-F238E27FC236}">
                  <a16:creationId xmlns:a16="http://schemas.microsoft.com/office/drawing/2014/main" id="{8CD2A0A7-05D6-F795-2C8E-E98E18B3555F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2" name="Isosceles Triangle 141">
              <a:extLst>
                <a:ext uri="{FF2B5EF4-FFF2-40B4-BE49-F238E27FC236}">
                  <a16:creationId xmlns:a16="http://schemas.microsoft.com/office/drawing/2014/main" id="{06E89104-C584-3527-D3B1-38B5C9AA9D92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2</xdr:col>
      <xdr:colOff>110287</xdr:colOff>
      <xdr:row>33</xdr:row>
      <xdr:rowOff>146094</xdr:rowOff>
    </xdr:from>
    <xdr:to>
      <xdr:col>3</xdr:col>
      <xdr:colOff>157656</xdr:colOff>
      <xdr:row>36</xdr:row>
      <xdr:rowOff>45983</xdr:rowOff>
    </xdr:to>
    <xdr:sp macro="" textlink="">
      <xdr:nvSpPr>
        <xdr:cNvPr id="96" name="Rectangle 95">
          <a:extLst>
            <a:ext uri="{FF2B5EF4-FFF2-40B4-BE49-F238E27FC236}">
              <a16:creationId xmlns:a16="http://schemas.microsoft.com/office/drawing/2014/main" id="{AD781846-888B-4AA8-A897-4983F4E0FA89}"/>
            </a:ext>
          </a:extLst>
        </xdr:cNvPr>
        <xdr:cNvSpPr/>
      </xdr:nvSpPr>
      <xdr:spPr>
        <a:xfrm>
          <a:off x="307356" y="5164784"/>
          <a:ext cx="540041" cy="353147"/>
        </a:xfrm>
        <a:prstGeom prst="rect">
          <a:avLst/>
        </a:prstGeom>
        <a:solidFill>
          <a:schemeClr val="bg1"/>
        </a:solidFill>
        <a:ln w="952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 b="1">
              <a:solidFill>
                <a:srgbClr val="FF0000"/>
              </a:solidFill>
            </a:rPr>
            <a:t>BTS</a:t>
          </a:r>
        </a:p>
      </xdr:txBody>
    </xdr:sp>
    <xdr:clientData/>
  </xdr:twoCellAnchor>
  <xdr:twoCellAnchor>
    <xdr:from>
      <xdr:col>7</xdr:col>
      <xdr:colOff>109335</xdr:colOff>
      <xdr:row>14</xdr:row>
      <xdr:rowOff>98325</xdr:rowOff>
    </xdr:from>
    <xdr:to>
      <xdr:col>7</xdr:col>
      <xdr:colOff>241219</xdr:colOff>
      <xdr:row>15</xdr:row>
      <xdr:rowOff>112978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6EC1644E-0BE3-484C-989B-CEF4251866AE}"/>
            </a:ext>
          </a:extLst>
        </xdr:cNvPr>
        <xdr:cNvSpPr/>
      </xdr:nvSpPr>
      <xdr:spPr>
        <a:xfrm>
          <a:off x="2322066" y="2274421"/>
          <a:ext cx="131884" cy="168519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305235</xdr:colOff>
      <xdr:row>15</xdr:row>
      <xdr:rowOff>68776</xdr:rowOff>
    </xdr:from>
    <xdr:to>
      <xdr:col>8</xdr:col>
      <xdr:colOff>222409</xdr:colOff>
      <xdr:row>17</xdr:row>
      <xdr:rowOff>10797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AEA31809-45E7-C4F3-6472-051E21B0F37A}"/>
            </a:ext>
          </a:extLst>
        </xdr:cNvPr>
        <xdr:cNvSpPr txBox="1"/>
      </xdr:nvSpPr>
      <xdr:spPr>
        <a:xfrm>
          <a:off x="2136966" y="2398738"/>
          <a:ext cx="679174" cy="2497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800">
              <a:solidFill>
                <a:srgbClr val="FF0000"/>
              </a:solidFill>
            </a:rPr>
            <a:t>50 KVA</a:t>
          </a:r>
        </a:p>
      </xdr:txBody>
    </xdr:sp>
    <xdr:clientData/>
  </xdr:twoCellAnchor>
  <xdr:twoCellAnchor>
    <xdr:from>
      <xdr:col>16</xdr:col>
      <xdr:colOff>209943</xdr:colOff>
      <xdr:row>16</xdr:row>
      <xdr:rowOff>148568</xdr:rowOff>
    </xdr:from>
    <xdr:to>
      <xdr:col>16</xdr:col>
      <xdr:colOff>353086</xdr:colOff>
      <xdr:row>17</xdr:row>
      <xdr:rowOff>141518</xdr:rowOff>
    </xdr:to>
    <xdr:grpSp>
      <xdr:nvGrpSpPr>
        <xdr:cNvPr id="29" name="Group 28">
          <a:extLst>
            <a:ext uri="{FF2B5EF4-FFF2-40B4-BE49-F238E27FC236}">
              <a16:creationId xmlns:a16="http://schemas.microsoft.com/office/drawing/2014/main" id="{B6072E4E-06A6-3E25-AEE9-1BD320064FC1}"/>
            </a:ext>
          </a:extLst>
        </xdr:cNvPr>
        <xdr:cNvGrpSpPr/>
      </xdr:nvGrpSpPr>
      <xdr:grpSpPr>
        <a:xfrm rot="21333083">
          <a:off x="5848743" y="2615543"/>
          <a:ext cx="143143" cy="14535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0" name="Oval 29">
            <a:extLst>
              <a:ext uri="{FF2B5EF4-FFF2-40B4-BE49-F238E27FC236}">
                <a16:creationId xmlns:a16="http://schemas.microsoft.com/office/drawing/2014/main" id="{7BF8C4EE-A661-3B53-04BB-29D8EF3087F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31" name="Straight Connector 30">
            <a:extLst>
              <a:ext uri="{FF2B5EF4-FFF2-40B4-BE49-F238E27FC236}">
                <a16:creationId xmlns:a16="http://schemas.microsoft.com/office/drawing/2014/main" id="{DAB0EF35-215B-EA45-0678-335AF74AA8AD}"/>
              </a:ext>
            </a:extLst>
          </xdr:cNvPr>
          <xdr:cNvCxnSpPr>
            <a:stCxn id="30" idx="1"/>
            <a:endCxn id="3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" name="Straight Connector 31">
            <a:extLst>
              <a:ext uri="{FF2B5EF4-FFF2-40B4-BE49-F238E27FC236}">
                <a16:creationId xmlns:a16="http://schemas.microsoft.com/office/drawing/2014/main" id="{5CAF106C-ED77-1BE9-77C6-5EEE7CCEF241}"/>
              </a:ext>
            </a:extLst>
          </xdr:cNvPr>
          <xdr:cNvCxnSpPr>
            <a:stCxn id="30" idx="3"/>
            <a:endCxn id="3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352870</xdr:colOff>
      <xdr:row>17</xdr:row>
      <xdr:rowOff>62560</xdr:rowOff>
    </xdr:from>
    <xdr:to>
      <xdr:col>17</xdr:col>
      <xdr:colOff>139211</xdr:colOff>
      <xdr:row>17</xdr:row>
      <xdr:rowOff>65943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203EC274-A2AF-0A0E-41BD-CCDB40DAC2D1}"/>
            </a:ext>
          </a:extLst>
        </xdr:cNvPr>
        <xdr:cNvCxnSpPr>
          <a:stCxn id="30" idx="6"/>
        </xdr:cNvCxnSpPr>
      </xdr:nvCxnSpPr>
      <xdr:spPr>
        <a:xfrm>
          <a:off x="5994601" y="2700252"/>
          <a:ext cx="167341" cy="338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21816</xdr:colOff>
      <xdr:row>35</xdr:row>
      <xdr:rowOff>143193</xdr:rowOff>
    </xdr:from>
    <xdr:to>
      <xdr:col>5</xdr:col>
      <xdr:colOff>104697</xdr:colOff>
      <xdr:row>36</xdr:row>
      <xdr:rowOff>83877</xdr:rowOff>
    </xdr:to>
    <xdr:grpSp>
      <xdr:nvGrpSpPr>
        <xdr:cNvPr id="217" name="Group 216">
          <a:extLst>
            <a:ext uri="{FF2B5EF4-FFF2-40B4-BE49-F238E27FC236}">
              <a16:creationId xmlns:a16="http://schemas.microsoft.com/office/drawing/2014/main" id="{04ACE1EF-A7AD-5F6E-EB94-C8C44FD6EBB8}"/>
            </a:ext>
          </a:extLst>
        </xdr:cNvPr>
        <xdr:cNvGrpSpPr/>
      </xdr:nvGrpSpPr>
      <xdr:grpSpPr>
        <a:xfrm>
          <a:off x="1469616" y="5496243"/>
          <a:ext cx="82881" cy="93084"/>
          <a:chOff x="2938225" y="1880553"/>
          <a:chExt cx="82881" cy="94550"/>
        </a:xfrm>
      </xdr:grpSpPr>
      <xdr:cxnSp macro="">
        <xdr:nvCxnSpPr>
          <xdr:cNvPr id="65" name="Straight Connector 64">
            <a:extLst>
              <a:ext uri="{FF2B5EF4-FFF2-40B4-BE49-F238E27FC236}">
                <a16:creationId xmlns:a16="http://schemas.microsoft.com/office/drawing/2014/main" id="{C44594D5-88A8-7087-F3A1-71123567C754}"/>
              </a:ext>
            </a:extLst>
          </xdr:cNvPr>
          <xdr:cNvCxnSpPr/>
        </xdr:nvCxnSpPr>
        <xdr:spPr>
          <a:xfrm rot="18917649" flipV="1">
            <a:off x="2967417" y="1880553"/>
            <a:ext cx="53689" cy="79827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7" name="Straight Connector 66">
            <a:extLst>
              <a:ext uri="{FF2B5EF4-FFF2-40B4-BE49-F238E27FC236}">
                <a16:creationId xmlns:a16="http://schemas.microsoft.com/office/drawing/2014/main" id="{1789F5D8-CAF3-A924-7BC4-ACDDF2849CE0}"/>
              </a:ext>
            </a:extLst>
          </xdr:cNvPr>
          <xdr:cNvCxnSpPr/>
        </xdr:nvCxnSpPr>
        <xdr:spPr>
          <a:xfrm rot="18917649" flipV="1">
            <a:off x="2938225" y="1895276"/>
            <a:ext cx="53689" cy="79827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16598</xdr:colOff>
      <xdr:row>27</xdr:row>
      <xdr:rowOff>25889</xdr:rowOff>
    </xdr:from>
    <xdr:to>
      <xdr:col>20</xdr:col>
      <xdr:colOff>24881</xdr:colOff>
      <xdr:row>31</xdr:row>
      <xdr:rowOff>29307</xdr:rowOff>
    </xdr:to>
    <xdr:sp macro="" textlink="">
      <xdr:nvSpPr>
        <xdr:cNvPr id="187" name="TextBox 186">
          <a:extLst>
            <a:ext uri="{FF2B5EF4-FFF2-40B4-BE49-F238E27FC236}">
              <a16:creationId xmlns:a16="http://schemas.microsoft.com/office/drawing/2014/main" id="{B3EAAB51-FA83-F752-8114-B640268FB6C3}"/>
            </a:ext>
          </a:extLst>
        </xdr:cNvPr>
        <xdr:cNvSpPr txBox="1"/>
      </xdr:nvSpPr>
      <xdr:spPr>
        <a:xfrm>
          <a:off x="6420329" y="4202235"/>
          <a:ext cx="770283" cy="611553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K3-10/11</a:t>
          </a:r>
        </a:p>
        <a:p>
          <a:pPr algn="l"/>
          <a:r>
            <a:rPr lang="en-US" sz="800" b="0" u="none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C11-200</a:t>
          </a:r>
        </a:p>
        <a:p>
          <a:pPr algn="l"/>
          <a:r>
            <a:rPr lang="en-US" sz="8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CA5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CA5-1</a:t>
          </a:r>
        </a:p>
      </xdr:txBody>
    </xdr:sp>
    <xdr:clientData/>
  </xdr:twoCellAnchor>
  <xdr:twoCellAnchor>
    <xdr:from>
      <xdr:col>6</xdr:col>
      <xdr:colOff>329711</xdr:colOff>
      <xdr:row>17</xdr:row>
      <xdr:rowOff>51289</xdr:rowOff>
    </xdr:from>
    <xdr:to>
      <xdr:col>7</xdr:col>
      <xdr:colOff>136889</xdr:colOff>
      <xdr:row>17</xdr:row>
      <xdr:rowOff>59008</xdr:rowOff>
    </xdr:to>
    <xdr:cxnSp macro="">
      <xdr:nvCxnSpPr>
        <xdr:cNvPr id="193" name="Straight Arrow Connector 192">
          <a:extLst>
            <a:ext uri="{FF2B5EF4-FFF2-40B4-BE49-F238E27FC236}">
              <a16:creationId xmlns:a16="http://schemas.microsoft.com/office/drawing/2014/main" id="{E4ADFDB0-8FBE-CC8C-4193-EA2405DB0826}"/>
            </a:ext>
          </a:extLst>
        </xdr:cNvPr>
        <xdr:cNvCxnSpPr>
          <a:stCxn id="59" idx="2"/>
        </xdr:cNvCxnSpPr>
      </xdr:nvCxnSpPr>
      <xdr:spPr>
        <a:xfrm flipH="1" flipV="1">
          <a:off x="2161442" y="2688981"/>
          <a:ext cx="188178" cy="771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124557</xdr:colOff>
      <xdr:row>19</xdr:row>
      <xdr:rowOff>19049</xdr:rowOff>
    </xdr:from>
    <xdr:to>
      <xdr:col>17</xdr:col>
      <xdr:colOff>156796</xdr:colOff>
      <xdr:row>36</xdr:row>
      <xdr:rowOff>7325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B7C6AB68-30AC-96F0-7385-3365C2B4F5AF}"/>
            </a:ext>
          </a:extLst>
        </xdr:cNvPr>
        <xdr:cNvCxnSpPr/>
      </xdr:nvCxnSpPr>
      <xdr:spPr>
        <a:xfrm flipH="1">
          <a:off x="6147288" y="2964472"/>
          <a:ext cx="32239" cy="2596661"/>
        </a:xfrm>
        <a:prstGeom prst="line">
          <a:avLst/>
        </a:prstGeom>
        <a:ln w="25400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57150</xdr:colOff>
      <xdr:row>18</xdr:row>
      <xdr:rowOff>123825</xdr:rowOff>
    </xdr:from>
    <xdr:to>
      <xdr:col>17</xdr:col>
      <xdr:colOff>361950</xdr:colOff>
      <xdr:row>19</xdr:row>
      <xdr:rowOff>9525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AA6D6A7F-BA70-9D7B-B41C-29C689ABB1BE}"/>
            </a:ext>
          </a:extLst>
        </xdr:cNvPr>
        <xdr:cNvCxnSpPr/>
      </xdr:nvCxnSpPr>
      <xdr:spPr>
        <a:xfrm>
          <a:off x="1885950" y="2895600"/>
          <a:ext cx="4495800" cy="38100"/>
        </a:xfrm>
        <a:prstGeom prst="line">
          <a:avLst/>
        </a:prstGeom>
        <a:ln w="25400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136673</xdr:colOff>
      <xdr:row>16</xdr:row>
      <xdr:rowOff>133914</xdr:rowOff>
    </xdr:from>
    <xdr:to>
      <xdr:col>7</xdr:col>
      <xdr:colOff>279816</xdr:colOff>
      <xdr:row>17</xdr:row>
      <xdr:rowOff>126864</xdr:rowOff>
    </xdr:to>
    <xdr:grpSp>
      <xdr:nvGrpSpPr>
        <xdr:cNvPr id="58" name="Group 57">
          <a:extLst>
            <a:ext uri="{FF2B5EF4-FFF2-40B4-BE49-F238E27FC236}">
              <a16:creationId xmlns:a16="http://schemas.microsoft.com/office/drawing/2014/main" id="{9B93385C-BED0-4CE6-380C-792D08DBC60E}"/>
            </a:ext>
          </a:extLst>
        </xdr:cNvPr>
        <xdr:cNvGrpSpPr/>
      </xdr:nvGrpSpPr>
      <xdr:grpSpPr>
        <a:xfrm rot="21333083">
          <a:off x="2346473" y="2600889"/>
          <a:ext cx="143143" cy="14535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59" name="Oval 58">
            <a:extLst>
              <a:ext uri="{FF2B5EF4-FFF2-40B4-BE49-F238E27FC236}">
                <a16:creationId xmlns:a16="http://schemas.microsoft.com/office/drawing/2014/main" id="{E1399CB6-CCE8-61DE-A859-C476C321AA57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62" name="Straight Connector 61">
            <a:extLst>
              <a:ext uri="{FF2B5EF4-FFF2-40B4-BE49-F238E27FC236}">
                <a16:creationId xmlns:a16="http://schemas.microsoft.com/office/drawing/2014/main" id="{932BEA8E-DCF8-7DF0-77D9-66115EBBC2E4}"/>
              </a:ext>
            </a:extLst>
          </xdr:cNvPr>
          <xdr:cNvCxnSpPr>
            <a:stCxn id="59" idx="1"/>
            <a:endCxn id="5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3" name="Straight Connector 62">
            <a:extLst>
              <a:ext uri="{FF2B5EF4-FFF2-40B4-BE49-F238E27FC236}">
                <a16:creationId xmlns:a16="http://schemas.microsoft.com/office/drawing/2014/main" id="{DCA2D3B1-FB90-3750-6C43-C63497E217D6}"/>
              </a:ext>
            </a:extLst>
          </xdr:cNvPr>
          <xdr:cNvCxnSpPr>
            <a:stCxn id="59" idx="3"/>
            <a:endCxn id="5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185731</xdr:colOff>
      <xdr:row>30</xdr:row>
      <xdr:rowOff>45993</xdr:rowOff>
    </xdr:from>
    <xdr:to>
      <xdr:col>16</xdr:col>
      <xdr:colOff>328874</xdr:colOff>
      <xdr:row>31</xdr:row>
      <xdr:rowOff>39896</xdr:rowOff>
    </xdr:to>
    <xdr:grpSp>
      <xdr:nvGrpSpPr>
        <xdr:cNvPr id="64" name="Group 63">
          <a:extLst>
            <a:ext uri="{FF2B5EF4-FFF2-40B4-BE49-F238E27FC236}">
              <a16:creationId xmlns:a16="http://schemas.microsoft.com/office/drawing/2014/main" id="{C0D8E433-D8A1-23BC-3261-526EC1362827}"/>
            </a:ext>
          </a:extLst>
        </xdr:cNvPr>
        <xdr:cNvGrpSpPr/>
      </xdr:nvGrpSpPr>
      <xdr:grpSpPr>
        <a:xfrm rot="21333083">
          <a:off x="5824531" y="4637043"/>
          <a:ext cx="143143" cy="14630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6" name="Oval 65">
            <a:extLst>
              <a:ext uri="{FF2B5EF4-FFF2-40B4-BE49-F238E27FC236}">
                <a16:creationId xmlns:a16="http://schemas.microsoft.com/office/drawing/2014/main" id="{A9C5EA43-42BD-4083-86A4-9D68223A7E4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68" name="Straight Connector 67">
            <a:extLst>
              <a:ext uri="{FF2B5EF4-FFF2-40B4-BE49-F238E27FC236}">
                <a16:creationId xmlns:a16="http://schemas.microsoft.com/office/drawing/2014/main" id="{053B4B9B-1A43-BADA-A5D7-CC4B3C08793B}"/>
              </a:ext>
            </a:extLst>
          </xdr:cNvPr>
          <xdr:cNvCxnSpPr>
            <a:stCxn id="66" idx="1"/>
            <a:endCxn id="6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9" name="Straight Connector 68">
            <a:extLst>
              <a:ext uri="{FF2B5EF4-FFF2-40B4-BE49-F238E27FC236}">
                <a16:creationId xmlns:a16="http://schemas.microsoft.com/office/drawing/2014/main" id="{FF9B7DCF-F8BC-CF33-A25A-422D7BD02468}"/>
              </a:ext>
            </a:extLst>
          </xdr:cNvPr>
          <xdr:cNvCxnSpPr>
            <a:stCxn id="66" idx="3"/>
            <a:endCxn id="6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249115</xdr:colOff>
      <xdr:row>31</xdr:row>
      <xdr:rowOff>39673</xdr:rowOff>
    </xdr:from>
    <xdr:to>
      <xdr:col>16</xdr:col>
      <xdr:colOff>263034</xdr:colOff>
      <xdr:row>39</xdr:row>
      <xdr:rowOff>87923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24FDECC0-9946-C47C-ADC6-CACFC44E625C}"/>
            </a:ext>
          </a:extLst>
        </xdr:cNvPr>
        <xdr:cNvCxnSpPr>
          <a:endCxn id="66" idx="4"/>
        </xdr:cNvCxnSpPr>
      </xdr:nvCxnSpPr>
      <xdr:spPr>
        <a:xfrm flipV="1">
          <a:off x="5890846" y="4824154"/>
          <a:ext cx="13919" cy="1293827"/>
        </a:xfrm>
        <a:prstGeom prst="line">
          <a:avLst/>
        </a:prstGeom>
        <a:ln w="12700">
          <a:solidFill>
            <a:sysClr val="windowText" lastClr="000000"/>
          </a:solidFill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303706</xdr:colOff>
      <xdr:row>17</xdr:row>
      <xdr:rowOff>115935</xdr:rowOff>
    </xdr:from>
    <xdr:to>
      <xdr:col>16</xdr:col>
      <xdr:colOff>335997</xdr:colOff>
      <xdr:row>30</xdr:row>
      <xdr:rowOff>63865</xdr:rowOff>
    </xdr:to>
    <xdr:cxnSp macro="">
      <xdr:nvCxnSpPr>
        <xdr:cNvPr id="43" name="Straight Connector 42">
          <a:extLst>
            <a:ext uri="{FF2B5EF4-FFF2-40B4-BE49-F238E27FC236}">
              <a16:creationId xmlns:a16="http://schemas.microsoft.com/office/drawing/2014/main" id="{ADF7C8F0-16B3-4B5E-9ED6-EFE58D8119FF}"/>
            </a:ext>
          </a:extLst>
        </xdr:cNvPr>
        <xdr:cNvCxnSpPr>
          <a:stCxn id="66" idx="7"/>
          <a:endCxn id="30" idx="5"/>
        </xdr:cNvCxnSpPr>
      </xdr:nvCxnSpPr>
      <xdr:spPr>
        <a:xfrm flipV="1">
          <a:off x="5945437" y="2753627"/>
          <a:ext cx="32291" cy="1940853"/>
        </a:xfrm>
        <a:prstGeom prst="line">
          <a:avLst/>
        </a:prstGeom>
        <a:ln w="12700">
          <a:prstDash val="soli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254674</xdr:colOff>
      <xdr:row>16</xdr:row>
      <xdr:rowOff>151646</xdr:rowOff>
    </xdr:from>
    <xdr:to>
      <xdr:col>16</xdr:col>
      <xdr:colOff>227032</xdr:colOff>
      <xdr:row>17</xdr:row>
      <xdr:rowOff>20286</xdr:rowOff>
    </xdr:to>
    <xdr:cxnSp macro="">
      <xdr:nvCxnSpPr>
        <xdr:cNvPr id="77" name="Straight Connector 76">
          <a:extLst>
            <a:ext uri="{FF2B5EF4-FFF2-40B4-BE49-F238E27FC236}">
              <a16:creationId xmlns:a16="http://schemas.microsoft.com/office/drawing/2014/main" id="{927CBA56-F479-467C-AAC1-B3BB1DF2F11C}"/>
            </a:ext>
          </a:extLst>
        </xdr:cNvPr>
        <xdr:cNvCxnSpPr>
          <a:stCxn id="30" idx="1"/>
          <a:endCxn id="59" idx="7"/>
        </xdr:cNvCxnSpPr>
      </xdr:nvCxnSpPr>
      <xdr:spPr>
        <a:xfrm flipH="1" flipV="1">
          <a:off x="2467405" y="2635473"/>
          <a:ext cx="3401358" cy="22505"/>
        </a:xfrm>
        <a:prstGeom prst="line">
          <a:avLst/>
        </a:prstGeom>
        <a:ln w="12700">
          <a:prstDash val="soli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202794</xdr:colOff>
      <xdr:row>17</xdr:row>
      <xdr:rowOff>123786</xdr:rowOff>
    </xdr:from>
    <xdr:to>
      <xdr:col>16</xdr:col>
      <xdr:colOff>235085</xdr:colOff>
      <xdr:row>30</xdr:row>
      <xdr:rowOff>71716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1B0BC71D-D499-4E6B-9A82-F98022AA1F32}"/>
            </a:ext>
          </a:extLst>
        </xdr:cNvPr>
        <xdr:cNvCxnSpPr>
          <a:stCxn id="66" idx="1"/>
          <a:endCxn id="30" idx="3"/>
        </xdr:cNvCxnSpPr>
      </xdr:nvCxnSpPr>
      <xdr:spPr>
        <a:xfrm flipV="1">
          <a:off x="5844525" y="2761478"/>
          <a:ext cx="32291" cy="1940853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200386</xdr:colOff>
      <xdr:row>23</xdr:row>
      <xdr:rowOff>75300</xdr:rowOff>
    </xdr:from>
    <xdr:to>
      <xdr:col>16</xdr:col>
      <xdr:colOff>343529</xdr:colOff>
      <xdr:row>24</xdr:row>
      <xdr:rowOff>69204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FAD46E35-FD41-CD9B-F7F0-6F63D91FA00D}"/>
            </a:ext>
          </a:extLst>
        </xdr:cNvPr>
        <xdr:cNvGrpSpPr/>
      </xdr:nvGrpSpPr>
      <xdr:grpSpPr>
        <a:xfrm rot="21333083">
          <a:off x="5839186" y="3609075"/>
          <a:ext cx="143143" cy="14630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40" name="Oval 39">
            <a:extLst>
              <a:ext uri="{FF2B5EF4-FFF2-40B4-BE49-F238E27FC236}">
                <a16:creationId xmlns:a16="http://schemas.microsoft.com/office/drawing/2014/main" id="{AB7BA84F-ABA8-9287-ED1F-32E85C2B1933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41" name="Straight Connector 40">
            <a:extLst>
              <a:ext uri="{FF2B5EF4-FFF2-40B4-BE49-F238E27FC236}">
                <a16:creationId xmlns:a16="http://schemas.microsoft.com/office/drawing/2014/main" id="{B996400C-D835-C445-B60C-A6AAE568EE25}"/>
              </a:ext>
            </a:extLst>
          </xdr:cNvPr>
          <xdr:cNvCxnSpPr>
            <a:stCxn id="40" idx="1"/>
            <a:endCxn id="4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2" name="Straight Connector 41">
            <a:extLst>
              <a:ext uri="{FF2B5EF4-FFF2-40B4-BE49-F238E27FC236}">
                <a16:creationId xmlns:a16="http://schemas.microsoft.com/office/drawing/2014/main" id="{B5226E66-A413-F3B5-2807-770D1B4D2601}"/>
              </a:ext>
            </a:extLst>
          </xdr:cNvPr>
          <xdr:cNvCxnSpPr>
            <a:stCxn id="40" idx="3"/>
            <a:endCxn id="4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213939</xdr:colOff>
      <xdr:row>17</xdr:row>
      <xdr:rowOff>123786</xdr:rowOff>
    </xdr:from>
    <xdr:to>
      <xdr:col>16</xdr:col>
      <xdr:colOff>235085</xdr:colOff>
      <xdr:row>17</xdr:row>
      <xdr:rowOff>126643</xdr:rowOff>
    </xdr:to>
    <xdr:cxnSp macro="">
      <xdr:nvCxnSpPr>
        <xdr:cNvPr id="88" name="Straight Connector 87">
          <a:extLst>
            <a:ext uri="{FF2B5EF4-FFF2-40B4-BE49-F238E27FC236}">
              <a16:creationId xmlns:a16="http://schemas.microsoft.com/office/drawing/2014/main" id="{FC6823DA-113D-2C11-1745-ADE7DEEA8A55}"/>
            </a:ext>
          </a:extLst>
        </xdr:cNvPr>
        <xdr:cNvCxnSpPr>
          <a:stCxn id="30" idx="3"/>
          <a:endCxn id="59" idx="4"/>
        </xdr:cNvCxnSpPr>
      </xdr:nvCxnSpPr>
      <xdr:spPr>
        <a:xfrm flipH="1">
          <a:off x="2426670" y="2761478"/>
          <a:ext cx="3450146" cy="2857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19442</xdr:colOff>
      <xdr:row>17</xdr:row>
      <xdr:rowOff>9357</xdr:rowOff>
    </xdr:from>
    <xdr:to>
      <xdr:col>12</xdr:col>
      <xdr:colOff>162585</xdr:colOff>
      <xdr:row>18</xdr:row>
      <xdr:rowOff>2306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C2F40471-D6D5-1BC5-4D3B-E70372967369}"/>
            </a:ext>
          </a:extLst>
        </xdr:cNvPr>
        <xdr:cNvGrpSpPr/>
      </xdr:nvGrpSpPr>
      <xdr:grpSpPr>
        <a:xfrm rot="21333083">
          <a:off x="4134242" y="2628732"/>
          <a:ext cx="143143" cy="14534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4" name="Oval 13">
            <a:extLst>
              <a:ext uri="{FF2B5EF4-FFF2-40B4-BE49-F238E27FC236}">
                <a16:creationId xmlns:a16="http://schemas.microsoft.com/office/drawing/2014/main" id="{5000E89A-BF88-FA88-C1AC-A2706D1A4E9A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9C6F3B12-0D3B-C36D-D204-6984B617C01B}"/>
              </a:ext>
            </a:extLst>
          </xdr:cNvPr>
          <xdr:cNvCxnSpPr>
            <a:stCxn id="14" idx="1"/>
            <a:endCxn id="1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" name="Straight Connector 56">
            <a:extLst>
              <a:ext uri="{FF2B5EF4-FFF2-40B4-BE49-F238E27FC236}">
                <a16:creationId xmlns:a16="http://schemas.microsoft.com/office/drawing/2014/main" id="{680A7E99-7B3D-B44E-4D6C-5F0FEBB6B660}"/>
              </a:ext>
            </a:extLst>
          </xdr:cNvPr>
          <xdr:cNvCxnSpPr>
            <a:stCxn id="14" idx="3"/>
            <a:endCxn id="1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118242</xdr:colOff>
      <xdr:row>17</xdr:row>
      <xdr:rowOff>109542</xdr:rowOff>
    </xdr:from>
    <xdr:to>
      <xdr:col>7</xdr:col>
      <xdr:colOff>161738</xdr:colOff>
      <xdr:row>39</xdr:row>
      <xdr:rowOff>0</xdr:rowOff>
    </xdr:to>
    <xdr:cxnSp macro="">
      <xdr:nvCxnSpPr>
        <xdr:cNvPr id="194" name="Straight Connector 193">
          <a:extLst>
            <a:ext uri="{FF2B5EF4-FFF2-40B4-BE49-F238E27FC236}">
              <a16:creationId xmlns:a16="http://schemas.microsoft.com/office/drawing/2014/main" id="{EB48054E-19B1-6D92-9AEE-FF0AF62360B0}"/>
            </a:ext>
          </a:extLst>
        </xdr:cNvPr>
        <xdr:cNvCxnSpPr>
          <a:endCxn id="59" idx="3"/>
        </xdr:cNvCxnSpPr>
      </xdr:nvCxnSpPr>
      <xdr:spPr>
        <a:xfrm flipV="1">
          <a:off x="2331983" y="2717421"/>
          <a:ext cx="43496" cy="3234062"/>
        </a:xfrm>
        <a:prstGeom prst="line">
          <a:avLst/>
        </a:prstGeom>
        <a:ln w="12700">
          <a:prstDash val="soli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83671</xdr:colOff>
      <xdr:row>23</xdr:row>
      <xdr:rowOff>86254</xdr:rowOff>
    </xdr:from>
    <xdr:to>
      <xdr:col>7</xdr:col>
      <xdr:colOff>226814</xdr:colOff>
      <xdr:row>24</xdr:row>
      <xdr:rowOff>79203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AA1AB2CF-BFCA-42D4-B41A-6C1867886D9C}"/>
            </a:ext>
          </a:extLst>
        </xdr:cNvPr>
        <xdr:cNvGrpSpPr/>
      </xdr:nvGrpSpPr>
      <xdr:grpSpPr>
        <a:xfrm rot="21333083">
          <a:off x="2293471" y="3620029"/>
          <a:ext cx="143143" cy="14534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4" name="Oval 23">
            <a:extLst>
              <a:ext uri="{FF2B5EF4-FFF2-40B4-BE49-F238E27FC236}">
                <a16:creationId xmlns:a16="http://schemas.microsoft.com/office/drawing/2014/main" id="{ED3F2D0E-B938-3936-0624-059CB57983B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25" name="Straight Connector 24">
            <a:extLst>
              <a:ext uri="{FF2B5EF4-FFF2-40B4-BE49-F238E27FC236}">
                <a16:creationId xmlns:a16="http://schemas.microsoft.com/office/drawing/2014/main" id="{3F512F9E-4E24-9398-8C04-07BF5E252069}"/>
              </a:ext>
            </a:extLst>
          </xdr:cNvPr>
          <xdr:cNvCxnSpPr>
            <a:stCxn id="24" idx="1"/>
            <a:endCxn id="2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Straight Connector 25">
            <a:extLst>
              <a:ext uri="{FF2B5EF4-FFF2-40B4-BE49-F238E27FC236}">
                <a16:creationId xmlns:a16="http://schemas.microsoft.com/office/drawing/2014/main" id="{906BCBD7-2112-2D85-2AAA-DF99CE702AEF}"/>
              </a:ext>
            </a:extLst>
          </xdr:cNvPr>
          <xdr:cNvCxnSpPr>
            <a:stCxn id="24" idx="3"/>
            <a:endCxn id="2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63964</xdr:colOff>
      <xdr:row>30</xdr:row>
      <xdr:rowOff>46839</xdr:rowOff>
    </xdr:from>
    <xdr:to>
      <xdr:col>7</xdr:col>
      <xdr:colOff>207107</xdr:colOff>
      <xdr:row>31</xdr:row>
      <xdr:rowOff>39788</xdr:rowOff>
    </xdr:to>
    <xdr:grpSp>
      <xdr:nvGrpSpPr>
        <xdr:cNvPr id="207" name="Group 206">
          <a:extLst>
            <a:ext uri="{FF2B5EF4-FFF2-40B4-BE49-F238E27FC236}">
              <a16:creationId xmlns:a16="http://schemas.microsoft.com/office/drawing/2014/main" id="{085EA857-9BE0-F0B8-B68B-F0B2A97A7620}"/>
            </a:ext>
          </a:extLst>
        </xdr:cNvPr>
        <xdr:cNvGrpSpPr/>
      </xdr:nvGrpSpPr>
      <xdr:grpSpPr>
        <a:xfrm rot="21333083">
          <a:off x="2273764" y="4637889"/>
          <a:ext cx="143143" cy="14534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08" name="Oval 207">
            <a:extLst>
              <a:ext uri="{FF2B5EF4-FFF2-40B4-BE49-F238E27FC236}">
                <a16:creationId xmlns:a16="http://schemas.microsoft.com/office/drawing/2014/main" id="{E8CE004A-B4F0-5561-CA45-EECB1B3264D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209" name="Straight Connector 208">
            <a:extLst>
              <a:ext uri="{FF2B5EF4-FFF2-40B4-BE49-F238E27FC236}">
                <a16:creationId xmlns:a16="http://schemas.microsoft.com/office/drawing/2014/main" id="{451DC7F3-E1CA-97F8-1EAE-CB8595185707}"/>
              </a:ext>
            </a:extLst>
          </xdr:cNvPr>
          <xdr:cNvCxnSpPr>
            <a:stCxn id="208" idx="1"/>
            <a:endCxn id="20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0" name="Straight Connector 209">
            <a:extLst>
              <a:ext uri="{FF2B5EF4-FFF2-40B4-BE49-F238E27FC236}">
                <a16:creationId xmlns:a16="http://schemas.microsoft.com/office/drawing/2014/main" id="{91A083C2-D922-70BA-0852-FD8F427193AD}"/>
              </a:ext>
            </a:extLst>
          </xdr:cNvPr>
          <xdr:cNvCxnSpPr>
            <a:stCxn id="208" idx="3"/>
            <a:endCxn id="20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50827</xdr:colOff>
      <xdr:row>36</xdr:row>
      <xdr:rowOff>138807</xdr:rowOff>
    </xdr:from>
    <xdr:to>
      <xdr:col>7</xdr:col>
      <xdr:colOff>193970</xdr:colOff>
      <xdr:row>37</xdr:row>
      <xdr:rowOff>118618</xdr:rowOff>
    </xdr:to>
    <xdr:grpSp>
      <xdr:nvGrpSpPr>
        <xdr:cNvPr id="211" name="Group 210">
          <a:extLst>
            <a:ext uri="{FF2B5EF4-FFF2-40B4-BE49-F238E27FC236}">
              <a16:creationId xmlns:a16="http://schemas.microsoft.com/office/drawing/2014/main" id="{DE571482-B4DB-76A1-EA8F-5365F89C548D}"/>
            </a:ext>
          </a:extLst>
        </xdr:cNvPr>
        <xdr:cNvGrpSpPr/>
      </xdr:nvGrpSpPr>
      <xdr:grpSpPr>
        <a:xfrm rot="21333083">
          <a:off x="2260627" y="5644257"/>
          <a:ext cx="143143" cy="14173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12" name="Oval 211">
            <a:extLst>
              <a:ext uri="{FF2B5EF4-FFF2-40B4-BE49-F238E27FC236}">
                <a16:creationId xmlns:a16="http://schemas.microsoft.com/office/drawing/2014/main" id="{46D3435C-94A2-2939-54C6-FA194609BE6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213" name="Straight Connector 212">
            <a:extLst>
              <a:ext uri="{FF2B5EF4-FFF2-40B4-BE49-F238E27FC236}">
                <a16:creationId xmlns:a16="http://schemas.microsoft.com/office/drawing/2014/main" id="{5F8FEC00-3C30-FD13-8443-226578F4786A}"/>
              </a:ext>
            </a:extLst>
          </xdr:cNvPr>
          <xdr:cNvCxnSpPr>
            <a:stCxn id="212" idx="1"/>
            <a:endCxn id="21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4" name="Straight Connector 213">
            <a:extLst>
              <a:ext uri="{FF2B5EF4-FFF2-40B4-BE49-F238E27FC236}">
                <a16:creationId xmlns:a16="http://schemas.microsoft.com/office/drawing/2014/main" id="{38FFF710-BD96-56C8-DF18-4B224083352D}"/>
              </a:ext>
            </a:extLst>
          </xdr:cNvPr>
          <xdr:cNvCxnSpPr>
            <a:stCxn id="212" idx="3"/>
            <a:endCxn id="21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157656</xdr:colOff>
      <xdr:row>35</xdr:row>
      <xdr:rowOff>19107</xdr:rowOff>
    </xdr:from>
    <xdr:to>
      <xdr:col>7</xdr:col>
      <xdr:colOff>51043</xdr:colOff>
      <xdr:row>37</xdr:row>
      <xdr:rowOff>53668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AC36B28E-5802-2BAB-CE7E-0F6CD576D74D}"/>
            </a:ext>
          </a:extLst>
        </xdr:cNvPr>
        <xdr:cNvCxnSpPr>
          <a:stCxn id="212" idx="2"/>
          <a:endCxn id="96" idx="3"/>
        </xdr:cNvCxnSpPr>
      </xdr:nvCxnSpPr>
      <xdr:spPr>
        <a:xfrm flipH="1" flipV="1">
          <a:off x="846387" y="5419049"/>
          <a:ext cx="1417387" cy="349619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1945</xdr:colOff>
      <xdr:row>21</xdr:row>
      <xdr:rowOff>143119</xdr:rowOff>
    </xdr:from>
    <xdr:to>
      <xdr:col>20</xdr:col>
      <xdr:colOff>10228</xdr:colOff>
      <xdr:row>26</xdr:row>
      <xdr:rowOff>58615</xdr:rowOff>
    </xdr:to>
    <xdr:sp macro="" textlink="">
      <xdr:nvSpPr>
        <xdr:cNvPr id="223" name="TextBox 222">
          <a:extLst>
            <a:ext uri="{FF2B5EF4-FFF2-40B4-BE49-F238E27FC236}">
              <a16:creationId xmlns:a16="http://schemas.microsoft.com/office/drawing/2014/main" id="{BFD2817F-E3F3-4223-C95A-EE4DA7D2E2E4}"/>
            </a:ext>
          </a:extLst>
        </xdr:cNvPr>
        <xdr:cNvSpPr txBox="1"/>
      </xdr:nvSpPr>
      <xdr:spPr>
        <a:xfrm>
          <a:off x="6405676" y="3396273"/>
          <a:ext cx="770283" cy="684823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K3-10/12</a:t>
          </a:r>
        </a:p>
        <a:p>
          <a:pPr algn="l"/>
          <a:r>
            <a:rPr lang="en-US" sz="800" b="0" u="none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C11-200</a:t>
          </a:r>
        </a:p>
        <a:p>
          <a:pPr algn="l"/>
          <a:r>
            <a:rPr lang="en-US" sz="8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CA5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CA1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P12-C1</a:t>
          </a:r>
        </a:p>
      </xdr:txBody>
    </xdr:sp>
    <xdr:clientData/>
  </xdr:twoCellAnchor>
  <xdr:twoCellAnchor>
    <xdr:from>
      <xdr:col>17</xdr:col>
      <xdr:colOff>287694</xdr:colOff>
      <xdr:row>11</xdr:row>
      <xdr:rowOff>3908</xdr:rowOff>
    </xdr:from>
    <xdr:to>
      <xdr:col>19</xdr:col>
      <xdr:colOff>295977</xdr:colOff>
      <xdr:row>17</xdr:row>
      <xdr:rowOff>29309</xdr:rowOff>
    </xdr:to>
    <xdr:sp macro="" textlink="">
      <xdr:nvSpPr>
        <xdr:cNvPr id="224" name="TextBox 223">
          <a:extLst>
            <a:ext uri="{FF2B5EF4-FFF2-40B4-BE49-F238E27FC236}">
              <a16:creationId xmlns:a16="http://schemas.microsoft.com/office/drawing/2014/main" id="{74CCEA10-CABB-7BEE-BF03-11998AC0BFF3}"/>
            </a:ext>
          </a:extLst>
        </xdr:cNvPr>
        <xdr:cNvSpPr txBox="1"/>
      </xdr:nvSpPr>
      <xdr:spPr>
        <a:xfrm>
          <a:off x="6310425" y="1711081"/>
          <a:ext cx="770283" cy="95592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K3-10/13</a:t>
          </a:r>
        </a:p>
        <a:p>
          <a:pPr algn="l"/>
          <a:r>
            <a:rPr lang="en-US" sz="800" b="0" u="none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C11-200</a:t>
          </a:r>
        </a:p>
        <a:p>
          <a:pPr algn="l"/>
          <a:r>
            <a:rPr lang="en-US" sz="8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 CJ6-T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CA4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P12-C2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</xdr:txBody>
    </xdr:sp>
    <xdr:clientData/>
  </xdr:twoCellAnchor>
  <xdr:twoCellAnchor>
    <xdr:from>
      <xdr:col>11</xdr:col>
      <xdr:colOff>214425</xdr:colOff>
      <xdr:row>11</xdr:row>
      <xdr:rowOff>99157</xdr:rowOff>
    </xdr:from>
    <xdr:to>
      <xdr:col>13</xdr:col>
      <xdr:colOff>222708</xdr:colOff>
      <xdr:row>16</xdr:row>
      <xdr:rowOff>58615</xdr:rowOff>
    </xdr:to>
    <xdr:sp macro="" textlink="">
      <xdr:nvSpPr>
        <xdr:cNvPr id="225" name="TextBox 224">
          <a:extLst>
            <a:ext uri="{FF2B5EF4-FFF2-40B4-BE49-F238E27FC236}">
              <a16:creationId xmlns:a16="http://schemas.microsoft.com/office/drawing/2014/main" id="{3D514F8B-DD55-2296-C86E-A3922AABFF49}"/>
            </a:ext>
          </a:extLst>
        </xdr:cNvPr>
        <xdr:cNvSpPr txBox="1"/>
      </xdr:nvSpPr>
      <xdr:spPr>
        <a:xfrm>
          <a:off x="3951156" y="1806330"/>
          <a:ext cx="770283" cy="736112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K3-10/14</a:t>
          </a:r>
        </a:p>
        <a:p>
          <a:pPr algn="l"/>
          <a:r>
            <a:rPr lang="en-US" sz="800" b="0" u="none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C11-200</a:t>
          </a:r>
        </a:p>
        <a:p>
          <a:pPr algn="l"/>
          <a:r>
            <a:rPr lang="en-US" sz="8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CA1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P12-C1</a:t>
          </a:r>
        </a:p>
      </xdr:txBody>
    </xdr:sp>
    <xdr:clientData/>
  </xdr:twoCellAnchor>
  <xdr:twoCellAnchor>
    <xdr:from>
      <xdr:col>16</xdr:col>
      <xdr:colOff>275821</xdr:colOff>
      <xdr:row>16</xdr:row>
      <xdr:rowOff>7327</xdr:rowOff>
    </xdr:from>
    <xdr:to>
      <xdr:col>16</xdr:col>
      <xdr:colOff>278423</xdr:colOff>
      <xdr:row>16</xdr:row>
      <xdr:rowOff>148789</xdr:rowOff>
    </xdr:to>
    <xdr:cxnSp macro="">
      <xdr:nvCxnSpPr>
        <xdr:cNvPr id="228" name="Straight Arrow Connector 227">
          <a:extLst>
            <a:ext uri="{FF2B5EF4-FFF2-40B4-BE49-F238E27FC236}">
              <a16:creationId xmlns:a16="http://schemas.microsoft.com/office/drawing/2014/main" id="{BBCFA559-A2E9-2297-F314-9C1C11C70CD4}"/>
            </a:ext>
          </a:extLst>
        </xdr:cNvPr>
        <xdr:cNvCxnSpPr>
          <a:stCxn id="30" idx="0"/>
        </xdr:cNvCxnSpPr>
      </xdr:nvCxnSpPr>
      <xdr:spPr>
        <a:xfrm flipV="1">
          <a:off x="5917552" y="2491154"/>
          <a:ext cx="2602" cy="14146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346309</xdr:colOff>
      <xdr:row>13</xdr:row>
      <xdr:rowOff>18561</xdr:rowOff>
    </xdr:from>
    <xdr:to>
      <xdr:col>5</xdr:col>
      <xdr:colOff>354592</xdr:colOff>
      <xdr:row>21</xdr:row>
      <xdr:rowOff>43962</xdr:rowOff>
    </xdr:to>
    <xdr:sp macro="" textlink="">
      <xdr:nvSpPr>
        <xdr:cNvPr id="234" name="TextBox 233">
          <a:extLst>
            <a:ext uri="{FF2B5EF4-FFF2-40B4-BE49-F238E27FC236}">
              <a16:creationId xmlns:a16="http://schemas.microsoft.com/office/drawing/2014/main" id="{0C99E904-8081-6BA1-A8C5-6DD0DD4131FB}"/>
            </a:ext>
          </a:extLst>
        </xdr:cNvPr>
        <xdr:cNvSpPr txBox="1"/>
      </xdr:nvSpPr>
      <xdr:spPr>
        <a:xfrm>
          <a:off x="1035040" y="2040792"/>
          <a:ext cx="770283" cy="1256324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K3-10/15</a:t>
          </a:r>
        </a:p>
        <a:p>
          <a:pPr algn="l"/>
          <a:r>
            <a:rPr lang="en-US" sz="800" b="0" u="none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C11-200</a:t>
          </a:r>
        </a:p>
        <a:p>
          <a:pPr algn="l"/>
          <a:r>
            <a:rPr lang="en-US" sz="8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 CJ6-T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CA5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CG-105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P12-C2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>
    <xdr:from>
      <xdr:col>13</xdr:col>
      <xdr:colOff>261937</xdr:colOff>
      <xdr:row>30</xdr:row>
      <xdr:rowOff>142875</xdr:rowOff>
    </xdr:from>
    <xdr:to>
      <xdr:col>13</xdr:col>
      <xdr:colOff>285750</xdr:colOff>
      <xdr:row>35</xdr:row>
      <xdr:rowOff>71437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C8CB9580-7F65-92F0-64F0-FDEAD2BC3A20}"/>
            </a:ext>
          </a:extLst>
        </xdr:cNvPr>
        <xdr:cNvCxnSpPr/>
      </xdr:nvCxnSpPr>
      <xdr:spPr>
        <a:xfrm flipH="1">
          <a:off x="6929437" y="5048250"/>
          <a:ext cx="23813" cy="762000"/>
        </a:xfrm>
        <a:prstGeom prst="line">
          <a:avLst/>
        </a:prstGeom>
        <a:ln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47625</xdr:colOff>
      <xdr:row>29</xdr:row>
      <xdr:rowOff>71437</xdr:rowOff>
    </xdr:from>
    <xdr:to>
      <xdr:col>13</xdr:col>
      <xdr:colOff>523875</xdr:colOff>
      <xdr:row>31</xdr:row>
      <xdr:rowOff>71437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DF980771-817D-758B-0ED5-476DF0442A9F}"/>
            </a:ext>
          </a:extLst>
        </xdr:cNvPr>
        <xdr:cNvSpPr/>
      </xdr:nvSpPr>
      <xdr:spPr>
        <a:xfrm>
          <a:off x="6715125" y="4810125"/>
          <a:ext cx="476250" cy="333375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428624</xdr:colOff>
      <xdr:row>8</xdr:row>
      <xdr:rowOff>47626</xdr:rowOff>
    </xdr:from>
    <xdr:to>
      <xdr:col>22</xdr:col>
      <xdr:colOff>380999</xdr:colOff>
      <xdr:row>51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74976C-F5C6-0B38-4618-186E3E47F3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218" t="12965" r="44682" b="5775"/>
        <a:stretch/>
      </xdr:blipFill>
      <xdr:spPr>
        <a:xfrm>
          <a:off x="547687" y="1524001"/>
          <a:ext cx="12549187" cy="716756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/Data%20KANTOR/Kantor%202021/PBPD/1.%20WORKING%20AREA/laporan%20FGTM/oktober%202016/Users/asus/Documents/Documents%20and%20Settings/lilik/Local%20Settings/Temporary%20Internet%20Files/OLK4E/Documents%20and%20Settings/tania%20savana.OPDIST-CAD3CA88/My%20Documents/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%202023/PB-PD/3.%20KKP%20PB-PD%20TR%20Kolektif/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  <sheetName val="PUNCAK-89"/>
      <sheetName val="Submission Form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  <sheetName val="NRCPTK01"/>
      <sheetName val="DExp.Lmb"/>
      <sheetName val="HARGA SATUAN"/>
      <sheetName val="DETAIL USUL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  <sheetName val="HS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  <sheetName val="graf2"/>
      <sheetName val="prod03"/>
      <sheetName val="C"/>
      <sheetName val="M"/>
      <sheetName val="Sheet3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  <sheetName val="JSꣀߗ_x000f__lambaro.xls_BP⿁_x000f__"/>
      <sheetName val="Uraian"/>
      <sheetName val="rkap2008"/>
      <sheetName val="List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  <sheetName val="W-NAD"/>
      <sheetName val="Resume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Sꣀߗ_x000f__lambaro.xls_BP⿁_x000f__"/>
      <sheetName val="PLGN"/>
      <sheetName val="JS_x005f_x0000__x005f_x0000_ꣀߗ_x005f_x000f_[lamba"/>
      <sheetName val="x"/>
      <sheetName val="NORMALISASI"/>
      <sheetName val="DATA BASE"/>
      <sheetName val="JS_x005f_x0000__x005f_x0000_ꣀߗ_x005f_x000f__lam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  <sheetName val="PUNCAK-8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  <sheetName val="LISDES"/>
      <sheetName val="Currency Rate"/>
      <sheetName val="SEX"/>
      <sheetName val="CPI"/>
      <sheetName val="KURS"/>
      <sheetName val="IKK 2018"/>
      <sheetName val="INKINDO 2018"/>
      <sheetName val="IKK 2017"/>
      <sheetName val="Hg.Sat"/>
      <sheetName val="Upah"/>
      <sheetName val="PRK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Material"/>
      <sheetName val="Section 2 MastlisteRev02"/>
      <sheetName val="TAP"/>
      <sheetName val="Overview"/>
      <sheetName val="divI"/>
      <sheetName val="divII"/>
      <sheetName val="new kinerja"/>
      <sheetName val="Data Kit"/>
      <sheetName val="Data Kit Kaltim"/>
      <sheetName val="Upah Bahan"/>
      <sheetName val="Daftar Peserta"/>
      <sheetName val="Simulasi SPPD"/>
      <sheetName val="Data asli"/>
      <sheetName val="Database SPPD ke JK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VALIDASI PRK"/>
      <sheetName val="DAF- PEG"/>
      <sheetName val="I.5 ADDITION"/>
      <sheetName val="chemcal"/>
      <sheetName val="2008_rev1"/>
      <sheetName val="R_SM_KIN"/>
      <sheetName val="SAPITO"/>
      <sheetName val="SALDO PERSEDIAAN"/>
      <sheetName val="JOURNAL"/>
      <sheetName val="JOURNAL2"/>
      <sheetName val="JURNAL JAN'98"/>
      <sheetName val="grafi kesiapan versi p3b dan pe"/>
      <sheetName val="WP"/>
      <sheetName val="LISTS"/>
      <sheetName val="RKS"/>
      <sheetName val="Rekap rutin psb"/>
      <sheetName val="BAG-2"/>
      <sheetName val="Formula"/>
      <sheetName val="Macro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KATALOG"/>
      <sheetName val="Rekap per Jenis"/>
      <sheetName val="LOAD"/>
      <sheetName val="TUL III-09 UNIT"/>
      <sheetName val="LK-1"/>
      <sheetName val="USAHA"/>
      <sheetName val="Hal-1"/>
      <sheetName val="aruskas"/>
      <sheetName val="06b"/>
      <sheetName val="WBS 2"/>
      <sheetName val="DATA PENGUSAHAAN"/>
      <sheetName val="R_ccode"/>
      <sheetName val="StU"/>
      <sheetName val="D7(1)"/>
      <sheetName val="PDPT - BL"/>
      <sheetName val="AHS "/>
      <sheetName val="pricing"/>
      <sheetName val="01 A"/>
      <sheetName val="5-Peralatan"/>
      <sheetName val="000000"/>
      <sheetName val="2013"/>
      <sheetName val="dataKIT"/>
      <sheetName val="dataPHT"/>
      <sheetName val="dataIBT"/>
      <sheetName val="Sheet42"/>
      <sheetName val="Sentra"/>
      <sheetName val="POWER"/>
      <sheetName val="For Report-Akum"/>
      <sheetName val="TOP"/>
      <sheetName val="Input"/>
      <sheetName val="WIL"/>
      <sheetName val="Amr"/>
      <sheetName val="GAJI"/>
      <sheetName val="bakup1"/>
      <sheetName val="Prod~Alt"/>
      <sheetName val="Shedule"/>
      <sheetName val="Posisi"/>
      <sheetName val="Adj"/>
      <sheetName val="Valuation"/>
      <sheetName val="DESEMBER"/>
      <sheetName val="Resource Plan (2)"/>
      <sheetName val="Pengalaman Per"/>
      <sheetName val="SITE-E"/>
      <sheetName val="QlocSgl"/>
      <sheetName val="Hitung_Energi"/>
      <sheetName val="Marshal"/>
      <sheetName val="GeneralInfo"/>
      <sheetName val="NERACA SESUAI PROGRAM GL MAGIC"/>
      <sheetName val="Links"/>
      <sheetName val="Lead"/>
      <sheetName val="MAIN"/>
      <sheetName val="Data Penyulang"/>
      <sheetName val="AKTIVA TETAP"/>
      <sheetName val="anal"/>
      <sheetName val="uba"/>
      <sheetName val="Galian 1"/>
      <sheetName val="KH"/>
      <sheetName val="AkumAT"/>
      <sheetName val="Daftar Tabel"/>
      <sheetName val="analhps"/>
      <sheetName val="Energi Disalurkan"/>
      <sheetName val="Umum"/>
      <sheetName val="KWH_RPJual"/>
      <sheetName val="Invoice"/>
      <sheetName val="URA E450"/>
      <sheetName val="2-JTW"/>
      <sheetName val="Konstruksi"/>
      <sheetName val="mob (2)"/>
      <sheetName val="LOADDAT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PESANTREN"/>
      <sheetName val="G"/>
      <sheetName val="Curup"/>
      <sheetName val="Prabu"/>
      <sheetName val="On Time"/>
      <sheetName val="BQ"/>
      <sheetName val="Progress"/>
      <sheetName val="Mobilisasi-pnw"/>
      <sheetName val="Land Clearing-pnw"/>
      <sheetName val="BiPinjaman(15)"/>
      <sheetName val="LabaRugi Fungsi th (t-1)(21B)"/>
      <sheetName val="LabaRugi Lainnya(20)"/>
      <sheetName val="LabaRugi Unsur th(t-1)(21A)"/>
      <sheetName val="PembelianTL(12A1)"/>
      <sheetName val="Permanent info"/>
      <sheetName val="Ex-Rate"/>
      <sheetName val="AKTIVA"/>
      <sheetName val="Bln3_4"/>
      <sheetName val="Akun"/>
      <sheetName val="DataReferensi"/>
      <sheetName val="ProdSendiri"/>
      <sheetName val="Rekap 2002 mod"/>
      <sheetName val="Penjualan"/>
      <sheetName val="PS&amp;Susut TL"/>
      <sheetName val="neraca 1999-2000"/>
      <sheetName val="KONTRAK"/>
      <sheetName val="PROG"/>
      <sheetName val="MyTugas"/>
      <sheetName val="Listing"/>
      <sheetName val="Test Accrue"/>
      <sheetName val="XREF"/>
      <sheetName val="PDPKonstruksi"/>
      <sheetName val="FG"/>
      <sheetName val="K.6DEPOSIT"/>
      <sheetName val="Contract &amp; Assumptions"/>
      <sheetName val="Real Lunas"/>
      <sheetName val="Monitoring Juli"/>
      <sheetName val="Scoreboard"/>
      <sheetName val="GET ULP"/>
      <sheetName val="Tw I,II,III,IV"/>
      <sheetName val="PELUNASAN P2TL"/>
      <sheetName val="P2TL KWH&amp;RP GET WIL"/>
      <sheetName val="P2TL KWH&amp;RP GET WIL (2)"/>
      <sheetName val="TARGET WILSU VS PPJ"/>
      <sheetName val="Monitoring Feb"/>
      <sheetName val="Monitoring Mar"/>
      <sheetName val="Monitoring April"/>
      <sheetName val="Monitoring Mei"/>
      <sheetName val="Monitoring Juni"/>
      <sheetName val="Download_Data"/>
      <sheetName val="Grf Pedp Lain2"/>
      <sheetName val="L20Keu"/>
      <sheetName val="Komposisi"/>
      <sheetName val="BBM-03"/>
      <sheetName val="Note"/>
      <sheetName val="KWH 12BL (2)"/>
      <sheetName val="Isian"/>
      <sheetName val="Gangg_PL"/>
      <sheetName val="Du_lieu"/>
      <sheetName val="daftar harga dan upah"/>
      <sheetName val="ANALISA SNI'13 "/>
      <sheetName val="Mobilisasi div-1"/>
      <sheetName val="BOQ Rekap"/>
      <sheetName val="D-Bahan &amp; Upah"/>
      <sheetName val="div-6"/>
      <sheetName val="div-7"/>
      <sheetName val="drawing"/>
      <sheetName val="AnConW"/>
      <sheetName val="AnEarthW"/>
      <sheetName val="AnLandW"/>
      <sheetName val="BasicPrice"/>
      <sheetName val="AnStoneW"/>
      <sheetName val="SWENG_Risk"/>
      <sheetName val="TRA_TS"/>
      <sheetName val="Price_List"/>
      <sheetName val="Estimate"/>
      <sheetName val="NAMES"/>
      <sheetName val="HBU"/>
      <sheetName val="Input GENERATION-DATA"/>
      <sheetName val="D2 BOQ LE TWR"/>
      <sheetName val="Ea. ANA POND"/>
      <sheetName val="UK110301"/>
      <sheetName val="ADM_TEK_TP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  <sheetName val="Assumptions (2)"/>
      <sheetName val="L20Keu"/>
      <sheetName val="ASUMSI"/>
      <sheetName val="JAN07"/>
      <sheetName val="x"/>
      <sheetName val="graf2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  <sheetName val="Trip 2007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antu"/>
      <sheetName val="Monitoring_Harian"/>
      <sheetName val="bantu_rec"/>
      <sheetName val="KINERJA_PMT"/>
      <sheetName val="RincianPMG"/>
      <sheetName val="Rincian HTT"/>
      <sheetName val="Rekap HTT"/>
      <sheetName val="Rincian AT"/>
      <sheetName val="Rekap AT"/>
      <sheetName val="PUNCAK-89"/>
      <sheetName val="KUMULATIP"/>
      <sheetName val="Sensitivitas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>
        <row r="9">
          <cell r="B9" t="str">
            <v>Perkiraan HSS 2016 = harga pasar 2015 * (100% + sasaran inflasi 2016)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9">
          <cell r="A9">
            <v>1</v>
          </cell>
        </row>
      </sheetData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  <sheetName val="DExp.Lmb"/>
      <sheetName val="Assumptions (2)"/>
      <sheetName val="Usulan"/>
      <sheetName val="JAN07"/>
      <sheetName val="graf2"/>
      <sheetName val="DeVIASI"/>
      <sheetName val="KoMposisi"/>
      <sheetName val="Asumsi"/>
      <sheetName val="NRCPTK01"/>
      <sheetName val="Data"/>
      <sheetName val="W-NAD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Assumptions (2)"/>
      <sheetName val="JTM"/>
      <sheetName val="L20Keu"/>
      <sheetName val="rkap2008"/>
      <sheetName val="UshDeb00"/>
      <sheetName val="Resume"/>
      <sheetName val="Sheet5"/>
      <sheetName val="aruskas"/>
      <sheetName val="Harga BBM Indonesia"/>
      <sheetName val="FORM-B"/>
      <sheetName val="MASTER"/>
      <sheetName val="prod03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  <sheetName val="MEMO"/>
      <sheetName val="Kamus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-BASE SUTT"/>
      <sheetName val="master rab"/>
      <sheetName val="L20Keu"/>
      <sheetName val="Rekapitulasi"/>
      <sheetName val="Data Base Konstruksi"/>
      <sheetName val="Data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  <sheetName val="Asumsi"/>
      <sheetName val="Harga BBM Indonesia"/>
      <sheetName val="BBaku(12C3)"/>
      <sheetName val="BiLuOp(14)"/>
      <sheetName val="BOLain(12E2)"/>
      <sheetName val="BPeg-F(12D1)"/>
      <sheetName val="PendaLuOp(13)"/>
      <sheetName val="PenjTL(18)"/>
      <sheetName val="MASTER"/>
      <sheetName val="JTM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  <sheetName val="Usulan"/>
      <sheetName val="HP_Service Cost Model-v1.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W-NAD"/>
      <sheetName val="Smg"/>
      <sheetName val="DeVIASI"/>
      <sheetName val="KoMposisi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>
        <row r="2">
          <cell r="J2">
            <v>420</v>
          </cell>
        </row>
      </sheetData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6">
          <cell r="C6">
            <v>0</v>
          </cell>
        </row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67">
          <cell r="C67" t="str">
            <v>Switch Gear 20kV Maintenance</v>
          </cell>
        </row>
        <row r="68">
          <cell r="C68" t="str">
            <v>Battery 20kV Maintenance</v>
          </cell>
        </row>
        <row r="69">
          <cell r="C69" t="str">
            <v>New Connection Single Phase - Direct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48">
          <cell r="C148" t="str">
            <v>New Connection Single Phase - Direct</v>
          </cell>
        </row>
        <row r="149">
          <cell r="C149" t="str">
            <v>New Connection Single Phase - Indirect</v>
          </cell>
        </row>
        <row r="150">
          <cell r="C150" t="str">
            <v>New Connection Three Phase - Direct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53">
          <cell r="C53" t="str">
            <v>Business Volume in region</v>
          </cell>
        </row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>
        <row r="381">
          <cell r="C381">
            <v>0</v>
          </cell>
        </row>
      </sheetData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>
        <row r="7">
          <cell r="D7" t="str">
            <v>Regional Manager</v>
          </cell>
        </row>
      </sheetData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>
        <row r="8">
          <cell r="B8" t="str">
            <v>West Sumatera</v>
          </cell>
        </row>
      </sheetData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  <sheetName val="NerSubsis"/>
      <sheetName val="UPDATE 25 JANUARI 2007"/>
      <sheetName val="UshDeb00"/>
      <sheetName val="MENU1"/>
      <sheetName val="Monitoring Gangguan Trafo"/>
      <sheetName val="Survey"/>
      <sheetName val="data"/>
      <sheetName val="prod03"/>
      <sheetName val="Assumptions"/>
      <sheetName val="AKTIVA"/>
      <sheetName val="D_ANALISA"/>
      <sheetName val="Rekap PMG.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  <sheetName val="MENU"/>
      <sheetName val="MENU1"/>
      <sheetName val="MEMO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  <sheetName val="Usulan"/>
      <sheetName val="CashFlow"/>
      <sheetName val="JAN09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  <sheetName val="REAL-LR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>
            <v>0</v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>
            <v>0</v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>
            <v>0</v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>
            <v>0</v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  <sheetName val="Bawor"/>
      <sheetName val="item"/>
      <sheetName val="Sheet5"/>
      <sheetName val="REAL-LR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>
            <v>0</v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>
            <v>0</v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>
            <v>0</v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>
            <v>0</v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>
            <v>0</v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>
            <v>0</v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>
            <v>0</v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>
            <v>0</v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>
            <v>0</v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>
            <v>0</v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>
            <v>0</v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>
            <v>0</v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>
            <v>0</v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>
            <v>0</v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>
            <v>0</v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>
            <v>0</v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>
            <v>0</v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>
            <v>0</v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>
            <v>0</v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>
            <v>0</v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>
            <v>0</v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>
            <v>0</v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>
            <v>0</v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>
            <v>0</v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>
            <v>0</v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>
            <v>0</v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>
            <v>0</v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>
            <v>0</v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>
            <v>0</v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>
            <v>0</v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>
            <v>0</v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>
            <v>0</v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>
            <v>0</v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>
            <v>0</v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>
            <v>0</v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>
            <v>0</v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>
            <v>0</v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>
            <v>0</v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>
            <v>0</v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>
            <v>0</v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>
            <v>0</v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>
            <v>0</v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>
            <v>0</v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>
            <v>0</v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>
            <v>0</v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>
            <v>0</v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>
            <v>0</v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>
            <v>0</v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>
            <v>0</v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>
            <v>0</v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>
            <v>0</v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>
            <v>0</v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>
            <v>0</v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>
            <v>0</v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>
            <v>0</v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>
            <v>0</v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>
            <v>0</v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>
            <v>0</v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>
            <v>0</v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>
            <v>0</v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>
            <v>0</v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>
            <v>0</v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>
            <v>0</v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>
            <v>0</v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>
            <v>0</v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>
            <v>0</v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>
            <v>0</v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>
            <v>0</v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>
            <v>0</v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>
            <v>0</v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>
            <v>0</v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>
            <v>0</v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>
            <v>0</v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>
            <v>0</v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>
            <v>0</v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>
            <v>0</v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>
            <v>0</v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>
            <v>0</v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>
            <v>0</v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>
            <v>0</v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>
            <v>0</v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>
            <v>0</v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>
            <v>0</v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>
            <v>0</v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>
            <v>0</v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>
            <v>0</v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>
            <v>0</v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>
            <v>0</v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PBA"/>
      <sheetName val="PMT"/>
      <sheetName val="INLAND FACTOR DISTANCE"/>
      <sheetName val="DivVI"/>
      <sheetName val="Kali"/>
      <sheetName val="Analisa K"/>
      <sheetName val="hrg uph+bhn"/>
      <sheetName val="D.109"/>
      <sheetName val="D.103"/>
      <sheetName val="D.115"/>
      <sheetName val="D.116"/>
      <sheetName val="D.118"/>
      <sheetName val="D.119"/>
      <sheetName val="Usulan"/>
      <sheetName val="USAHA"/>
      <sheetName val="LK-1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  <sheetName val="LR"/>
      <sheetName val="W1"/>
      <sheetName val="Usulan"/>
      <sheetName val="MENU"/>
    </sheetNames>
    <sheetDataSet>
      <sheetData sheetId="0" refreshError="1"/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LK2004"/>
      <sheetName val="JAN07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  <sheetName val="item"/>
      <sheetName val="Uraian"/>
      <sheetName val="LK2004"/>
      <sheetName val="W-NAD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  <sheetName val="Sheet5"/>
      <sheetName val="DeVIASI"/>
      <sheetName val="KoMposisi"/>
      <sheetName val="bantu"/>
      <sheetName val="Monitoring_Harian"/>
      <sheetName val="bantu_rec"/>
      <sheetName val="KINERJA_PM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  <sheetName val="tarif_baru"/>
      <sheetName val="Rekap PMG."/>
      <sheetName val="LK2004"/>
      <sheetName val="Usulan"/>
      <sheetName val="TDL 2022"/>
      <sheetName val="DATA PLG"/>
      <sheetName val="Asumsi &amp; Hasil"/>
      <sheetName val="KAJIAN FINANSIAL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  <sheetName val="KAJIAN"/>
      <sheetName val="RAB"/>
      <sheetName val="TDL 2019"/>
      <sheetName val="PUNCAK-89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Asumsi &amp; Hasil"/>
      <sheetName val="Material"/>
      <sheetName val="COVER A1_A3"/>
      <sheetName val="Summary"/>
      <sheetName val="aruskas"/>
      <sheetName val="prod03"/>
      <sheetName val="JAN07"/>
      <sheetName val="KMS-DIS5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Daftar_Isi"/>
      <sheetName val="AI_(IS1)"/>
      <sheetName val="AI_(IS2)(1)"/>
      <sheetName val="AI_(IS2)_(2)"/>
      <sheetName val="REK_TRW_(IS3)"/>
      <sheetName val="REK_TRW_(IS4)"/>
      <sheetName val="RKAP_Investasi"/>
      <sheetName val="Harga_BBM_Indonesia"/>
      <sheetName val="Single_Line"/>
      <sheetName val="DATA_PENGUSAHAAN"/>
      <sheetName val="01 A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  <sheetName val="Harga BBM Indonesia"/>
      <sheetName val="Resource Plan (2)"/>
      <sheetName val="10 INDIKATOR"/>
      <sheetName val="Resume"/>
      <sheetName val="DATA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  <sheetName val="Smg"/>
      <sheetName val="DATA"/>
      <sheetName val="10 INDIKATOR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KKO"/>
      <sheetName val="PDL"/>
      <sheetName val="Harga BBM Indonesia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DeVIASI"/>
      <sheetName val="KoMposisi"/>
      <sheetName val="Harga BBM Indonesia"/>
      <sheetName val="RAB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  <sheetName val="UshDeb00"/>
      <sheetName val="Format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  <sheetName val="Format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  <sheetName val="JAN07"/>
      <sheetName val="Asumsi"/>
      <sheetName val="MATERIAL juni 05"/>
      <sheetName val="UPDATE 25 JANUARI 20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  <sheetName val="20_PB_PD_"/>
      <sheetName val="DTU"/>
      <sheetName val="Asum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  <sheetName val="UPAH 2012"/>
      <sheetName val="Daftar Harga 2012 mmk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>
        <row r="120">
          <cell r="H120">
            <v>9000</v>
          </cell>
        </row>
      </sheetData>
      <sheetData sheetId="228">
        <row r="120">
          <cell r="H120">
            <v>9000</v>
          </cell>
        </row>
      </sheetData>
      <sheetData sheetId="229">
        <row r="120">
          <cell r="H120">
            <v>9000</v>
          </cell>
        </row>
      </sheetData>
      <sheetData sheetId="230">
        <row r="120">
          <cell r="H120">
            <v>9000</v>
          </cell>
        </row>
      </sheetData>
      <sheetData sheetId="231">
        <row r="120">
          <cell r="H120">
            <v>9000</v>
          </cell>
        </row>
      </sheetData>
      <sheetData sheetId="232">
        <row r="120">
          <cell r="H120">
            <v>9000</v>
          </cell>
        </row>
      </sheetData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>
        <row r="120">
          <cell r="H120">
            <v>9000</v>
          </cell>
        </row>
      </sheetData>
      <sheetData sheetId="236">
        <row r="120">
          <cell r="H120">
            <v>9000</v>
          </cell>
        </row>
      </sheetData>
      <sheetData sheetId="237">
        <row r="120">
          <cell r="H120">
            <v>9000</v>
          </cell>
        </row>
      </sheetData>
      <sheetData sheetId="238">
        <row r="120">
          <cell r="H120">
            <v>9000</v>
          </cell>
        </row>
      </sheetData>
      <sheetData sheetId="239">
        <row r="120">
          <cell r="H120">
            <v>9000</v>
          </cell>
        </row>
      </sheetData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>
        <row r="120">
          <cell r="H120">
            <v>9000</v>
          </cell>
        </row>
      </sheetData>
      <sheetData sheetId="243">
        <row r="120">
          <cell r="H120">
            <v>9000</v>
          </cell>
        </row>
      </sheetData>
      <sheetData sheetId="244">
        <row r="120">
          <cell r="H120">
            <v>9000</v>
          </cell>
        </row>
      </sheetData>
      <sheetData sheetId="245">
        <row r="120">
          <cell r="H120">
            <v>9000</v>
          </cell>
        </row>
      </sheetData>
      <sheetData sheetId="246">
        <row r="120">
          <cell r="H120">
            <v>9000</v>
          </cell>
        </row>
      </sheetData>
      <sheetData sheetId="247">
        <row r="120">
          <cell r="H120">
            <v>9000</v>
          </cell>
        </row>
      </sheetData>
      <sheetData sheetId="248">
        <row r="120">
          <cell r="H120">
            <v>9000</v>
          </cell>
        </row>
      </sheetData>
      <sheetData sheetId="249"/>
      <sheetData sheetId="250">
        <row r="120">
          <cell r="H120">
            <v>9000</v>
          </cell>
        </row>
      </sheetData>
      <sheetData sheetId="251">
        <row r="120">
          <cell r="H120">
            <v>9000</v>
          </cell>
        </row>
      </sheetData>
      <sheetData sheetId="252">
        <row r="120">
          <cell r="H120">
            <v>9000</v>
          </cell>
        </row>
      </sheetData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  <sheetName val="Sudah Berjalan"/>
      <sheetName val="D2. ANALISA HS INSHAR"/>
      <sheetName val="Resume"/>
      <sheetName val="DTU"/>
      <sheetName val="DENPASA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  <sheetName val="Format"/>
      <sheetName val="Jasa"/>
      <sheetName val="Mat"/>
      <sheetName val="JAN07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  <sheetName val="KKO"/>
      <sheetName val="PDL"/>
      <sheetName val="HARGA SATU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Cov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  <sheetName val="INPBA"/>
      <sheetName val="PkRp"/>
      <sheetName val="HSU"/>
      <sheetName val="HS PRPBJ"/>
      <sheetName val="FORM-B"/>
      <sheetName val="AHS-JTR"/>
      <sheetName val="bahan"/>
      <sheetName val="Upah"/>
      <sheetName val="Hitung_Energi"/>
      <sheetName val="harga"/>
      <sheetName val="TDL 2020"/>
      <sheetName val="DATA PLG"/>
      <sheetName val="Asumsi &amp; Hasil"/>
      <sheetName val="Resource Plan (2)"/>
      <sheetName val="HARGA SATUAN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 refreshError="1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D2. ANALISA HS INSHAR"/>
      <sheetName val="Harga BBM Indonesia"/>
      <sheetName val="Fixset"/>
      <sheetName val="x"/>
      <sheetName val="01 A"/>
      <sheetName val="PMT"/>
      <sheetName val="Format"/>
      <sheetName val="SISTEM SUMBAGSEL"/>
      <sheetName val="harga"/>
      <sheetName val="HarJabor(12C2)"/>
      <sheetName val="bahan"/>
      <sheetName val="Upah"/>
      <sheetName val="GenlistHI"/>
      <sheetName val="AHS-JTR"/>
      <sheetName val="CiMaPlbStd"/>
      <sheetName val="Dasar Pemadaman"/>
      <sheetName val="aruskas"/>
      <sheetName val="A1 pri123"/>
      <sheetName val=" RAB Lt2"/>
      <sheetName val="RAB Lt3"/>
      <sheetName val="Data Pelanggan TM"/>
      <sheetName val="Menu"/>
      <sheetName val="Parameter"/>
      <sheetName val="O &amp; M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>
        <row r="2">
          <cell r="D2">
            <v>390</v>
          </cell>
        </row>
      </sheetData>
      <sheetData sheetId="55" refreshError="1"/>
      <sheetData sheetId="56" refreshError="1"/>
      <sheetData sheetId="57">
        <row r="2">
          <cell r="D2">
            <v>390</v>
          </cell>
        </row>
      </sheetData>
      <sheetData sheetId="58" refreshError="1"/>
      <sheetData sheetId="59">
        <row r="2">
          <cell r="D2">
            <v>390</v>
          </cell>
        </row>
      </sheetData>
      <sheetData sheetId="60" refreshError="1"/>
      <sheetData sheetId="61" refreshError="1"/>
      <sheetData sheetId="62">
        <row r="2">
          <cell r="D2">
            <v>390</v>
          </cell>
        </row>
      </sheetData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 refreshError="1"/>
      <sheetData sheetId="105" refreshError="1"/>
      <sheetData sheetId="106" refreshError="1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  <sheetName val="USAHA"/>
      <sheetName val="LK-1"/>
      <sheetName val="FORM-B"/>
      <sheetName val="Mar 2004"/>
      <sheetName val="CiMaPlbStd"/>
      <sheetName val="TDL2001"/>
      <sheetName val="Grf Pedp Lain2"/>
      <sheetName val="Sheet5"/>
      <sheetName val="Sudah Berjalan"/>
      <sheetName val="SISTEM SUMBAGSEL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  <sheetName val="UshDeb00"/>
      <sheetName val="KKO"/>
      <sheetName val="PDL"/>
      <sheetName val="INPBA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  <sheetName val="Neraca seAPJ"/>
      <sheetName val="E3. ANALISA HS HAR TEK SUTM"/>
      <sheetName val="E6. ANALISA HS HAR"/>
      <sheetName val="KKO"/>
      <sheetName val="PDL"/>
      <sheetName val="NerSubsis"/>
      <sheetName val="AHS - Non Personel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  <sheetName val="Jasa"/>
      <sheetName val="Mat"/>
      <sheetName val="RAB"/>
      <sheetName val="DTU"/>
      <sheetName val="aruskas"/>
      <sheetName val="Hal-1"/>
      <sheetName val="NerSubsis"/>
      <sheetName val="Smg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  <sheetName val="Wil-2"/>
      <sheetName val="Analisis"/>
      <sheetName val="rab KD"/>
      <sheetName val="AHS-JTR"/>
      <sheetName val="Parameter"/>
      <sheetName val="Tabel Kode"/>
      <sheetName val=" RAB Lt2"/>
      <sheetName val="RAB Lt3"/>
      <sheetName val="HS PRPBJ"/>
      <sheetName val="Sheet6"/>
      <sheetName val="L-R"/>
      <sheetName val="laporan pemakaian blangko"/>
      <sheetName val="analis"/>
      <sheetName val="JADWAL"/>
      <sheetName val="UshDeb00"/>
      <sheetName val="A"/>
      <sheetName val="ca"/>
      <sheetName val="Format"/>
      <sheetName val="aruskas"/>
      <sheetName val="Hal-1"/>
      <sheetName val="D2. ANL WAKTU INSHAR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>
        <row r="12">
          <cell r="D12">
            <v>0.54400000000000004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 refreshError="1"/>
      <sheetData sheetId="72" refreshError="1"/>
      <sheetData sheetId="73"/>
      <sheetData sheetId="74"/>
      <sheetData sheetId="75"/>
      <sheetData sheetId="76" refreshError="1"/>
      <sheetData sheetId="77" refreshError="1"/>
      <sheetData sheetId="78" refreshError="1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  <sheetName val="Cover"/>
      <sheetName val="Format"/>
      <sheetName val="W-NAD"/>
      <sheetName val="Standar Konstruksi"/>
      <sheetName val="D2. ANL WAKTU INS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  <sheetName val="LR"/>
      <sheetName val="Valuation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  <sheetName val="Neraca seAPJ"/>
      <sheetName val="TABEL"/>
      <sheetName val="PkRp"/>
      <sheetName val="Format"/>
      <sheetName val="E3. ANALISA HS HAR TEK SUTM"/>
      <sheetName val="E6. ANALISA HS HAR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RAB GI"/>
      <sheetName val="Penjualan"/>
      <sheetName val="ProdSendiri"/>
      <sheetName val="PS&amp;Susut TL"/>
      <sheetName val="SewaBeli"/>
      <sheetName val="Transfer"/>
      <sheetName val="LK2004"/>
      <sheetName val="Tabel Kode"/>
      <sheetName val="JADWAL"/>
      <sheetName val="REKAP_MATERIAL 2021"/>
      <sheetName val="JASA_SS"/>
      <sheetName val="ANALISA SUTM"/>
      <sheetName val="LISA_JASA"/>
      <sheetName val="RAB JTR"/>
      <sheetName val="ANALISA UPAH"/>
      <sheetName val="LISA GRD"/>
      <sheetName val="Hitung_Energi"/>
      <sheetName val="SISTEM SUMBAGSEL"/>
      <sheetName val="FORM BQ TL PRATU 4cct"/>
      <sheetName val="REKAP"/>
      <sheetName val="laporan pemakaian blangko"/>
      <sheetName val="ca"/>
      <sheetName val="Submission Form"/>
      <sheetName val="A"/>
      <sheetName val="INPBA"/>
      <sheetName val="Sheet5"/>
      <sheetName val="JURNAL"/>
      <sheetName val="BB PUSAT"/>
      <sheetName val="DTstok"/>
      <sheetName val="TDL 2019"/>
      <sheetName val="JAN07"/>
      <sheetName val="bantu"/>
      <sheetName val="Sheet2"/>
      <sheetName val="Bantu_PMT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  <sheetName val="PDL"/>
      <sheetName val="JAN07"/>
      <sheetName val="W1"/>
      <sheetName val="NerSubsis"/>
      <sheetName val="LR"/>
      <sheetName val="L_23"/>
      <sheetName val="Kontrol"/>
      <sheetName val="Harga BBM Indonesia"/>
      <sheetName val="Catalog"/>
      <sheetName val="Smg"/>
      <sheetName val="master rab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  <sheetName val="D2. ANALISA HS INSHAR"/>
      <sheetName val="JAN07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LabaRugi"/>
      <sheetName val="Calc Inst"/>
      <sheetName val="Hg.Sat"/>
      <sheetName val="Uraian"/>
      <sheetName val="rkap2008"/>
      <sheetName val="List"/>
      <sheetName val="harga"/>
      <sheetName val="Bipeg-U(12D2)"/>
      <sheetName val="analis"/>
      <sheetName val="Data"/>
      <sheetName val="Mar 2004"/>
      <sheetName val="bahan"/>
      <sheetName val="Upah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NAL"/>
      <sheetName val="REKAP"/>
      <sheetName val="SAT"/>
      <sheetName val="01 A"/>
      <sheetName val="E3. ANALISA HS HAR TEK SUTM"/>
      <sheetName val="E6. ANALISA HS HAR"/>
      <sheetName val="PICKUP"/>
      <sheetName val="PkRp"/>
      <sheetName val="CiMaPlbStd"/>
      <sheetName val=" RAB Lt2"/>
      <sheetName val="RAB Lt3"/>
      <sheetName val="Kamu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 refreshError="1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  <sheetName val="Asumsi"/>
      <sheetName val="aruskas"/>
      <sheetName val="Hal-1"/>
      <sheetName val="E3. ANALISA HS HAR TEK SUTM"/>
      <sheetName val="E6. ANALISA HS HAR"/>
      <sheetName val="Rekap PMG."/>
      <sheetName val="PMT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  <sheetName val="data"/>
      <sheetName val="master rab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LAIN2"/>
      <sheetName val="data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  <sheetName val="Valuation"/>
      <sheetName val="harga"/>
      <sheetName val="Jatim LKAI2007  16062006 0"/>
      <sheetName val="analis"/>
      <sheetName val="Analisis"/>
      <sheetName val="AHS-JTR"/>
      <sheetName val="laporan pemakaian blangko"/>
      <sheetName val="HB2"/>
      <sheetName val="Data Base Konstruk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  <sheetName val="PMT"/>
      <sheetName val="master rab"/>
      <sheetName val="INP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  <sheetName val="ca"/>
      <sheetName val="JURNAL"/>
      <sheetName val="BB PUSAT"/>
      <sheetName val="DTstok"/>
      <sheetName val="Asumsi"/>
      <sheetName val="UshDeb00"/>
      <sheetName val="Resume"/>
      <sheetName val="Sheet1"/>
      <sheetName val="Cover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  <sheetName val="UshDeb00"/>
      <sheetName val="bantu"/>
      <sheetName val="Valuation"/>
      <sheetName val="FORM-B"/>
      <sheetName val="pemel2012"/>
      <sheetName val="prod03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  <sheetName val="Sudah Berjalan"/>
      <sheetName val="Usulan"/>
      <sheetName val="W-NAD"/>
      <sheetName val="Sheet3"/>
      <sheetName val="TRAN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Rekap PMG."/>
      <sheetName val="aruskas"/>
      <sheetName val="Hal-1"/>
      <sheetName val="Sudah Berjalan"/>
      <sheetName val="pemel2012"/>
      <sheetName val="Submission Form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NO. PRK"/>
      <sheetName val="DATA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  <sheetName val="FORM-B"/>
      <sheetName val="W1"/>
      <sheetName val="LAIN2"/>
      <sheetName val="aruskas"/>
      <sheetName val="Hal-1"/>
      <sheetName val="TABEL"/>
      <sheetName val="LR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  <sheetName val="Resume"/>
      <sheetName val="BB PUSAT"/>
      <sheetName val="DTstok"/>
      <sheetName val="Sudah Berjalan"/>
      <sheetName val="Valuation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  <sheetName val="LAIN2"/>
      <sheetName val="Resume"/>
      <sheetName val="Pro"/>
      <sheetName val="Uph"/>
      <sheetName val="Kons"/>
      <sheetName val="Tamb"/>
      <sheetName val="SR-APP"/>
      <sheetName val="Sort"/>
      <sheetName val="Sheet1"/>
      <sheetName val="Sudah Berjalan"/>
      <sheetName val="JAN07"/>
      <sheetName val="TABEL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  <sheetName val="x"/>
      <sheetName val="Sensitivitas"/>
      <sheetName val="ca"/>
      <sheetName val="JAN07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  <sheetName val="UshDeb00"/>
      <sheetName val="Cover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  <sheetName val="KINERJA_PMT"/>
      <sheetName val="master rab"/>
      <sheetName val="TABEL"/>
      <sheetName val="Sensitivitas"/>
      <sheetName val="Rekap PMG.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  <sheetName val="HB2"/>
      <sheetName val="SuMBER"/>
      <sheetName val="JURNAL"/>
      <sheetName val="BB PUSAT"/>
      <sheetName val="DTstok"/>
      <sheetName val="toip"/>
      <sheetName val="Widodo (2)"/>
      <sheetName val="Widodo"/>
      <sheetName val="HB LAMA"/>
      <sheetName val="x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  <sheetName val="HB BARU"/>
      <sheetName val="Resume"/>
      <sheetName val="ASUMSI"/>
      <sheetName val="TDL 2019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entry REC  trip"/>
      <sheetName val="TDL 2020"/>
      <sheetName val="Dasar Pemadaman"/>
      <sheetName val="Supl.X"/>
      <sheetName val="Harga bahan &amp; upah"/>
      <sheetName val="profil 2021"/>
      <sheetName val="DTstok"/>
      <sheetName val="PK-ISIAN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 refreshError="1"/>
      <sheetData sheetId="130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/>
      <sheetData sheetId="179" refreshError="1"/>
      <sheetData sheetId="180" refreshError="1"/>
      <sheetData sheetId="181" refreshError="1"/>
      <sheetData sheetId="182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  <sheetName val="Sheet1"/>
      <sheetName val="SuMBER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  <sheetData sheetId="3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  <sheetName val="Sudah Berjalan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  <sheetName val="bantu"/>
      <sheetName val="x"/>
      <sheetName val="HB BARU"/>
      <sheetName val="JAN07"/>
      <sheetName val="hrg uph+bhn"/>
      <sheetName val="Tiket ACBC lev"/>
      <sheetName val="REKAP RAP"/>
      <sheetName val="AN-E"/>
      <sheetName val="Table APJ"/>
      <sheetName val="data"/>
      <sheetName val="LAIN2"/>
      <sheetName val="ACUAN"/>
      <sheetName val="SPK"/>
      <sheetName val="ca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  <sheetName val="Pendapatan IPTL 2008 23"/>
      <sheetName val="CashFlow"/>
      <sheetName val="C22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  <sheetName val="BLANKO PRK UPDATE 2024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DETAIL USULAN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8" t="s">
        <v>1134</v>
      </c>
      <c r="C4" s="528"/>
      <c r="D4" s="528"/>
      <c r="E4" s="528"/>
      <c r="F4" s="528"/>
      <c r="G4" s="528"/>
      <c r="H4" s="528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9" t="s">
        <v>0</v>
      </c>
      <c r="C7" s="529" t="s">
        <v>1</v>
      </c>
      <c r="D7" s="530" t="s">
        <v>42</v>
      </c>
      <c r="E7" s="530" t="s">
        <v>43</v>
      </c>
      <c r="F7" s="530" t="s">
        <v>1135</v>
      </c>
      <c r="G7" s="531" t="s">
        <v>41</v>
      </c>
      <c r="H7" s="527" t="s">
        <v>1042</v>
      </c>
      <c r="I7" s="527" t="s">
        <v>1137</v>
      </c>
      <c r="J7" s="527" t="s">
        <v>1026</v>
      </c>
      <c r="K7" s="521" t="s">
        <v>1024</v>
      </c>
      <c r="L7" s="522"/>
    </row>
    <row r="8" spans="1:12" ht="15" customHeight="1">
      <c r="B8" s="529"/>
      <c r="C8" s="529"/>
      <c r="D8" s="530"/>
      <c r="E8" s="530"/>
      <c r="F8" s="530"/>
      <c r="G8" s="531"/>
      <c r="H8" s="527"/>
      <c r="I8" s="527"/>
      <c r="J8" s="527"/>
      <c r="K8" s="523"/>
      <c r="L8" s="524"/>
    </row>
    <row r="9" spans="1:12" ht="15" customHeight="1">
      <c r="B9" s="529"/>
      <c r="C9" s="529"/>
      <c r="D9" s="530"/>
      <c r="E9" s="530"/>
      <c r="F9" s="530"/>
      <c r="G9" s="531"/>
      <c r="H9" s="527"/>
      <c r="I9" s="527"/>
      <c r="J9" s="527"/>
      <c r="K9" s="525"/>
      <c r="L9" s="526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MPB; 1P;230V;5(60)A;1;2W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2</v>
      </c>
      <c r="G12" s="41">
        <f ca="1">IF(ISERROR(OFFSET('HARGA SATUAN'!$I$6,MATCH(C12,'HARGA SATUAN'!$C$7:$C$1492,0),0)),"",OFFSET('HARGA SATUAN'!$I$6,MATCH(C12,'HARGA SATUAN'!$C$7:$C$1492,0),0))</f>
        <v>327600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50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Bh</v>
      </c>
      <c r="F13" s="138">
        <f t="shared" ref="F13:F76" ca="1" si="2">IF(ISERROR(OFFSET($D$713,MATCH(A13,$F$714:$F$1320,0),0)),"",OFFSET($D$713,MATCH(A13,$F$714:$F$1320,0),0))</f>
        <v>2</v>
      </c>
      <c r="G13" s="41">
        <f ca="1">IF(ISERROR(OFFSET('HARGA SATUAN'!$I$6,MATCH(C13,'HARGA SATUAN'!$C$7:$C$1492,0),0)),"",OFFSET('HARGA SATUAN'!$I$6,MATCH(C13,'HARGA SATUAN'!$C$7:$C$1492,0),0))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1 Fasa CSP 50 kVA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27845400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1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Isolator Tumpu ( Pin Post ) 20 KV Porcelein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38">
        <f t="shared" ca="1" si="2"/>
        <v>2</v>
      </c>
      <c r="G16" s="41">
        <f ca="1">IF(ISERROR(OFFSET('HARGA SATUAN'!$I$6,MATCH(C16,'HARGA SATUAN'!$C$7:$C$1492,0),0)),"",OFFSET('HARGA SATUAN'!$I$6,MATCH(C16,'HARGA SATUAN'!$C$7:$C$1492,0),0))</f>
        <v>235900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Isolator Tarik ( Suspension Polymer ) 20 KV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Set</v>
      </c>
      <c r="F17" s="138">
        <f t="shared" ca="1" si="2"/>
        <v>4</v>
      </c>
      <c r="G17" s="41">
        <f ca="1">IF(ISERROR(OFFSET('HARGA SATUAN'!$I$6,MATCH(C17,'HARGA SATUAN'!$C$7:$C$1492,0),0)),"",OFFSET('HARGA SATUAN'!$I$6,MATCH(C17,'HARGA SATUAN'!$C$7:$C$1492,0),0))</f>
        <v>205700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AAAC 70 mm²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38">
        <f t="shared" ca="1" si="2"/>
        <v>362</v>
      </c>
      <c r="G18" s="41">
        <f ca="1">IF(ISERROR(OFFSET('HARGA SATUAN'!$I$6,MATCH(C18,'HARGA SATUAN'!$C$7:$C$1492,0),0)),"",OFFSET('HARGA SATUAN'!$I$6,MATCH(C18,'HARGA SATUAN'!$C$7:$C$1492,0),0))</f>
        <v>14200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NFA2X-T 2 x 70 + N 70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38">
        <f t="shared" ca="1" si="2"/>
        <v>2</v>
      </c>
      <c r="G19" s="41">
        <f ca="1">IF(ISERROR(OFFSET('HARGA SATUAN'!$I$6,MATCH(C19,'HARGA SATUAN'!$C$7:$C$1492,0),0)),"",OFFSET('HARGA SATUAN'!$I$6,MATCH(C19,'HARGA SATUAN'!$C$7:$C$1492,0),0))</f>
        <v>53300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NFA2X 2 x 16 mm²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Mtr</v>
      </c>
      <c r="F20" s="138">
        <f t="shared" ca="1" si="2"/>
        <v>40</v>
      </c>
      <c r="G20" s="41">
        <f ca="1">IF(ISERROR(OFFSET('HARGA SATUAN'!$I$6,MATCH(C20,'HARGA SATUAN'!$C$7:$C$1492,0),0)),"",OFFSET('HARGA SATUAN'!$I$6,MATCH(C20,'HARGA SATUAN'!$C$7:$C$1492,0),0))</f>
        <v>6600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SUMIFS(RAB!$F$14:$F$150,RAB!$C$14:$C$150,C714)</f>
        <v>2</v>
      </c>
      <c r="E714" s="26">
        <f ca="1">IF(D714=0,0,1)</f>
        <v>1</v>
      </c>
      <c r="F714" s="26">
        <f ca="1">IF(D714=0,0,SUM($E$713:E714))</f>
        <v>1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SUMIFS(RAB!$F$14:$F$150,RAB!$C$14:$C$150,C715)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SUMIFS(RAB!$F$14:$F$150,RAB!$C$14:$C$150,C716)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SUMIFS(RAB!$F$14:$F$150,RAB!$C$14:$C$150,C717)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SUMIFS(RAB!$F$14:$F$150,RAB!$C$14:$C$150,C718)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SUMIFS(RAB!$F$14:$F$150,RAB!$C$14:$C$150,C719)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SUMIFS(RAB!$F$14:$F$150,RAB!$C$14:$C$150,C720)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SUMIFS(RAB!$F$14:$F$150,RAB!$C$14:$C$150,C721)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SUMIFS(RAB!$F$14:$F$150,RAB!$C$14:$C$150,C722)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SUMIFS(RAB!$F$14:$F$150,RAB!$C$14:$C$150,C723)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SUMIFS(RAB!$F$14:$F$150,RAB!$C$14:$C$150,C724)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SUMIFS(RAB!$F$14:$F$150,RAB!$C$14:$C$150,C725)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SUMIFS(RAB!$F$14:$F$150,RAB!$C$14:$C$150,C726)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SUMIFS(RAB!$F$14:$F$150,RAB!$C$14:$C$150,C727)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SUMIFS(RAB!$F$14:$F$150,RAB!$C$14:$C$150,C728)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SUMIFS(RAB!$F$14:$F$150,RAB!$C$14:$C$150,C729)</f>
        <v>2</v>
      </c>
      <c r="E729" s="26">
        <f t="shared" ca="1" si="33"/>
        <v>1</v>
      </c>
      <c r="F729" s="26">
        <f ca="1">IF(D729=0,0,SUM($E$713:E729))</f>
        <v>2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SUMIFS(RAB!$F$14:$F$150,RAB!$C$14:$C$150,C730)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SUMIFS(RAB!$F$14:$F$150,RAB!$C$14:$C$150,C731)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SUMIFS(RAB!$F$14:$F$150,RAB!$C$14:$C$150,C732)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SUMIFS(RAB!$F$14:$F$150,RAB!$C$14:$C$150,C733)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SUMIFS(RAB!$F$14:$F$150,RAB!$C$14:$C$150,C734)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SUMIFS(RAB!$F$14:$F$150,RAB!$C$14:$C$150,C735)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SUMIFS(RAB!$F$14:$F$150,RAB!$C$14:$C$150,C736)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SUMIFS(RAB!$F$14:$F$150,RAB!$C$14:$C$150,C737)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SUMIFS(RAB!$F$14:$F$150,RAB!$C$14:$C$150,C738)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SUMIFS(RAB!$F$14:$F$150,RAB!$C$14:$C$150,C739)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SUMIFS(RAB!$F$14:$F$150,RAB!$C$14:$C$150,C740)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SUMIFS(RAB!$F$14:$F$150,RAB!$C$14:$C$150,C741)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SUMIFS(RAB!$F$14:$F$150,RAB!$C$14:$C$150,C742)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SUMIFS(RAB!$F$14:$F$150,RAB!$C$14:$C$150,C743)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SUMIFS(RAB!$F$14:$F$150,RAB!$C$14:$C$150,C744)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SUMIFS(RAB!$F$14:$F$150,RAB!$C$14:$C$150,C745)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SUMIFS(RAB!$F$14:$F$150,RAB!$C$14:$C$150,C746)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SUMIFS(RAB!$F$14:$F$150,RAB!$C$14:$C$150,C747)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SUMIFS(RAB!$F$14:$F$150,RAB!$C$14:$C$150,C748)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SUMIFS(RAB!$F$14:$F$150,RAB!$C$14:$C$150,C749)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SUMIFS(RAB!$F$14:$F$150,RAB!$C$14:$C$150,C750)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SUMIFS(RAB!$F$14:$F$150,RAB!$C$14:$C$150,C751)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SUMIFS(RAB!$F$14:$F$150,RAB!$C$14:$C$150,C752)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SUMIFS(RAB!$F$14:$F$150,RAB!$C$14:$C$150,C753)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SUMIFS(RAB!$F$14:$F$150,RAB!$C$14:$C$150,C754)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SUMIFS(RAB!$F$14:$F$150,RAB!$C$14:$C$150,C755)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SUMIFS(RAB!$F$14:$F$150,RAB!$C$14:$C$150,C756)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SUMIFS(RAB!$F$14:$F$150,RAB!$C$14:$C$150,C757)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SUMIFS(RAB!$F$14:$F$150,RAB!$C$14:$C$150,C758)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SUMIFS(RAB!$F$14:$F$150,RAB!$C$14:$C$150,C759)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SUMIFS(RAB!$F$14:$F$150,RAB!$C$14:$C$150,C760)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SUMIFS(RAB!$F$14:$F$150,RAB!$C$14:$C$150,C761)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SUMIFS(RAB!$F$14:$F$150,RAB!$C$14:$C$150,C762)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SUMIFS(RAB!$F$14:$F$150,RAB!$C$14:$C$150,C763)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SUMIFS(RAB!$F$14:$F$150,RAB!$C$14:$C$150,C764)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SUMIFS(RAB!$F$14:$F$150,RAB!$C$14:$C$150,C765)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SUMIFS(RAB!$F$14:$F$150,RAB!$C$14:$C$150,C766)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SUMIFS(RAB!$F$14:$F$150,RAB!$C$14:$C$150,C767)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SUMIFS(RAB!$F$14:$F$150,RAB!$C$14:$C$150,C768)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SUMIFS(RAB!$F$14:$F$150,RAB!$C$14:$C$150,C769)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SUMIFS(RAB!$F$14:$F$150,RAB!$C$14:$C$150,C770)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SUMIFS(RAB!$F$14:$F$150,RAB!$C$14:$C$150,C771)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SUMIFS(RAB!$F$14:$F$150,RAB!$C$14:$C$150,C772)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SUMIFS(RAB!$F$14:$F$150,RAB!$C$14:$C$150,C773)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SUMIFS(RAB!$F$14:$F$150,RAB!$C$14:$C$150,C774)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SUMIFS(RAB!$F$14:$F$150,RAB!$C$14:$C$150,C775)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SUMIFS(RAB!$F$14:$F$150,RAB!$C$14:$C$150,C776)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SUMIFS(RAB!$F$14:$F$150,RAB!$C$14:$C$150,C777)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SUMIFS(RAB!$F$14:$F$150,RAB!$C$14:$C$150,C778)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SUMIFS(RAB!$F$14:$F$150,RAB!$C$14:$C$150,C779)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SUMIFS(RAB!$F$14:$F$150,RAB!$C$14:$C$150,C780)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SUMIFS(RAB!$F$14:$F$150,RAB!$C$14:$C$150,C781)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SUMIFS(RAB!$F$14:$F$150,RAB!$C$14:$C$150,C782)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SUMIFS(RAB!$F$14:$F$150,RAB!$C$14:$C$150,C783)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SUMIFS(RAB!$F$14:$F$150,RAB!$C$14:$C$150,C784)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SUMIFS(RAB!$F$14:$F$150,RAB!$C$14:$C$150,C785)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SUMIFS(RAB!$F$14:$F$150,RAB!$C$14:$C$150,C786)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SUMIFS(RAB!$F$14:$F$150,RAB!$C$14:$C$150,C787)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SUMIFS(RAB!$F$14:$F$150,RAB!$C$14:$C$150,C788)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SUMIFS(RAB!$F$14:$F$150,RAB!$C$14:$C$150,C789)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SUMIFS(RAB!$F$14:$F$150,RAB!$C$14:$C$150,C790)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SUMIFS(RAB!$F$14:$F$150,RAB!$C$14:$C$150,C791)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SUMIFS(RAB!$F$14:$F$150,RAB!$C$14:$C$150,C792)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SUMIFS(RAB!$F$14:$F$150,RAB!$C$14:$C$150,C793)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SUMIFS(RAB!$F$14:$F$150,RAB!$C$14:$C$150,C794)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SUMIFS(RAB!$F$14:$F$150,RAB!$C$14:$C$150,C795)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SUMIFS(RAB!$F$14:$F$150,RAB!$C$14:$C$150,C796)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SUMIFS(RAB!$F$14:$F$150,RAB!$C$14:$C$150,C797)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SUMIFS(RAB!$F$14:$F$150,RAB!$C$14:$C$150,C798)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SUMIFS(RAB!$F$14:$F$150,RAB!$C$14:$C$150,C799)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SUMIFS(RAB!$F$14:$F$150,RAB!$C$14:$C$150,C800)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SUMIFS(RAB!$F$14:$F$150,RAB!$C$14:$C$150,C801)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SUMIFS(RAB!$F$14:$F$150,RAB!$C$14:$C$150,C802)</f>
        <v>1</v>
      </c>
      <c r="E802" s="26">
        <f t="shared" ca="1" si="34"/>
        <v>1</v>
      </c>
      <c r="F802" s="26">
        <f ca="1">IF(D802=0,0,SUM($E$713:E802))</f>
        <v>3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SUMIFS(RAB!$F$14:$F$150,RAB!$C$14:$C$150,C803)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SUMIFS(RAB!$F$14:$F$150,RAB!$C$14:$C$150,C804)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SUMIFS(RAB!$F$14:$F$150,RAB!$C$14:$C$150,C805)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SUMIFS(RAB!$F$14:$F$150,RAB!$C$14:$C$150,C806)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SUMIFS(RAB!$F$14:$F$150,RAB!$C$14:$C$150,C807)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SUMIFS(RAB!$F$14:$F$150,RAB!$C$14:$C$150,C808)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SUMIFS(RAB!$F$14:$F$150,RAB!$C$14:$C$150,C809)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SUMIFS(RAB!$F$14:$F$150,RAB!$C$14:$C$150,C810)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SUMIFS(RAB!$F$14:$F$150,RAB!$C$14:$C$150,C811)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SUMIFS(RAB!$F$14:$F$150,RAB!$C$14:$C$150,C812)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SUMIFS(RAB!$F$14:$F$150,RAB!$C$14:$C$150,C813)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SUMIFS(RAB!$F$14:$F$150,RAB!$C$14:$C$150,C814)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SUMIFS(RAB!$F$14:$F$150,RAB!$C$14:$C$150,C815)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SUMIFS(RAB!$F$14:$F$150,RAB!$C$14:$C$150,C816)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SUMIFS(RAB!$F$14:$F$150,RAB!$C$14:$C$150,C817)</f>
        <v>1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SUMIFS(RAB!$F$14:$F$150,RAB!$C$14:$C$150,C818)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SUMIFS(RAB!$F$14:$F$150,RAB!$C$14:$C$150,C819)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SUMIFS(RAB!$F$14:$F$150,RAB!$C$14:$C$150,C820)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SUMIFS(RAB!$F$14:$F$150,RAB!$C$14:$C$150,C821)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SUMIFS(RAB!$F$14:$F$150,RAB!$C$14:$C$150,C822)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SUMIFS(RAB!$F$14:$F$150,RAB!$C$14:$C$150,C823)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SUMIFS(RAB!$F$14:$F$150,RAB!$C$14:$C$150,C824)</f>
        <v>2</v>
      </c>
      <c r="E824" s="26">
        <f t="shared" ca="1" si="34"/>
        <v>1</v>
      </c>
      <c r="F824" s="26">
        <f ca="1">IF(D824=0,0,SUM($E$713:E824))</f>
        <v>5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SUMIFS(RAB!$F$14:$F$150,RAB!$C$14:$C$150,C825)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SUMIFS(RAB!$F$14:$F$150,RAB!$C$14:$C$150,C826)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SUMIFS(RAB!$F$14:$F$150,RAB!$C$14:$C$150,C827)</f>
        <v>4</v>
      </c>
      <c r="E827" s="26">
        <f t="shared" ca="1" si="34"/>
        <v>1</v>
      </c>
      <c r="F827" s="26">
        <f ca="1">IF(D827=0,0,SUM($E$713:E827))</f>
        <v>6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SUMIFS(RAB!$F$14:$F$150,RAB!$C$14:$C$150,C828)</f>
        <v>362</v>
      </c>
      <c r="E828" s="26">
        <f t="shared" ca="1" si="34"/>
        <v>1</v>
      </c>
      <c r="F828" s="26">
        <f ca="1">IF(D828=0,0,SUM($E$713:E828))</f>
        <v>7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SUMIFS(RAB!$F$14:$F$150,RAB!$C$14:$C$150,C829)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SUMIFS(RAB!$F$14:$F$150,RAB!$C$14:$C$150,C830)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SUMIFS(RAB!$F$14:$F$150,RAB!$C$14:$C$150,C831)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SUMIFS(RAB!$F$14:$F$150,RAB!$C$14:$C$150,C832)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SUMIFS(RAB!$F$14:$F$150,RAB!$C$14:$C$150,C833)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SUMIFS(RAB!$F$14:$F$150,RAB!$C$14:$C$150,C834)</f>
        <v>2</v>
      </c>
      <c r="E834" s="26">
        <f t="shared" ca="1" si="34"/>
        <v>1</v>
      </c>
      <c r="F834" s="26">
        <f ca="1">IF(D834=0,0,SUM($E$713:E834))</f>
        <v>8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SUMIFS(RAB!$F$14:$F$150,RAB!$C$14:$C$150,C835)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SUMIFS(RAB!$F$14:$F$150,RAB!$C$14:$C$150,C836)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SUMIFS(RAB!$F$14:$F$150,RAB!$C$14:$C$150,C837)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SUMIFS(RAB!$F$14:$F$150,RAB!$C$14:$C$150,C838)</f>
        <v>40</v>
      </c>
      <c r="E838" s="26">
        <f t="shared" ca="1" si="34"/>
        <v>1</v>
      </c>
      <c r="F838" s="26">
        <f ca="1">IF(D838=0,0,SUM($E$713:E838))</f>
        <v>9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SUMIFS(RAB!$F$14:$F$150,RAB!$C$14:$C$150,C839)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SUMIFS(RAB!$F$14:$F$150,RAB!$C$14:$C$150,C840)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SUMIFS(RAB!$F$14:$F$150,RAB!$C$14:$C$150,C841)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SUMIFS(RAB!$F$14:$F$150,RAB!$C$14:$C$150,C842)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SUMIFS(RAB!$F$14:$F$150,RAB!$C$14:$C$150,C843)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SUMIFS(RAB!$F$14:$F$150,RAB!$C$14:$C$150,C844)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SUMIFS(RAB!$F$14:$F$150,RAB!$C$14:$C$150,C845)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SUMIFS(RAB!$F$14:$F$150,RAB!$C$14:$C$150,C846)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SUMIFS(RAB!$F$14:$F$150,RAB!$C$14:$C$150,C847)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SUMIFS(RAB!$F$14:$F$150,RAB!$C$14:$C$150,C848)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SUMIFS(RAB!$F$14:$F$150,RAB!$C$14:$C$150,C849)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SUMIFS(RAB!$F$14:$F$150,RAB!$C$14:$C$150,C850)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SUMIFS(RAB!$F$14:$F$150,RAB!$C$14:$C$150,C851)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SUMIFS(RAB!$F$14:$F$150,RAB!$C$14:$C$150,C852)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SUMIFS(RAB!$F$14:$F$150,RAB!$C$14:$C$150,C853)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SUMIFS(RAB!$F$14:$F$150,RAB!$C$14:$C$150,C854)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SUMIFS(RAB!$F$14:$F$150,RAB!$C$14:$C$150,C855)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SUMIFS(RAB!$F$14:$F$150,RAB!$C$14:$C$150,C856)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SUMIFS(RAB!$F$14:$F$150,RAB!$C$14:$C$150,C857)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SUMIFS(RAB!$F$14:$F$150,RAB!$C$14:$C$150,C858)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SUMIFS(RAB!$F$14:$F$150,RAB!$C$14:$C$150,C859)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SUMIFS(RAB!$F$14:$F$150,RAB!$C$14:$C$150,C860)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SUMIFS(RAB!$F$14:$F$150,RAB!$C$14:$C$150,C861)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SUMIFS(RAB!$F$14:$F$150,RAB!$C$14:$C$150,C862)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SUMIFS(RAB!$F$14:$F$150,RAB!$C$14:$C$150,C863)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SUMIFS(RAB!$F$14:$F$150,RAB!$C$14:$C$150,C864)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SUMIFS(RAB!$F$14:$F$150,RAB!$C$14:$C$150,C865)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SUMIFS(RAB!$F$14:$F$150,RAB!$C$14:$C$150,C866)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SUMIFS(RAB!$F$14:$F$150,RAB!$C$14:$C$150,C867)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SUMIFS(RAB!$F$14:$F$150,RAB!$C$14:$C$150,C868)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SUMIFS(RAB!$F$14:$F$150,RAB!$C$14:$C$150,C869)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SUMIFS(RAB!$F$14:$F$150,RAB!$C$14:$C$150,C870)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SUMIFS(RAB!$F$14:$F$150,RAB!$C$14:$C$150,C871)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SUMIFS(RAB!$F$14:$F$150,RAB!$C$14:$C$150,C872)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SUMIFS(RAB!$F$14:$F$150,RAB!$C$14:$C$150,C873)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SUMIFS(RAB!$F$14:$F$150,RAB!$C$14:$C$150,C874)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SUMIFS(RAB!$F$14:$F$150,RAB!$C$14:$C$150,C875)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SUMIFS(RAB!$F$14:$F$150,RAB!$C$14:$C$150,C876)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SUMIFS(RAB!$F$14:$F$150,RAB!$C$14:$C$150,C877)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SUMIFS(RAB!$F$14:$F$150,RAB!$C$14:$C$150,C878)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SUMIFS(RAB!$F$14:$F$150,RAB!$C$14:$C$150,C879)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SUMIFS(RAB!$F$14:$F$150,RAB!$C$14:$C$150,C880)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SUMIFS(RAB!$F$14:$F$150,RAB!$C$14:$C$150,C881)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SUMIFS(RAB!$F$14:$F$150,RAB!$C$14:$C$150,C882)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SUMIFS(RAB!$F$14:$F$150,RAB!$C$14:$C$150,C883)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SUMIFS(RAB!$F$14:$F$150,RAB!$C$14:$C$150,C884)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SUMIFS(RAB!$F$14:$F$150,RAB!$C$14:$C$150,C885)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SUMIFS(RAB!$F$14:$F$150,RAB!$C$14:$C$150,C886)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SUMIFS(RAB!$F$14:$F$150,RAB!$C$14:$C$150,C887)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SUMIFS(RAB!$F$14:$F$150,RAB!$C$14:$C$150,C888)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SUMIFS(RAB!$F$14:$F$150,RAB!$C$14:$C$150,C889)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SUMIFS(RAB!$F$14:$F$150,RAB!$C$14:$C$150,C890)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SUMIFS(RAB!$F$14:$F$150,RAB!$C$14:$C$150,C891)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SUMIFS(RAB!$F$14:$F$150,RAB!$C$14:$C$150,C892)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SUMIFS(RAB!$F$14:$F$150,RAB!$C$14:$C$150,C893)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SUMIFS(RAB!$F$14:$F$150,RAB!$C$14:$C$150,C894)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SUMIFS(RAB!$F$14:$F$150,RAB!$C$14:$C$150,C895)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SUMIFS(RAB!$F$14:$F$150,RAB!$C$14:$C$150,C896)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SUMIFS(RAB!$F$14:$F$150,RAB!$C$14:$C$150,C897)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SUMIFS(RAB!$F$14:$F$150,RAB!$C$14:$C$150,C898)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SUMIFS(RAB!$F$14:$F$150,RAB!$C$14:$C$150,C899)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SUMIFS(RAB!$F$14:$F$150,RAB!$C$14:$C$150,C900)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SUMIFS(RAB!$F$14:$F$150,RAB!$C$14:$C$150,C901)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SUMIFS(RAB!$F$14:$F$150,RAB!$C$14:$C$150,C902)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SUMIFS(RAB!$F$14:$F$150,RAB!$C$14:$C$150,C903)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SUMIFS(RAB!$F$14:$F$150,RAB!$C$14:$C$150,C904)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SUMIFS(RAB!$F$14:$F$150,RAB!$C$14:$C$150,C905)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SUMIFS(RAB!$F$14:$F$150,RAB!$C$14:$C$150,C906)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SUMIFS(RAB!$F$14:$F$150,RAB!$C$14:$C$150,C907)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SUMIFS(RAB!$F$14:$F$150,RAB!$C$14:$C$150,C908)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SUMIFS(RAB!$F$14:$F$150,RAB!$C$14:$C$150,C909)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SUMIFS(RAB!$F$14:$F$150,RAB!$C$14:$C$150,C910)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SUMIFS(RAB!$F$14:$F$150,RAB!$C$14:$C$150,C911)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SUMIFS(RAB!$F$14:$F$150,RAB!$C$14:$C$150,C912)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SUMIFS(RAB!$F$14:$F$150,RAB!$C$14:$C$150,C913)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SUMIFS(RAB!$F$14:$F$150,RAB!$C$14:$C$150,C914)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SUMIFS(RAB!$F$14:$F$150,RAB!$C$14:$C$150,C915)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SUMIFS(RAB!$F$14:$F$150,RAB!$C$14:$C$150,C916)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SUMIFS(RAB!$F$14:$F$150,RAB!$C$14:$C$150,C917)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SUMIFS(RAB!$F$14:$F$150,RAB!$C$14:$C$150,C918)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SUMIFS(RAB!$F$14:$F$150,RAB!$C$14:$C$150,C919)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SUMIFS(RAB!$F$14:$F$150,RAB!$C$14:$C$150,C920)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SUMIFS(RAB!$F$14:$F$150,RAB!$C$14:$C$150,C921)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SUMIFS(RAB!$F$14:$F$150,RAB!$C$14:$C$150,C922)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SUMIFS(RAB!$F$14:$F$150,RAB!$C$14:$C$150,C923)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SUMIFS(RAB!$F$14:$F$150,RAB!$C$14:$C$150,C924)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SUMIFS(RAB!$F$14:$F$150,RAB!$C$14:$C$150,C925)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SUMIFS(RAB!$F$14:$F$150,RAB!$C$14:$C$150,C926)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SUMIFS(RAB!$F$14:$F$150,RAB!$C$14:$C$150,C927)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SUMIFS(RAB!$F$14:$F$150,RAB!$C$14:$C$150,C928)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SUMIFS(RAB!$F$14:$F$150,RAB!$C$14:$C$150,C929)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SUMIFS(RAB!$F$14:$F$150,RAB!$C$14:$C$150,C930)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SUMIFS(RAB!$F$14:$F$150,RAB!$C$14:$C$150,C931)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SUMIFS(RAB!$F$14:$F$150,RAB!$C$14:$C$150,C932)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SUMIFS(RAB!$F$14:$F$150,RAB!$C$14:$C$150,C933)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SUMIFS(RAB!$F$14:$F$150,RAB!$C$14:$C$150,C934)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SUMIFS(RAB!$F$14:$F$150,RAB!$C$14:$C$150,C935)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SUMIFS(RAB!$F$14:$F$150,RAB!$C$14:$C$150,C936)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SUMIFS(RAB!$F$14:$F$150,RAB!$C$14:$C$150,C937)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SUMIFS(RAB!$F$14:$F$150,RAB!$C$14:$C$150,C938)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SUMIFS(RAB!$F$14:$F$150,RAB!$C$14:$C$150,C939)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SUMIFS(RAB!$F$14:$F$150,RAB!$C$14:$C$150,C940)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SUMIFS(RAB!$F$14:$F$150,RAB!$C$14:$C$150,C941)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SUMIFS(RAB!$F$14:$F$150,RAB!$C$14:$C$150,C942)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SUMIFS(RAB!$F$14:$F$150,RAB!$C$14:$C$150,C943)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SUMIFS(RAB!$F$14:$F$150,RAB!$C$14:$C$150,C944)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SUMIFS(RAB!$F$14:$F$150,RAB!$C$14:$C$150,C945)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SUMIFS(RAB!$F$14:$F$150,RAB!$C$14:$C$150,C946)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SUMIFS(RAB!$F$14:$F$150,RAB!$C$14:$C$150,C947)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SUMIFS(RAB!$F$14:$F$150,RAB!$C$14:$C$150,C948)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SUMIFS(RAB!$F$14:$F$150,RAB!$C$14:$C$150,C949)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SUMIFS(RAB!$F$14:$F$150,RAB!$C$14:$C$150,C950)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SUMIFS(RAB!$F$14:$F$150,RAB!$C$14:$C$150,C951)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SUMIFS(RAB!$F$14:$F$150,RAB!$C$14:$C$150,C952)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SUMIFS(RAB!$F$14:$F$150,RAB!$C$14:$C$150,C953)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SUMIFS(RAB!$F$14:$F$150,RAB!$C$14:$C$150,C954)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SUMIFS(RAB!$F$14:$F$150,RAB!$C$14:$C$150,C955)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SUMIFS(RAB!$F$14:$F$150,RAB!$C$14:$C$150,C956)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SUMIFS(RAB!$F$14:$F$150,RAB!$C$14:$C$150,C957)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SUMIFS(RAB!$F$14:$F$150,RAB!$C$14:$C$150,C958)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SUMIFS(RAB!$F$14:$F$150,RAB!$C$14:$C$150,C959)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SUMIFS(RAB!$F$14:$F$150,RAB!$C$14:$C$150,C960)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SUMIFS(RAB!$F$14:$F$150,RAB!$C$14:$C$150,C961)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SUMIFS(RAB!$F$14:$F$150,RAB!$C$14:$C$150,C962)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SUMIFS(RAB!$F$14:$F$150,RAB!$C$14:$C$150,C963)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SUMIFS(RAB!$F$14:$F$150,RAB!$C$14:$C$150,C964)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SUMIFS(RAB!$F$14:$F$150,RAB!$C$14:$C$150,C965)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SUMIFS(RAB!$F$14:$F$150,RAB!$C$14:$C$150,C966)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SUMIFS(RAB!$F$14:$F$150,RAB!$C$14:$C$150,C967)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SUMIFS(RAB!$F$14:$F$150,RAB!$C$14:$C$150,C968)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SUMIFS(RAB!$F$14:$F$150,RAB!$C$14:$C$150,C969)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SUMIFS(RAB!$F$14:$F$150,RAB!$C$14:$C$150,C970)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SUMIFS(RAB!$F$14:$F$150,RAB!$C$14:$C$150,C971)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SUMIFS(RAB!$F$14:$F$150,RAB!$C$14:$C$150,C972)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SUMIFS(RAB!$F$14:$F$150,RAB!$C$14:$C$150,C973)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SUMIFS(RAB!$F$14:$F$150,RAB!$C$14:$C$150,C974)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SUMIFS(RAB!$F$14:$F$150,RAB!$C$14:$C$150,C975)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SUMIFS(RAB!$F$14:$F$150,RAB!$C$14:$C$150,C976)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SUMIFS(RAB!$F$14:$F$150,RAB!$C$14:$C$150,C977)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SUMIFS(RAB!$F$14:$F$150,RAB!$C$14:$C$150,C978)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SUMIFS(RAB!$F$14:$F$150,RAB!$C$14:$C$150,C979)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SUMIFS(RAB!$F$14:$F$150,RAB!$C$14:$C$150,C980)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SUMIFS(RAB!$F$14:$F$150,RAB!$C$14:$C$150,C981)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SUMIFS(RAB!$F$14:$F$150,RAB!$C$14:$C$150,C982)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SUMIFS(RAB!$F$14:$F$150,RAB!$C$14:$C$150,C983)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SUMIFS(RAB!$F$14:$F$150,RAB!$C$14:$C$150,C984)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SUMIFS(RAB!$F$14:$F$150,RAB!$C$14:$C$150,C985)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SUMIFS(RAB!$F$14:$F$150,RAB!$C$14:$C$150,C986)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SUMIFS(RAB!$F$14:$F$150,RAB!$C$14:$C$150,C987)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SUMIFS(RAB!$F$14:$F$150,RAB!$C$14:$C$150,C988)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SUMIFS(RAB!$F$14:$F$150,RAB!$C$14:$C$150,C989)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SUMIFS(RAB!$F$14:$F$150,RAB!$C$14:$C$150,C990)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SUMIFS(RAB!$F$14:$F$150,RAB!$C$14:$C$150,C991)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SUMIFS(RAB!$F$14:$F$150,RAB!$C$14:$C$150,C992)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SUMIFS(RAB!$F$14:$F$150,RAB!$C$14:$C$150,C993)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SUMIFS(RAB!$F$14:$F$150,RAB!$C$14:$C$150,C994)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SUMIFS(RAB!$F$14:$F$150,RAB!$C$14:$C$150,C995)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SUMIFS(RAB!$F$14:$F$150,RAB!$C$14:$C$150,C996)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SUMIFS(RAB!$F$14:$F$150,RAB!$C$14:$C$150,C997)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SUMIFS(RAB!$F$14:$F$150,RAB!$C$14:$C$150,C998)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SUMIFS(RAB!$F$14:$F$150,RAB!$C$14:$C$150,C999)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SUMIFS(RAB!$F$14:$F$150,RAB!$C$14:$C$150,C1000)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SUMIFS(RAB!$F$14:$F$150,RAB!$C$14:$C$150,C1001)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SUMIFS(RAB!$F$14:$F$150,RAB!$C$14:$C$150,C1002)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SUMIFS(RAB!$F$14:$F$150,RAB!$C$14:$C$150,C1003)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SUMIFS(RAB!$F$14:$F$150,RAB!$C$14:$C$150,C1004)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SUMIFS(RAB!$F$14:$F$150,RAB!$C$14:$C$150,C1005)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SUMIFS(RAB!$F$14:$F$150,RAB!$C$14:$C$150,C1006)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SUMIFS(RAB!$F$14:$F$150,RAB!$C$14:$C$150,C1007)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SUMIFS(RAB!$F$14:$F$150,RAB!$C$14:$C$150,C1008)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SUMIFS(RAB!$F$14:$F$150,RAB!$C$14:$C$150,C1009)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SUMIFS(RAB!$F$14:$F$150,RAB!$C$14:$C$150,C1010)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SUMIFS(RAB!$F$14:$F$150,RAB!$C$14:$C$150,C1011)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SUMIFS(RAB!$F$14:$F$150,RAB!$C$14:$C$150,C1012)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SUMIFS(RAB!$F$14:$F$150,RAB!$C$14:$C$150,C1013)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SUMIFS(RAB!$F$14:$F$150,RAB!$C$14:$C$150,C1014)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SUMIFS(RAB!$F$14:$F$150,RAB!$C$14:$C$150,C1015)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SUMIFS(RAB!$F$14:$F$150,RAB!$C$14:$C$150,C1016)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SUMIFS(RAB!$F$14:$F$150,RAB!$C$14:$C$150,C1017)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SUMIFS(RAB!$F$14:$F$150,RAB!$C$14:$C$150,C1018)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SUMIFS(RAB!$F$14:$F$150,RAB!$C$14:$C$150,C1019)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SUMIFS(RAB!$F$14:$F$150,RAB!$C$14:$C$150,C1020)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SUMIFS(RAB!$F$14:$F$150,RAB!$C$14:$C$150,C1021)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SUMIFS(RAB!$F$14:$F$150,RAB!$C$14:$C$150,C1022)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SUMIFS(RAB!$F$14:$F$150,RAB!$C$14:$C$150,C1023)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SUMIFS(RAB!$F$14:$F$150,RAB!$C$14:$C$150,C1024)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SUMIFS(RAB!$F$14:$F$150,RAB!$C$14:$C$150,C1025)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SUMIFS(RAB!$F$14:$F$150,RAB!$C$14:$C$150,C1026)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SUMIFS(RAB!$F$14:$F$150,RAB!$C$14:$C$150,C1027)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SUMIFS(RAB!$F$14:$F$150,RAB!$C$14:$C$150,C1028)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SUMIFS(RAB!$F$14:$F$150,RAB!$C$14:$C$150,C1029)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SUMIFS(RAB!$F$14:$F$150,RAB!$C$14:$C$150,C1030)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SUMIFS(RAB!$F$14:$F$150,RAB!$C$14:$C$150,C1031)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SUMIFS(RAB!$F$14:$F$150,RAB!$C$14:$C$150,C1032)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SUMIFS(RAB!$F$14:$F$150,RAB!$C$14:$C$150,C1033)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SUMIFS(RAB!$F$14:$F$150,RAB!$C$14:$C$150,C1034)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SUMIFS(RAB!$F$14:$F$150,RAB!$C$14:$C$150,C1035)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SUMIFS(RAB!$F$14:$F$150,RAB!$C$14:$C$150,C1036)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SUMIFS(RAB!$F$14:$F$150,RAB!$C$14:$C$150,C1037)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SUMIFS(RAB!$F$14:$F$150,RAB!$C$14:$C$150,C1038)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SUMIFS(RAB!$F$14:$F$150,RAB!$C$14:$C$150,C1039)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SUMIFS(RAB!$F$14:$F$150,RAB!$C$14:$C$150,C1040)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SUMIFS(RAB!$F$14:$F$150,RAB!$C$14:$C$150,C1041)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SUMIFS(RAB!$F$14:$F$150,RAB!$C$14:$C$150,C1042)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SUMIFS(RAB!$F$14:$F$150,RAB!$C$14:$C$150,C1043)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SUMIFS(RAB!$F$14:$F$150,RAB!$C$14:$C$150,C1044)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SUMIFS(RAB!$F$14:$F$150,RAB!$C$14:$C$150,C1045)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SUMIFS(RAB!$F$14:$F$150,RAB!$C$14:$C$150,C1046)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SUMIFS(RAB!$F$14:$F$150,RAB!$C$14:$C$150,C1047)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SUMIFS(RAB!$F$14:$F$150,RAB!$C$14:$C$150,C1048)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SUMIFS(RAB!$F$14:$F$150,RAB!$C$14:$C$150,C1049)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SUMIFS(RAB!$F$14:$F$150,RAB!$C$14:$C$150,C1050)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SUMIFS(RAB!$F$14:$F$150,RAB!$C$14:$C$150,C1051)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SUMIFS(RAB!$F$14:$F$150,RAB!$C$14:$C$150,C1052)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SUMIFS(RAB!$F$14:$F$150,RAB!$C$14:$C$150,C1053)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SUMIFS(RAB!$F$14:$F$150,RAB!$C$14:$C$150,C1054)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SUMIFS(RAB!$F$14:$F$150,RAB!$C$14:$C$150,C1055)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SUMIFS(RAB!$F$14:$F$150,RAB!$C$14:$C$150,C1056)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SUMIFS(RAB!$F$14:$F$150,RAB!$C$14:$C$150,C1057)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SUMIFS(RAB!$F$14:$F$150,RAB!$C$14:$C$150,C1058)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SUMIFS(RAB!$F$14:$F$150,RAB!$C$14:$C$150,C1059)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SUMIFS(RAB!$F$14:$F$150,RAB!$C$14:$C$150,C1060)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SUMIFS(RAB!$F$14:$F$150,RAB!$C$14:$C$150,C1061)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SUMIFS(RAB!$F$14:$F$150,RAB!$C$14:$C$150,C1062)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SUMIFS(RAB!$F$14:$F$150,RAB!$C$14:$C$150,C1063)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SUMIFS(RAB!$F$14:$F$150,RAB!$C$14:$C$150,C1064)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SUMIFS(RAB!$F$14:$F$150,RAB!$C$14:$C$150,C1065)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SUMIFS(RAB!$F$14:$F$150,RAB!$C$14:$C$150,C1066)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SUMIFS(RAB!$F$14:$F$150,RAB!$C$14:$C$150,C1067)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SUMIFS(RAB!$F$14:$F$150,RAB!$C$14:$C$150,C1068)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SUMIFS(RAB!$F$14:$F$150,RAB!$C$14:$C$150,C1069)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SUMIFS(RAB!$F$14:$F$150,RAB!$C$14:$C$150,C1070)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SUMIFS(RAB!$F$14:$F$150,RAB!$C$14:$C$150,C1071)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SUMIFS(RAB!$F$14:$F$150,RAB!$C$14:$C$150,C1072)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SUMIFS(RAB!$F$14:$F$150,RAB!$C$14:$C$150,C1073)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SUMIFS(RAB!$F$14:$F$150,RAB!$C$14:$C$150,C1074)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SUMIFS(RAB!$F$14:$F$150,RAB!$C$14:$C$150,C1075)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SUMIFS(RAB!$F$14:$F$150,RAB!$C$14:$C$150,C1076)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SUMIFS(RAB!$F$14:$F$150,RAB!$C$14:$C$150,C1077)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SUMIFS(RAB!$F$14:$F$150,RAB!$C$14:$C$150,C1078)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SUMIFS(RAB!$F$14:$F$150,RAB!$C$14:$C$150,C1079)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SUMIFS(RAB!$F$14:$F$150,RAB!$C$14:$C$150,C1080)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SUMIFS(RAB!$F$14:$F$150,RAB!$C$14:$C$150,C1081)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SUMIFS(RAB!$F$14:$F$150,RAB!$C$14:$C$150,C1082)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SUMIFS(RAB!$F$14:$F$150,RAB!$C$14:$C$150,C1083)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SUMIFS(RAB!$F$14:$F$150,RAB!$C$14:$C$150,C1084)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SUMIFS(RAB!$F$14:$F$150,RAB!$C$14:$C$150,C1085)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SUMIFS(RAB!$F$14:$F$150,RAB!$C$14:$C$150,C1086)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SUMIFS(RAB!$F$14:$F$150,RAB!$C$14:$C$150,C1087)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SUMIFS(RAB!$F$14:$F$150,RAB!$C$14:$C$150,C1088)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SUMIFS(RAB!$F$14:$F$150,RAB!$C$14:$C$150,C1089)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SUMIFS(RAB!$F$14:$F$150,RAB!$C$14:$C$150,C1090)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SUMIFS(RAB!$F$14:$F$150,RAB!$C$14:$C$150,C1091)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SUMIFS(RAB!$F$14:$F$150,RAB!$C$14:$C$150,C1092)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SUMIFS(RAB!$F$14:$F$150,RAB!$C$14:$C$150,C1093)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SUMIFS(RAB!$F$14:$F$150,RAB!$C$14:$C$150,C1094)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SUMIFS(RAB!$F$14:$F$150,RAB!$C$14:$C$150,C1095)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SUMIFS(RAB!$F$14:$F$150,RAB!$C$14:$C$150,C1096)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SUMIFS(RAB!$F$14:$F$150,RAB!$C$14:$C$150,C1097)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SUMIFS(RAB!$F$14:$F$150,RAB!$C$14:$C$150,C1098)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SUMIFS(RAB!$F$14:$F$150,RAB!$C$14:$C$150,C1099)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SUMIFS(RAB!$F$14:$F$150,RAB!$C$14:$C$150,C1100)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SUMIFS(RAB!$F$14:$F$150,RAB!$C$14:$C$150,C1101)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SUMIFS(RAB!$F$14:$F$150,RAB!$C$14:$C$150,C1102)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SUMIFS(RAB!$F$14:$F$150,RAB!$C$14:$C$150,C1103)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SUMIFS(RAB!$F$14:$F$150,RAB!$C$14:$C$150,C1104)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SUMIFS(RAB!$F$14:$F$150,RAB!$C$14:$C$150,C1105)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SUMIFS(RAB!$F$14:$F$150,RAB!$C$14:$C$150,C1106)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SUMIFS(RAB!$F$14:$F$150,RAB!$C$14:$C$150,C1107)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SUMIFS(RAB!$F$14:$F$150,RAB!$C$14:$C$150,C1108)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SUMIFS(RAB!$F$14:$F$150,RAB!$C$14:$C$150,C1109)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SUMIFS(RAB!$F$14:$F$150,RAB!$C$14:$C$150,C1110)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SUMIFS(RAB!$F$14:$F$150,RAB!$C$14:$C$150,C1111)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SUMIFS(RAB!$F$14:$F$150,RAB!$C$14:$C$150,C1112)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SUMIFS(RAB!$F$14:$F$150,RAB!$C$14:$C$150,C1113)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SUMIFS(RAB!$F$14:$F$150,RAB!$C$14:$C$150,C1114)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SUMIFS(RAB!$F$14:$F$150,RAB!$C$14:$C$150,C1115)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SUMIFS(RAB!$F$14:$F$150,RAB!$C$14:$C$150,C1116)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SUMIFS(RAB!$F$14:$F$150,RAB!$C$14:$C$150,C1117)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SUMIFS(RAB!$F$14:$F$150,RAB!$C$14:$C$150,C1118)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SUMIFS(RAB!$F$14:$F$150,RAB!$C$14:$C$150,C1119)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SUMIFS(RAB!$F$14:$F$150,RAB!$C$14:$C$150,C1120)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SUMIFS(RAB!$F$14:$F$150,RAB!$C$14:$C$150,C1121)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SUMIFS(RAB!$F$14:$F$150,RAB!$C$14:$C$150,C1122)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SUMIFS(RAB!$F$14:$F$150,RAB!$C$14:$C$150,C1123)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SUMIFS(RAB!$F$14:$F$150,RAB!$C$14:$C$150,C1124)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SUMIFS(RAB!$F$14:$F$150,RAB!$C$14:$C$150,C1125)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SUMIFS(RAB!$F$14:$F$150,RAB!$C$14:$C$150,C1126)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SUMIFS(RAB!$F$14:$F$150,RAB!$C$14:$C$150,C1127)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SUMIFS(RAB!$F$14:$F$150,RAB!$C$14:$C$150,C1128)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SUMIFS(RAB!$F$14:$F$150,RAB!$C$14:$C$150,C1129)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SUMIFS(RAB!$F$14:$F$150,RAB!$C$14:$C$150,C1130)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SUMIFS(RAB!$F$14:$F$150,RAB!$C$14:$C$150,C1131)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SUMIFS(RAB!$F$14:$F$150,RAB!$C$14:$C$150,C1132)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SUMIFS(RAB!$F$14:$F$150,RAB!$C$14:$C$150,C1133)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SUMIFS(RAB!$F$14:$F$150,RAB!$C$14:$C$150,C1134)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SUMIFS(RAB!$F$14:$F$150,RAB!$C$14:$C$150,C1135)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SUMIFS(RAB!$F$14:$F$150,RAB!$C$14:$C$150,C1136)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SUMIFS(RAB!$F$14:$F$150,RAB!$C$14:$C$150,C1137)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SUMIFS(RAB!$F$14:$F$150,RAB!$C$14:$C$150,C1138)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SUMIFS(RAB!$F$14:$F$150,RAB!$C$14:$C$150,C1139)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SUMIFS(RAB!$F$14:$F$150,RAB!$C$14:$C$150,C1140)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SUMIFS(RAB!$F$14:$F$150,RAB!$C$14:$C$150,C1141)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SUMIFS(RAB!$F$14:$F$150,RAB!$C$14:$C$150,C1142)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SUMIFS(RAB!$F$14:$F$150,RAB!$C$14:$C$150,C1143)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SUMIFS(RAB!$F$14:$F$150,RAB!$C$14:$C$150,C1144)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SUMIFS(RAB!$F$14:$F$150,RAB!$C$14:$C$150,C1145)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SUMIFS(RAB!$F$14:$F$150,RAB!$C$14:$C$150,C1146)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SUMIFS(RAB!$F$14:$F$150,RAB!$C$14:$C$150,C1147)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SUMIFS(RAB!$F$14:$F$150,RAB!$C$14:$C$150,C1148)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SUMIFS(RAB!$F$14:$F$150,RAB!$C$14:$C$150,C1149)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SUMIFS(RAB!$F$14:$F$150,RAB!$C$14:$C$150,C1150)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SUMIFS(RAB!$F$14:$F$150,RAB!$C$14:$C$150,C1151)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SUMIFS(RAB!$F$14:$F$150,RAB!$C$14:$C$150,C1152)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SUMIFS(RAB!$F$14:$F$150,RAB!$C$14:$C$150,C1153)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SUMIFS(RAB!$F$14:$F$150,RAB!$C$14:$C$150,C1154)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SUMIFS(RAB!$F$14:$F$150,RAB!$C$14:$C$150,C1155)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SUMIFS(RAB!$F$14:$F$150,RAB!$C$14:$C$150,C1156)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SUMIFS(RAB!$F$14:$F$150,RAB!$C$14:$C$150,C1157)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SUMIFS(RAB!$F$14:$F$150,RAB!$C$14:$C$150,C1158)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SUMIFS(RAB!$F$14:$F$150,RAB!$C$14:$C$150,C1159)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SUMIFS(RAB!$F$14:$F$150,RAB!$C$14:$C$150,C1160)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SUMIFS(RAB!$F$14:$F$150,RAB!$C$14:$C$150,C1161)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SUMIFS(RAB!$F$14:$F$150,RAB!$C$14:$C$150,C1162)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SUMIFS(RAB!$F$14:$F$150,RAB!$C$14:$C$150,C1163)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SUMIFS(RAB!$F$14:$F$150,RAB!$C$14:$C$150,C1164)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SUMIFS(RAB!$F$14:$F$150,RAB!$C$14:$C$150,C1165)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SUMIFS(RAB!$F$14:$F$150,RAB!$C$14:$C$150,C1166)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SUMIFS(RAB!$F$14:$F$150,RAB!$C$14:$C$150,C1167)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SUMIFS(RAB!$F$14:$F$150,RAB!$C$14:$C$150,C1168)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SUMIFS(RAB!$F$14:$F$150,RAB!$C$14:$C$150,C1169)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SUMIFS(RAB!$F$14:$F$150,RAB!$C$14:$C$150,C1170)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SUMIFS(RAB!$F$14:$F$150,RAB!$C$14:$C$150,C1171)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SUMIFS(RAB!$F$14:$F$150,RAB!$C$14:$C$150,C1172)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SUMIFS(RAB!$F$14:$F$150,RAB!$C$14:$C$150,C1173)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SUMIFS(RAB!$F$14:$F$150,RAB!$C$14:$C$150,C1174)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SUMIFS(RAB!$F$14:$F$150,RAB!$C$14:$C$150,C1175)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SUMIFS(RAB!$F$14:$F$150,RAB!$C$14:$C$150,C1176)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SUMIFS(RAB!$F$14:$F$150,RAB!$C$14:$C$150,C1177)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SUMIFS(RAB!$F$14:$F$150,RAB!$C$14:$C$150,C1178)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SUMIFS(RAB!$F$14:$F$150,RAB!$C$14:$C$150,C1179)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SUMIFS(RAB!$F$14:$F$150,RAB!$C$14:$C$150,C1180)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SUMIFS(RAB!$F$14:$F$150,RAB!$C$14:$C$150,C1181)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SUMIFS(RAB!$F$14:$F$150,RAB!$C$14:$C$150,C1182)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SUMIFS(RAB!$F$14:$F$150,RAB!$C$14:$C$150,C1183)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SUMIFS(RAB!$F$14:$F$150,RAB!$C$14:$C$150,C1184)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SUMIFS(RAB!$F$14:$F$150,RAB!$C$14:$C$150,C1185)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SUMIFS(RAB!$F$14:$F$150,RAB!$C$14:$C$150,C1186)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SUMIFS(RAB!$F$14:$F$150,RAB!$C$14:$C$150,C1187)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SUMIFS(RAB!$F$14:$F$150,RAB!$C$14:$C$150,C1188)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SUMIFS(RAB!$F$14:$F$150,RAB!$C$14:$C$150,C1189)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SUMIFS(RAB!$F$14:$F$150,RAB!$C$14:$C$150,C1190)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SUMIFS(RAB!$F$14:$F$150,RAB!$C$14:$C$150,C1191)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SUMIFS(RAB!$F$14:$F$150,RAB!$C$14:$C$150,C1192)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SUMIFS(RAB!$F$14:$F$150,RAB!$C$14:$C$150,C1193)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SUMIFS(RAB!$F$14:$F$150,RAB!$C$14:$C$150,C1194)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SUMIFS(RAB!$F$14:$F$150,RAB!$C$14:$C$150,C1195)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SUMIFS(RAB!$F$14:$F$150,RAB!$C$14:$C$150,C1196)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SUMIFS(RAB!$F$14:$F$150,RAB!$C$14:$C$150,C1197)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SUMIFS(RAB!$F$14:$F$150,RAB!$C$14:$C$150,C1198)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SUMIFS(RAB!$F$14:$F$150,RAB!$C$14:$C$150,C1199)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SUMIFS(RAB!$F$14:$F$150,RAB!$C$14:$C$150,C1200)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SUMIFS(RAB!$F$14:$F$150,RAB!$C$14:$C$150,C1201)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SUMIFS(RAB!$F$14:$F$150,RAB!$C$14:$C$150,C1202)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SUMIFS(RAB!$F$14:$F$150,RAB!$C$14:$C$150,C1203)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SUMIFS(RAB!$F$14:$F$150,RAB!$C$14:$C$150,C1204)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SUMIFS(RAB!$F$14:$F$150,RAB!$C$14:$C$150,C1205)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SUMIFS(RAB!$F$14:$F$150,RAB!$C$14:$C$150,C1206)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SUMIFS(RAB!$F$14:$F$150,RAB!$C$14:$C$150,C1207)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SUMIFS(RAB!$F$14:$F$150,RAB!$C$14:$C$150,C1208)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SUMIFS(RAB!$F$14:$F$150,RAB!$C$14:$C$150,C1209)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SUMIFS(RAB!$F$14:$F$150,RAB!$C$14:$C$150,C1210)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SUMIFS(RAB!$F$14:$F$150,RAB!$C$14:$C$150,C1211)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SUMIFS(RAB!$F$14:$F$150,RAB!$C$14:$C$150,C1212)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SUMIFS(RAB!$F$14:$F$150,RAB!$C$14:$C$150,C1213)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SUMIFS(RAB!$F$14:$F$150,RAB!$C$14:$C$150,C1214)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SUMIFS(RAB!$F$14:$F$150,RAB!$C$14:$C$150,C1215)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SUMIFS(RAB!$F$14:$F$150,RAB!$C$14:$C$150,C1216)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SUMIFS(RAB!$F$14:$F$150,RAB!$C$14:$C$150,C1217)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SUMIFS(RAB!$F$14:$F$150,RAB!$C$14:$C$150,C1218)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SUMIFS(RAB!$F$14:$F$150,RAB!$C$14:$C$150,C1219)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SUMIFS(RAB!$F$14:$F$150,RAB!$C$14:$C$150,C1220)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SUMIFS(RAB!$F$14:$F$150,RAB!$C$14:$C$150,C1221)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SUMIFS(RAB!$F$14:$F$150,RAB!$C$14:$C$150,C1222)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SUMIFS(RAB!$F$14:$F$150,RAB!$C$14:$C$150,C1223)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SUMIFS(RAB!$F$14:$F$150,RAB!$C$14:$C$150,C1224)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SUMIFS(RAB!$F$14:$F$150,RAB!$C$14:$C$150,C1225)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SUMIFS(RAB!$F$14:$F$150,RAB!$C$14:$C$150,C1226)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SUMIFS(RAB!$F$14:$F$150,RAB!$C$14:$C$150,C1227)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SUMIFS(RAB!$F$14:$F$150,RAB!$C$14:$C$150,C1228)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SUMIFS(RAB!$F$14:$F$150,RAB!$C$14:$C$150,C1229)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SUMIFS(RAB!$F$14:$F$150,RAB!$C$14:$C$150,C1230)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SUMIFS(RAB!$F$14:$F$150,RAB!$C$14:$C$150,C1231)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SUMIFS(RAB!$F$14:$F$150,RAB!$C$14:$C$150,C1232)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SUMIFS(RAB!$F$14:$F$150,RAB!$C$14:$C$150,C1233)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SUMIFS(RAB!$F$14:$F$150,RAB!$C$14:$C$150,C1234)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SUMIFS(RAB!$F$14:$F$150,RAB!$C$14:$C$150,C1235)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SUMIFS(RAB!$F$14:$F$150,RAB!$C$14:$C$150,C1236)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SUMIFS(RAB!$F$14:$F$150,RAB!$C$14:$C$150,C1237)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SUMIFS(RAB!$F$14:$F$150,RAB!$C$14:$C$150,C1238)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SUMIFS(RAB!$F$14:$F$150,RAB!$C$14:$C$150,C1239)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SUMIFS(RAB!$F$14:$F$150,RAB!$C$14:$C$150,C1240)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SUMIFS(RAB!$F$14:$F$150,RAB!$C$14:$C$150,C1241)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SUMIFS(RAB!$F$14:$F$150,RAB!$C$14:$C$150,C1242)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SUMIFS(RAB!$F$14:$F$150,RAB!$C$14:$C$150,C1243)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SUMIFS(RAB!$F$14:$F$150,RAB!$C$14:$C$150,C1244)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SUMIFS(RAB!$F$14:$F$150,RAB!$C$14:$C$150,C1245)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SUMIFS(RAB!$F$14:$F$150,RAB!$C$14:$C$150,C1246)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SUMIFS(RAB!$F$14:$F$150,RAB!$C$14:$C$150,C1247)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SUMIFS(RAB!$F$14:$F$150,RAB!$C$14:$C$150,C1248)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SUMIFS(RAB!$F$14:$F$150,RAB!$C$14:$C$150,C1249)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SUMIFS(RAB!$F$14:$F$150,RAB!$C$14:$C$150,C1250)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SUMIFS(RAB!$F$14:$F$150,RAB!$C$14:$C$150,C1251)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SUMIFS(RAB!$F$14:$F$150,RAB!$C$14:$C$150,C1252)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SUMIFS(RAB!$F$14:$F$150,RAB!$C$14:$C$150,C1253)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SUMIFS(RAB!$F$14:$F$150,RAB!$C$14:$C$150,C1254)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SUMIFS(RAB!$F$14:$F$150,RAB!$C$14:$C$150,C1255)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SUMIFS(RAB!$F$14:$F$150,RAB!$C$14:$C$150,C1256)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SUMIFS(RAB!$F$14:$F$150,RAB!$C$14:$C$150,C1257)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SUMIFS(RAB!$F$14:$F$150,RAB!$C$14:$C$150,C1258)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SUMIFS(RAB!$F$14:$F$150,RAB!$C$14:$C$150,C1259)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SUMIFS(RAB!$F$14:$F$150,RAB!$C$14:$C$150,C1260)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SUMIFS(RAB!$F$14:$F$150,RAB!$C$14:$C$150,C1261)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SUMIFS(RAB!$F$14:$F$150,RAB!$C$14:$C$150,C1262)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SUMIFS(RAB!$F$14:$F$150,RAB!$C$14:$C$150,C1263)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SUMIFS(RAB!$F$14:$F$150,RAB!$C$14:$C$150,C1264)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SUMIFS(RAB!$F$14:$F$150,RAB!$C$14:$C$150,C1265)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SUMIFS(RAB!$F$14:$F$150,RAB!$C$14:$C$150,C1266)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SUMIFS(RAB!$F$14:$F$150,RAB!$C$14:$C$150,C1267)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SUMIFS(RAB!$F$14:$F$150,RAB!$C$14:$C$150,C1268)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SUMIFS(RAB!$F$14:$F$150,RAB!$C$14:$C$150,C1269)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SUMIFS(RAB!$F$14:$F$150,RAB!$C$14:$C$150,C1270)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SUMIFS(RAB!$F$14:$F$150,RAB!$C$14:$C$150,C1271)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SUMIFS(RAB!$F$14:$F$150,RAB!$C$14:$C$150,C1272)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SUMIFS(RAB!$F$14:$F$150,RAB!$C$14:$C$150,C1273)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SUMIFS(RAB!$F$14:$F$150,RAB!$C$14:$C$150,C1274)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SUMIFS(RAB!$F$14:$F$150,RAB!$C$14:$C$150,C1275)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SUMIFS(RAB!$F$14:$F$150,RAB!$C$14:$C$150,C1276)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SUMIFS(RAB!$F$14:$F$150,RAB!$C$14:$C$150,C1277)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SUMIFS(RAB!$F$14:$F$150,RAB!$C$14:$C$150,C1278)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SUMIFS(RAB!$F$14:$F$150,RAB!$C$14:$C$150,C1279)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SUMIFS(RAB!$F$14:$F$150,RAB!$C$14:$C$150,C1280)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SUMIFS(RAB!$F$14:$F$150,RAB!$C$14:$C$150,C1281)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SUMIFS(RAB!$F$14:$F$150,RAB!$C$14:$C$150,C1282)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SUMIFS(RAB!$F$14:$F$150,RAB!$C$14:$C$150,C1283)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SUMIFS(RAB!$F$14:$F$150,RAB!$C$14:$C$150,C1284)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SUMIFS(RAB!$F$14:$F$150,RAB!$C$14:$C$150,C1285)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SUMIFS(RAB!$F$14:$F$150,RAB!$C$14:$C$150,C1286)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SUMIFS(RAB!$F$14:$F$150,RAB!$C$14:$C$150,C1287)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SUMIFS(RAB!$F$14:$F$150,RAB!$C$14:$C$150,C1288)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SUMIFS(RAB!$F$14:$F$150,RAB!$C$14:$C$150,C1289)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SUMIFS(RAB!$F$14:$F$150,RAB!$C$14:$C$150,C1290)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SUMIFS(RAB!$F$14:$F$150,RAB!$C$14:$C$150,C1291)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SUMIFS(RAB!$F$14:$F$150,RAB!$C$14:$C$150,C1292)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SUMIFS(RAB!$F$14:$F$150,RAB!$C$14:$C$150,C1293)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SUMIFS(RAB!$F$14:$F$150,RAB!$C$14:$C$150,C1294)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SUMIFS(RAB!$F$14:$F$150,RAB!$C$14:$C$150,C1295)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SUMIFS(RAB!$F$14:$F$150,RAB!$C$14:$C$150,C1296)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SUMIFS(RAB!$F$14:$F$150,RAB!$C$14:$C$150,C1297)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SUMIFS(RAB!$F$14:$F$150,RAB!$C$14:$C$150,C1298)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SUMIFS(RAB!$F$14:$F$150,RAB!$C$14:$C$150,C1299)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SUMIFS(RAB!$F$14:$F$150,RAB!$C$14:$C$150,C1300)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SUMIFS(RAB!$F$14:$F$150,RAB!$C$14:$C$150,C1301)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SUMIFS(RAB!$F$14:$F$150,RAB!$C$14:$C$150,C1302)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SUMIFS(RAB!$F$14:$F$150,RAB!$C$14:$C$150,C1303)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SUMIFS(RAB!$F$14:$F$150,RAB!$C$14:$C$150,C1304)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SUMIFS(RAB!$F$14:$F$150,RAB!$C$14:$C$150,C1305)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SUMIFS(RAB!$F$14:$F$150,RAB!$C$14:$C$150,C1306)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SUMIFS(RAB!$F$14:$F$150,RAB!$C$14:$C$150,C1307)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SUMIFS(RAB!$F$14:$F$150,RAB!$C$14:$C$150,C1308)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SUMIFS(RAB!$F$14:$F$150,RAB!$C$14:$C$150,C1309)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SUMIFS(RAB!$F$14:$F$150,RAB!$C$14:$C$150,C1310)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SUMIFS(RAB!$F$14:$F$150,RAB!$C$14:$C$150,C1311)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SUMIFS(RAB!$F$14:$F$150,RAB!$C$14:$C$150,C1312)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SUMIFS(RAB!$F$14:$F$150,RAB!$C$14:$C$150,C1313)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SUMIFS(RAB!$F$14:$F$150,RAB!$C$14:$C$150,C1314)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SUMIFS(RAB!$F$14:$F$150,RAB!$C$14:$C$150,C1315)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SUMIFS(RAB!$F$14:$F$150,RAB!$C$14:$C$150,C1316)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SUMIFS(RAB!$F$14:$F$150,RAB!$C$14:$C$150,C1317)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SUMIFS(RAB!$F$14:$F$150,RAB!$C$14:$C$150,C1318)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SUMIFS(RAB!$F$14:$F$150,RAB!$C$14:$C$150,C1319)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SUMIFS(RAB!$F$14:$F$150,RAB!$C$14:$C$150,C1320)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61" priority="5" operator="equal">
      <formula>0</formula>
    </cfRule>
  </conditionalFormatting>
  <conditionalFormatting sqref="A10:L65536">
    <cfRule type="cellIs" dxfId="60" priority="1" operator="equal">
      <formula>0</formula>
    </cfRule>
  </conditionalFormatting>
  <conditionalFormatting sqref="C12:C711">
    <cfRule type="cellIs" dxfId="59" priority="66" stopIfTrue="1" operator="equal">
      <formula>0</formula>
    </cfRule>
  </conditionalFormatting>
  <conditionalFormatting sqref="E712:E65536">
    <cfRule type="cellIs" dxfId="58" priority="16" stopIfTrue="1" operator="equal">
      <formula>0</formula>
    </cfRule>
  </conditionalFormatting>
  <conditionalFormatting sqref="G1:G11 E6:E11 E1:E3 H7 H10:H11 F10:F711 G712:G65536">
    <cfRule type="cellIs" dxfId="57" priority="69" stopIfTrue="1" operator="equal">
      <formula>0</formula>
    </cfRule>
  </conditionalFormatting>
  <conditionalFormatting sqref="G12:H711">
    <cfRule type="cellIs" dxfId="56" priority="12" stopIfTrue="1" operator="equal">
      <formula>0</formula>
    </cfRule>
  </conditionalFormatting>
  <conditionalFormatting sqref="I7:K7">
    <cfRule type="cellIs" dxfId="55" priority="4" stopIfTrue="1" operator="equal">
      <formula>0</formula>
    </cfRule>
  </conditionalFormatting>
  <conditionalFormatting sqref="I10:L711">
    <cfRule type="cellIs" dxfId="54" priority="2" stopIfTrue="1" operator="equal">
      <formula>0</formula>
    </cfRule>
  </conditionalFormatting>
  <conditionalFormatting sqref="L1:L6">
    <cfRule type="cellIs" dxfId="53" priority="10" operator="equal">
      <formula>0</formula>
    </cfRule>
  </conditionalFormatting>
  <conditionalFormatting sqref="M1:IV1048576 A8:G9">
    <cfRule type="cellIs" dxfId="52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8" t="s">
        <v>1127</v>
      </c>
      <c r="C4" s="548"/>
      <c r="D4" s="548"/>
      <c r="E4" s="548"/>
      <c r="F4" s="548"/>
      <c r="G4" s="548"/>
      <c r="H4" s="548"/>
      <c r="I4" s="548"/>
      <c r="J4" s="548"/>
      <c r="K4" s="548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1" t="str">
        <f>RAB!G6</f>
        <v>MITRATEL BERAHAN</v>
      </c>
      <c r="H6" s="541"/>
      <c r="I6" s="541"/>
      <c r="J6" s="541"/>
      <c r="K6" s="541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BERAHAN KULON, KEC WEDUNG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49" t="s">
        <v>0</v>
      </c>
      <c r="C11" s="551" t="s">
        <v>1</v>
      </c>
      <c r="D11" s="554" t="s">
        <v>42</v>
      </c>
      <c r="E11" s="554" t="s">
        <v>43</v>
      </c>
      <c r="F11" s="554" t="s">
        <v>2</v>
      </c>
      <c r="G11" s="555" t="s">
        <v>41</v>
      </c>
      <c r="H11" s="554" t="s">
        <v>3</v>
      </c>
      <c r="I11" s="554"/>
      <c r="J11" s="554"/>
      <c r="K11" s="558"/>
      <c r="M11" s="33"/>
      <c r="N11" s="33"/>
      <c r="O11" s="33"/>
      <c r="P11" s="33"/>
      <c r="R11" s="34"/>
      <c r="S11" s="74"/>
      <c r="T11" s="74"/>
    </row>
    <row r="12" spans="1:21" ht="15" customHeight="1">
      <c r="B12" s="550"/>
      <c r="C12" s="552"/>
      <c r="D12" s="544"/>
      <c r="E12" s="544"/>
      <c r="F12" s="544"/>
      <c r="G12" s="556"/>
      <c r="H12" s="546" t="s">
        <v>46</v>
      </c>
      <c r="I12" s="546" t="s">
        <v>5</v>
      </c>
      <c r="J12" s="544" t="s">
        <v>47</v>
      </c>
      <c r="K12" s="545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0"/>
      <c r="C13" s="553"/>
      <c r="D13" s="544"/>
      <c r="E13" s="544"/>
      <c r="F13" s="544"/>
      <c r="G13" s="557"/>
      <c r="H13" s="547"/>
      <c r="I13" s="547"/>
      <c r="J13" s="544"/>
      <c r="K13" s="545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42" t="s">
        <v>1008</v>
      </c>
      <c r="D38" s="542"/>
      <c r="E38" s="542"/>
      <c r="F38" s="542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43" t="s">
        <v>462</v>
      </c>
      <c r="D39" s="543"/>
      <c r="E39" s="543"/>
      <c r="F39" s="543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32" t="s">
        <v>463</v>
      </c>
      <c r="D40" s="532"/>
      <c r="E40" s="532"/>
      <c r="F40" s="532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35" t="e">
        <f ca="1">"Terbilang : ( "&amp;L42&amp;" Rupiah )"</f>
        <v>#NAME?</v>
      </c>
      <c r="C41" s="536"/>
      <c r="D41" s="536"/>
      <c r="E41" s="536"/>
      <c r="F41" s="536"/>
      <c r="G41" s="536"/>
      <c r="H41" s="536"/>
      <c r="I41" s="536"/>
      <c r="J41" s="536"/>
      <c r="K41" s="537"/>
      <c r="L41" s="44"/>
      <c r="R41" s="58"/>
      <c r="S41" s="58"/>
      <c r="T41" s="58"/>
    </row>
    <row r="42" spans="1:20" s="36" customFormat="1">
      <c r="A42" s="30"/>
      <c r="B42" s="538"/>
      <c r="C42" s="539"/>
      <c r="D42" s="539"/>
      <c r="E42" s="539"/>
      <c r="F42" s="539"/>
      <c r="G42" s="539"/>
      <c r="H42" s="539"/>
      <c r="I42" s="539"/>
      <c r="J42" s="539"/>
      <c r="K42" s="540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3"/>
      <c r="I45" s="533"/>
      <c r="J45" s="534"/>
      <c r="K45" s="534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3"/>
      <c r="I46" s="533"/>
      <c r="J46" s="534"/>
      <c r="K46" s="534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3"/>
      <c r="I47" s="533"/>
      <c r="J47" s="534"/>
      <c r="K47" s="534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3"/>
      <c r="I52" s="533"/>
      <c r="J52" s="534"/>
      <c r="K52" s="534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SUMIFS(RAB!$F$14:$F$150,RAB!$C$14:$C$150,'REKAP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SUMIFS(RAB!$F$14:$F$150,RAB!$C$14:$C$150,'REKAP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SUMIFS(RAB!$F$14:$F$150,RAB!$C$14:$C$150,'REKAP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SUMIFS(RAB!$F$14:$F$150,RAB!$C$14:$C$150,'REKAP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SUMIFS(RAB!$F$14:$F$150,RAB!$C$14:$C$150,'REKAP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SUMIFS(RAB!$F$14:$F$150,RAB!$C$14:$C$150,'REKAP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SUMIFS(RAB!$F$14:$F$150,RAB!$C$14:$C$150,'REKAP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SUMIFS(RAB!$F$14:$F$150,RAB!$C$14:$C$150,'REKAP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SUMIFS(RAB!$F$14:$F$150,RAB!$C$14:$C$150,'REKAP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SUMIFS(RAB!$F$14:$F$150,RAB!$C$14:$C$150,'REKAP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SUMIFS(RAB!$F$14:$F$150,RAB!$C$14:$C$150,'REKAP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SUMIFS(RAB!$F$14:$F$150,RAB!$C$14:$C$150,'REKAP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SUMIFS(RAB!$F$14:$F$150,RAB!$C$14:$C$150,'REKAP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SUMIFS(RAB!$F$14:$F$150,RAB!$C$14:$C$150,'REKAP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SUMIFS(RAB!$F$14:$F$150,RAB!$C$14:$C$150,'REKAP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SUMIFS(RAB!$F$14:$F$150,RAB!$C$14:$C$150,'REKAP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SUMIFS(RAB!$F$14:$F$150,RAB!$C$14:$C$150,'REKAP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SUMIFS(RAB!$F$14:$F$150,RAB!$C$14:$C$150,'REKAP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SUMIFS(RAB!$F$14:$F$150,RAB!$C$14:$C$150,'REKAP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SUMIFS(RAB!$F$14:$F$150,RAB!$C$14:$C$150,'REKAP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51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5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8" t="s">
        <v>1034</v>
      </c>
      <c r="C4" s="548"/>
      <c r="D4" s="548"/>
      <c r="E4" s="548"/>
      <c r="F4" s="548"/>
      <c r="G4" s="548"/>
      <c r="H4" s="548"/>
      <c r="I4" s="548"/>
      <c r="J4" s="548"/>
      <c r="K4" s="548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1" t="str">
        <f>RAB!G6</f>
        <v>MITRATEL BERAHAN</v>
      </c>
      <c r="H6" s="541"/>
      <c r="I6" s="541"/>
      <c r="J6" s="541"/>
      <c r="K6" s="541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BERAHAN KULON, KEC WEDUNG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49" t="s">
        <v>0</v>
      </c>
      <c r="C11" s="551" t="s">
        <v>1</v>
      </c>
      <c r="D11" s="554" t="s">
        <v>42</v>
      </c>
      <c r="E11" s="554" t="s">
        <v>43</v>
      </c>
      <c r="F11" s="554" t="s">
        <v>2</v>
      </c>
      <c r="G11" s="555" t="s">
        <v>41</v>
      </c>
      <c r="H11" s="554" t="s">
        <v>3</v>
      </c>
      <c r="I11" s="554"/>
      <c r="J11" s="554"/>
      <c r="K11" s="558"/>
      <c r="M11" s="33"/>
      <c r="N11" s="33"/>
      <c r="O11" s="33"/>
      <c r="P11" s="33"/>
      <c r="R11" s="34"/>
      <c r="S11" s="74"/>
      <c r="T11" s="74"/>
    </row>
    <row r="12" spans="1:21" ht="15" customHeight="1">
      <c r="B12" s="550"/>
      <c r="C12" s="552"/>
      <c r="D12" s="544"/>
      <c r="E12" s="544"/>
      <c r="F12" s="544"/>
      <c r="G12" s="556"/>
      <c r="H12" s="546" t="s">
        <v>46</v>
      </c>
      <c r="I12" s="546" t="s">
        <v>5</v>
      </c>
      <c r="J12" s="544" t="s">
        <v>47</v>
      </c>
      <c r="K12" s="545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0"/>
      <c r="C13" s="553"/>
      <c r="D13" s="544"/>
      <c r="E13" s="544"/>
      <c r="F13" s="544"/>
      <c r="G13" s="557"/>
      <c r="H13" s="547"/>
      <c r="I13" s="547"/>
      <c r="J13" s="544"/>
      <c r="K13" s="545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MPB; 1P;230V;5(60)A;1;2W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2</v>
      </c>
      <c r="G16" s="41">
        <f ca="1">IF(ISERROR(OFFSET('HARGA SATUAN'!$I$6,MATCH(C16,'HARGA SATUAN'!$C$7:$C$1492,0),0)),"",OFFSET('HARGA SATUAN'!$I$6,MATCH(C16,'HARGA SATUAN'!$C$7:$C$1492,0),0))</f>
        <v>327600</v>
      </c>
      <c r="H16" s="42">
        <f t="shared" ca="1" si="1"/>
        <v>655200</v>
      </c>
      <c r="I16" s="42">
        <f t="shared" ca="1" si="2"/>
        <v>0</v>
      </c>
      <c r="J16" s="42">
        <f t="shared" ca="1" si="3"/>
        <v>0</v>
      </c>
      <c r="K16" s="43">
        <f t="shared" ca="1" si="0"/>
        <v>655200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50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01">
        <f t="shared" ref="F17:F80" ca="1" si="6">IF(ISERROR(OFFSET($D$223,MATCH(A17,$F$224:$F$373,0),0)),"",OFFSET($D$223,MATCH(A17,$F$224:$F$373,0),0))</f>
        <v>2</v>
      </c>
      <c r="G17" s="41">
        <f ca="1">IF(ISERROR(OFFSET('HARGA SATUAN'!$I$6,MATCH(C17,'HARGA SATUAN'!$C$7:$C$1492,0),0)),"",OFFSET('HARGA SATUAN'!$I$6,MATCH(C17,'HARGA SATUAN'!$C$7:$C$1492,0),0))</f>
        <v>39000</v>
      </c>
      <c r="H17" s="42">
        <f t="shared" ca="1" si="1"/>
        <v>78000</v>
      </c>
      <c r="I17" s="42">
        <f t="shared" ca="1" si="2"/>
        <v>0</v>
      </c>
      <c r="J17" s="42">
        <f t="shared" ca="1" si="3"/>
        <v>0</v>
      </c>
      <c r="K17" s="43">
        <f t="shared" ca="1" si="0"/>
        <v>78000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1 Fasa CSP 50 kVA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27845400</v>
      </c>
      <c r="H18" s="42">
        <f t="shared" ca="1" si="1"/>
        <v>27845400</v>
      </c>
      <c r="I18" s="42">
        <f t="shared" ca="1" si="2"/>
        <v>0</v>
      </c>
      <c r="J18" s="42">
        <f t="shared" ca="1" si="3"/>
        <v>0</v>
      </c>
      <c r="K18" s="43">
        <f t="shared" ca="1" si="0"/>
        <v>27845400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1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848250</v>
      </c>
      <c r="I19" s="42">
        <f t="shared" ca="1" si="2"/>
        <v>0</v>
      </c>
      <c r="J19" s="42">
        <f t="shared" ca="1" si="3"/>
        <v>0</v>
      </c>
      <c r="K19" s="43">
        <f t="shared" ca="1" si="0"/>
        <v>848250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Isolator Tumpu ( Pin Post ) 20 KV Porcelein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6"/>
        <v>2</v>
      </c>
      <c r="G20" s="41">
        <f ca="1">IF(ISERROR(OFFSET('HARGA SATUAN'!$I$6,MATCH(C20,'HARGA SATUAN'!$C$7:$C$1492,0),0)),"",OFFSET('HARGA SATUAN'!$I$6,MATCH(C20,'HARGA SATUAN'!$C$7:$C$1492,0),0))</f>
        <v>235900</v>
      </c>
      <c r="H20" s="42">
        <f t="shared" ca="1" si="1"/>
        <v>471800</v>
      </c>
      <c r="I20" s="42">
        <f t="shared" ca="1" si="2"/>
        <v>0</v>
      </c>
      <c r="J20" s="42">
        <f t="shared" ca="1" si="3"/>
        <v>0</v>
      </c>
      <c r="K20" s="43">
        <f t="shared" ca="1" si="0"/>
        <v>471800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Isolator Tarik ( Suspension Polymer ) 20 KV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Set</v>
      </c>
      <c r="F21" s="101">
        <f t="shared" ca="1" si="6"/>
        <v>4</v>
      </c>
      <c r="G21" s="41">
        <f ca="1">IF(ISERROR(OFFSET('HARGA SATUAN'!$I$6,MATCH(C21,'HARGA SATUAN'!$C$7:$C$1492,0),0)),"",OFFSET('HARGA SATUAN'!$I$6,MATCH(C21,'HARGA SATUAN'!$C$7:$C$1492,0),0))</f>
        <v>205700</v>
      </c>
      <c r="H21" s="42">
        <f t="shared" ca="1" si="1"/>
        <v>822800</v>
      </c>
      <c r="I21" s="42">
        <f t="shared" ca="1" si="2"/>
        <v>0</v>
      </c>
      <c r="J21" s="42">
        <f t="shared" ca="1" si="3"/>
        <v>0</v>
      </c>
      <c r="K21" s="43">
        <f t="shared" ca="1" si="0"/>
        <v>822800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AAAC 70 mm²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Mtr</v>
      </c>
      <c r="F22" s="101">
        <f t="shared" ca="1" si="6"/>
        <v>362</v>
      </c>
      <c r="G22" s="41">
        <f ca="1">IF(ISERROR(OFFSET('HARGA SATUAN'!$I$6,MATCH(C22,'HARGA SATUAN'!$C$7:$C$1492,0),0)),"",OFFSET('HARGA SATUAN'!$I$6,MATCH(C22,'HARGA SATUAN'!$C$7:$C$1492,0),0))</f>
        <v>14200</v>
      </c>
      <c r="H22" s="42">
        <f t="shared" ca="1" si="1"/>
        <v>5140400</v>
      </c>
      <c r="I22" s="42">
        <f t="shared" ca="1" si="2"/>
        <v>0</v>
      </c>
      <c r="J22" s="42">
        <f t="shared" ca="1" si="3"/>
        <v>0</v>
      </c>
      <c r="K22" s="43">
        <f t="shared" ca="1" si="0"/>
        <v>5140400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NFA2X-T 2 x 70 + N 70 mm²</v>
      </c>
      <c r="D23" s="101" t="str">
        <f ca="1">IF(ISERROR(OFFSET('HARGA SATUAN'!$D$6,MATCH(C23,'HARGA SATUAN'!$C$7:$C$1492,0),0)),"",OFFSET('HARGA SATUAN'!$D$6,MATCH(C23,'HARGA SATUAN'!$C$7:$C$1492,0),0))</f>
        <v>MDU-KD</v>
      </c>
      <c r="E23" s="101" t="str">
        <f ca="1">IF(B23="+","Unit",IF(ISERROR(OFFSET('HARGA SATUAN'!$E$6,MATCH(C23,'HARGA SATUAN'!$C$7:$C$1492,0),0)),"",OFFSET('HARGA SATUAN'!$E$6,MATCH(C23,'HARGA SATUAN'!$C$7:$C$1492,0),0)))</f>
        <v>Mtr</v>
      </c>
      <c r="F23" s="101">
        <f t="shared" ca="1" si="6"/>
        <v>2</v>
      </c>
      <c r="G23" s="41">
        <f ca="1">IF(ISERROR(OFFSET('HARGA SATUAN'!$I$6,MATCH(C23,'HARGA SATUAN'!$C$7:$C$1492,0),0)),"",OFFSET('HARGA SATUAN'!$I$6,MATCH(C23,'HARGA SATUAN'!$C$7:$C$1492,0),0))</f>
        <v>53300</v>
      </c>
      <c r="H23" s="42">
        <f t="shared" ca="1" si="1"/>
        <v>106600</v>
      </c>
      <c r="I23" s="42">
        <f t="shared" ca="1" si="2"/>
        <v>0</v>
      </c>
      <c r="J23" s="42">
        <f t="shared" ca="1" si="3"/>
        <v>0</v>
      </c>
      <c r="K23" s="43">
        <f t="shared" ca="1" si="0"/>
        <v>106600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>
        <f t="shared" ca="1" si="4"/>
        <v>9</v>
      </c>
      <c r="C24" s="109" t="str">
        <f t="shared" ca="1" si="5"/>
        <v>NFA2X 2 x 16 mm²</v>
      </c>
      <c r="D24" s="101" t="str">
        <f ca="1">IF(ISERROR(OFFSET('HARGA SATUAN'!$D$6,MATCH(C24,'HARGA SATUAN'!$C$7:$C$1492,0),0)),"",OFFSET('HARGA SATUAN'!$D$6,MATCH(C24,'HARGA SATUAN'!$C$7:$C$1492,0),0))</f>
        <v>MDU-KD</v>
      </c>
      <c r="E24" s="101" t="str">
        <f ca="1">IF(B24="+","Unit",IF(ISERROR(OFFSET('HARGA SATUAN'!$E$6,MATCH(C24,'HARGA SATUAN'!$C$7:$C$1492,0),0)),"",OFFSET('HARGA SATUAN'!$E$6,MATCH(C24,'HARGA SATUAN'!$C$7:$C$1492,0),0)))</f>
        <v>Mtr</v>
      </c>
      <c r="F24" s="101">
        <f t="shared" ca="1" si="6"/>
        <v>40</v>
      </c>
      <c r="G24" s="41">
        <f ca="1">IF(ISERROR(OFFSET('HARGA SATUAN'!$I$6,MATCH(C24,'HARGA SATUAN'!$C$7:$C$1492,0),0)),"",OFFSET('HARGA SATUAN'!$I$6,MATCH(C24,'HARGA SATUAN'!$C$7:$C$1492,0),0))</f>
        <v>6600</v>
      </c>
      <c r="H24" s="42">
        <f t="shared" ca="1" si="1"/>
        <v>264000</v>
      </c>
      <c r="I24" s="42">
        <f t="shared" ca="1" si="2"/>
        <v>0</v>
      </c>
      <c r="J24" s="42">
        <f t="shared" ca="1" si="3"/>
        <v>0</v>
      </c>
      <c r="K24" s="43">
        <f t="shared" ca="1" si="0"/>
        <v>264000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42" t="s">
        <v>1008</v>
      </c>
      <c r="D168" s="542"/>
      <c r="E168" s="542"/>
      <c r="F168" s="542"/>
      <c r="G168" s="77" t="s">
        <v>9</v>
      </c>
      <c r="H168" s="55">
        <f ca="1">SUM(H14:H167)</f>
        <v>36232450</v>
      </c>
      <c r="I168" s="55">
        <f ca="1">SUM(I14:I167)</f>
        <v>0</v>
      </c>
      <c r="J168" s="55">
        <f ca="1">SUM(J14:J167)</f>
        <v>0</v>
      </c>
      <c r="K168" s="55">
        <f ca="1">SUM(K14:K167)</f>
        <v>36232450</v>
      </c>
      <c r="L168" s="44"/>
      <c r="R168" s="99"/>
      <c r="S168" s="99"/>
      <c r="T168" s="99"/>
    </row>
    <row r="169" spans="1:20" s="36" customFormat="1">
      <c r="A169" s="30"/>
      <c r="B169" s="56"/>
      <c r="C169" s="543" t="s">
        <v>462</v>
      </c>
      <c r="D169" s="543"/>
      <c r="E169" s="543"/>
      <c r="F169" s="543"/>
      <c r="G169" s="59" t="s">
        <v>9</v>
      </c>
      <c r="H169" s="60">
        <f ca="1">H168*0.1</f>
        <v>3623245</v>
      </c>
      <c r="I169" s="60">
        <f ca="1">I168*0.1</f>
        <v>0</v>
      </c>
      <c r="J169" s="60">
        <f ca="1">J168*0.1</f>
        <v>0</v>
      </c>
      <c r="K169" s="60">
        <f ca="1">K168*0.1</f>
        <v>3623245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32" t="s">
        <v>463</v>
      </c>
      <c r="D170" s="532"/>
      <c r="E170" s="532"/>
      <c r="F170" s="532"/>
      <c r="G170" s="61" t="s">
        <v>9</v>
      </c>
      <c r="H170" s="78">
        <f ca="1">SUM(H168:H169)</f>
        <v>39855695</v>
      </c>
      <c r="I170" s="78">
        <f ca="1">SUM(I168:I169)</f>
        <v>0</v>
      </c>
      <c r="J170" s="61">
        <f ca="1">SUM(J168:J169)</f>
        <v>0</v>
      </c>
      <c r="K170" s="61">
        <f ca="1">SUM(K168:K169)</f>
        <v>39855695</v>
      </c>
      <c r="L170" s="44"/>
      <c r="R170" s="99"/>
      <c r="S170" s="99"/>
      <c r="T170" s="99"/>
    </row>
    <row r="171" spans="1:20" s="36" customFormat="1">
      <c r="A171" s="30"/>
      <c r="B171" s="535" t="e">
        <f ca="1">"Terbilang : ( "&amp;L172&amp;" Rupiah )"</f>
        <v>#NAME?</v>
      </c>
      <c r="C171" s="536"/>
      <c r="D171" s="536"/>
      <c r="E171" s="536"/>
      <c r="F171" s="536"/>
      <c r="G171" s="536"/>
      <c r="H171" s="536"/>
      <c r="I171" s="536"/>
      <c r="J171" s="536"/>
      <c r="K171" s="537"/>
      <c r="L171" s="44"/>
      <c r="R171" s="58"/>
      <c r="S171" s="58"/>
      <c r="T171" s="58"/>
    </row>
    <row r="172" spans="1:20" s="36" customFormat="1">
      <c r="A172" s="30"/>
      <c r="B172" s="538"/>
      <c r="C172" s="539"/>
      <c r="D172" s="539"/>
      <c r="E172" s="539"/>
      <c r="F172" s="539"/>
      <c r="G172" s="539"/>
      <c r="H172" s="539"/>
      <c r="I172" s="539"/>
      <c r="J172" s="539"/>
      <c r="K172" s="540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3"/>
      <c r="I175" s="533"/>
      <c r="J175" s="534"/>
      <c r="K175" s="534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3"/>
      <c r="I176" s="533"/>
      <c r="J176" s="534"/>
      <c r="K176" s="534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3"/>
      <c r="I177" s="533"/>
      <c r="J177" s="534"/>
      <c r="K177" s="534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3"/>
      <c r="I182" s="533"/>
      <c r="J182" s="534"/>
      <c r="K182" s="534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SUMIFS(RAB!$F$14:$F$150,RAB!$C$14:$C$150,C224)</f>
        <v>2</v>
      </c>
      <c r="E224" s="24">
        <f ca="1">IF(D224=0,0,1)</f>
        <v>1</v>
      </c>
      <c r="F224" s="24">
        <f ca="1">IF(D224=0,0,SUM($E$223:E224))</f>
        <v>1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SUMIFS(RAB!$F$14:$F$150,RAB!$C$14:$C$150,C225)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SUMIFS(RAB!$F$14:$F$150,RAB!$C$14:$C$150,C226)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SUMIFS(RAB!$F$14:$F$150,RAB!$C$14:$C$150,C227)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SUMIFS(RAB!$F$14:$F$150,RAB!$C$14:$C$150,C228)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SUMIFS(RAB!$F$14:$F$150,RAB!$C$14:$C$150,C229)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SUMIFS(RAB!$F$14:$F$150,RAB!$C$14:$C$150,C230)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SUMIFS(RAB!$F$14:$F$150,RAB!$C$14:$C$150,C231)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SUMIFS(RAB!$F$14:$F$150,RAB!$C$14:$C$150,C232)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SUMIFS(RAB!$F$14:$F$150,RAB!$C$14:$C$150,C233)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SUMIFS(RAB!$F$14:$F$150,RAB!$C$14:$C$150,C234)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SUMIFS(RAB!$F$14:$F$150,RAB!$C$14:$C$150,C235)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SUMIFS(RAB!$F$14:$F$150,RAB!$C$14:$C$150,C236)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SUMIFS(RAB!$F$14:$F$150,RAB!$C$14:$C$150,C237)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SUMIFS(RAB!$F$14:$F$150,RAB!$C$14:$C$150,C238)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SUMIFS(RAB!$F$14:$F$150,RAB!$C$14:$C$150,C239)</f>
        <v>2</v>
      </c>
      <c r="E239" s="24">
        <f t="shared" ca="1" si="21"/>
        <v>1</v>
      </c>
      <c r="F239" s="24">
        <f ca="1">IF(D239=0,0,SUM($E$223:E239))</f>
        <v>2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SUMIFS(RAB!$F$14:$F$150,RAB!$C$14:$C$150,C240)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SUMIFS(RAB!$F$14:$F$150,RAB!$C$14:$C$150,C241)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SUMIFS(RAB!$F$14:$F$150,RAB!$C$14:$C$150,C242)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SUMIFS(RAB!$F$14:$F$150,RAB!$C$14:$C$150,C243)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SUMIFS(RAB!$F$14:$F$150,RAB!$C$14:$C$150,C244)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SUMIFS(RAB!$F$14:$F$150,RAB!$C$14:$C$150,C245)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SUMIFS(RAB!$F$14:$F$150,RAB!$C$14:$C$150,C246)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SUMIFS(RAB!$F$14:$F$150,RAB!$C$14:$C$150,C247)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SUMIFS(RAB!$F$14:$F$150,RAB!$C$14:$C$150,C248)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SUMIFS(RAB!$F$14:$F$150,RAB!$C$14:$C$150,C249)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SUMIFS(RAB!$F$14:$F$150,RAB!$C$14:$C$150,C250)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SUMIFS(RAB!$F$14:$F$150,RAB!$C$14:$C$150,C251)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SUMIFS(RAB!$F$14:$F$150,RAB!$C$14:$C$150,C252)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SUMIFS(RAB!$F$14:$F$150,RAB!$C$14:$C$150,C253)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SUMIFS(RAB!$F$14:$F$150,RAB!$C$14:$C$150,C254)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SUMIFS(RAB!$F$14:$F$150,RAB!$C$14:$C$150,C255)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SUMIFS(RAB!$F$14:$F$150,RAB!$C$14:$C$150,C256)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SUMIFS(RAB!$F$14:$F$150,RAB!$C$14:$C$150,C257)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SUMIFS(RAB!$F$14:$F$150,RAB!$C$14:$C$150,C258)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SUMIFS(RAB!$F$14:$F$150,RAB!$C$14:$C$150,C259)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SUMIFS(RAB!$F$14:$F$150,RAB!$C$14:$C$150,C260)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SUMIFS(RAB!$F$14:$F$150,RAB!$C$14:$C$150,C261)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SUMIFS(RAB!$F$14:$F$150,RAB!$C$14:$C$150,C262)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SUMIFS(RAB!$F$14:$F$150,RAB!$C$14:$C$150,C263)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SUMIFS(RAB!$F$14:$F$150,RAB!$C$14:$C$150,C264)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SUMIFS(RAB!$F$14:$F$150,RAB!$C$14:$C$150,C265)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SUMIFS(RAB!$F$14:$F$150,RAB!$C$14:$C$150,C266)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SUMIFS(RAB!$F$14:$F$150,RAB!$C$14:$C$150,C267)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SUMIFS(RAB!$F$14:$F$150,RAB!$C$14:$C$150,C268)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SUMIFS(RAB!$F$14:$F$150,RAB!$C$14:$C$150,C269)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SUMIFS(RAB!$F$14:$F$150,RAB!$C$14:$C$150,C270)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SUMIFS(RAB!$F$14:$F$150,RAB!$C$14:$C$150,C271)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SUMIFS(RAB!$F$14:$F$150,RAB!$C$14:$C$150,C272)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SUMIFS(RAB!$F$14:$F$150,RAB!$C$14:$C$150,C273)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SUMIFS(RAB!$F$14:$F$150,RAB!$C$14:$C$150,C274)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SUMIFS(RAB!$F$14:$F$150,RAB!$C$14:$C$150,C275)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SUMIFS(RAB!$F$14:$F$150,RAB!$C$14:$C$150,C276)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SUMIFS(RAB!$F$14:$F$150,RAB!$C$14:$C$150,C277)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SUMIFS(RAB!$F$14:$F$150,RAB!$C$14:$C$150,C278)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SUMIFS(RAB!$F$14:$F$150,RAB!$C$14:$C$150,C279)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SUMIFS(RAB!$F$14:$F$150,RAB!$C$14:$C$150,C280)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SUMIFS(RAB!$F$14:$F$150,RAB!$C$14:$C$150,C281)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SUMIFS(RAB!$F$14:$F$150,RAB!$C$14:$C$150,C282)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SUMIFS(RAB!$F$14:$F$150,RAB!$C$14:$C$150,C283)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SUMIFS(RAB!$F$14:$F$150,RAB!$C$14:$C$150,C284)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SUMIFS(RAB!$F$14:$F$150,RAB!$C$14:$C$150,C285)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SUMIFS(RAB!$F$14:$F$150,RAB!$C$14:$C$150,C286)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SUMIFS(RAB!$F$14:$F$150,RAB!$C$14:$C$150,C287)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SUMIFS(RAB!$F$14:$F$150,RAB!$C$14:$C$150,C288)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SUMIFS(RAB!$F$14:$F$150,RAB!$C$14:$C$150,C289)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SUMIFS(RAB!$F$14:$F$150,RAB!$C$14:$C$150,C290)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SUMIFS(RAB!$F$14:$F$150,RAB!$C$14:$C$150,C291)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SUMIFS(RAB!$F$14:$F$150,RAB!$C$14:$C$150,C292)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SUMIFS(RAB!$F$14:$F$150,RAB!$C$14:$C$150,C293)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SUMIFS(RAB!$F$14:$F$150,RAB!$C$14:$C$150,C294)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SUMIFS(RAB!$F$14:$F$150,RAB!$C$14:$C$150,C295)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SUMIFS(RAB!$F$14:$F$150,RAB!$C$14:$C$150,C296)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SUMIFS(RAB!$F$14:$F$150,RAB!$C$14:$C$150,C297)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SUMIFS(RAB!$F$14:$F$150,RAB!$C$14:$C$150,C298)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SUMIFS(RAB!$F$14:$F$150,RAB!$C$14:$C$150,C299)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SUMIFS(RAB!$F$14:$F$150,RAB!$C$14:$C$150,C300)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SUMIFS(RAB!$F$14:$F$150,RAB!$C$14:$C$150,C301)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SUMIFS(RAB!$F$14:$F$150,RAB!$C$14:$C$150,C302)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SUMIFS(RAB!$F$14:$F$150,RAB!$C$14:$C$150,C303)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SUMIFS(RAB!$F$14:$F$150,RAB!$C$14:$C$150,C304)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SUMIFS(RAB!$F$14:$F$150,RAB!$C$14:$C$150,C305)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SUMIFS(RAB!$F$14:$F$150,RAB!$C$14:$C$150,C306)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SUMIFS(RAB!$F$14:$F$150,RAB!$C$14:$C$150,C307)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SUMIFS(RAB!$F$14:$F$150,RAB!$C$14:$C$150,C308)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SUMIFS(RAB!$F$14:$F$150,RAB!$C$14:$C$150,C309)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SUMIFS(RAB!$F$14:$F$150,RAB!$C$14:$C$150,C310)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SUMIFS(RAB!$F$14:$F$150,RAB!$C$14:$C$150,C311)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SUMIFS(RAB!$F$14:$F$150,RAB!$C$14:$C$150,C312)</f>
        <v>1</v>
      </c>
      <c r="E312" s="24">
        <f t="shared" ca="1" si="22"/>
        <v>1</v>
      </c>
      <c r="F312" s="24">
        <f ca="1">IF(D312=0,0,SUM($E$223:E312))</f>
        <v>3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SUMIFS(RAB!$F$14:$F$150,RAB!$C$14:$C$150,C313)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SUMIFS(RAB!$F$14:$F$150,RAB!$C$14:$C$150,C314)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SUMIFS(RAB!$F$14:$F$150,RAB!$C$14:$C$150,C315)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SUMIFS(RAB!$F$14:$F$150,RAB!$C$14:$C$150,C316)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SUMIFS(RAB!$F$14:$F$150,RAB!$C$14:$C$150,C317)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SUMIFS(RAB!$F$14:$F$150,RAB!$C$14:$C$150,C318)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SUMIFS(RAB!$F$14:$F$150,RAB!$C$14:$C$150,C319)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SUMIFS(RAB!$F$14:$F$150,RAB!$C$14:$C$150,C320)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SUMIFS(RAB!$F$14:$F$150,RAB!$C$14:$C$150,C321)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SUMIFS(RAB!$F$14:$F$150,RAB!$C$14:$C$150,C322)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SUMIFS(RAB!$F$14:$F$150,RAB!$C$14:$C$150,C323)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SUMIFS(RAB!$F$14:$F$150,RAB!$C$14:$C$150,C324)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SUMIFS(RAB!$F$14:$F$150,RAB!$C$14:$C$150,C325)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SUMIFS(RAB!$F$14:$F$150,RAB!$C$14:$C$150,C326)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SUMIFS(RAB!$F$14:$F$150,RAB!$C$14:$C$150,C327)</f>
        <v>1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SUMIFS(RAB!$F$14:$F$150,RAB!$C$14:$C$150,C328)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SUMIFS(RAB!$F$14:$F$150,RAB!$C$14:$C$150,C329)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SUMIFS(RAB!$F$14:$F$150,RAB!$C$14:$C$150,C330)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SUMIFS(RAB!$F$14:$F$150,RAB!$C$14:$C$150,C331)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SUMIFS(RAB!$F$14:$F$150,RAB!$C$14:$C$150,C332)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SUMIFS(RAB!$F$14:$F$150,RAB!$C$14:$C$150,C333)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SUMIFS(RAB!$F$14:$F$150,RAB!$C$14:$C$150,C334)</f>
        <v>2</v>
      </c>
      <c r="E334" s="24">
        <f t="shared" ca="1" si="22"/>
        <v>1</v>
      </c>
      <c r="F334" s="24">
        <f ca="1">IF(D334=0,0,SUM($E$223:E334))</f>
        <v>5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SUMIFS(RAB!$F$14:$F$150,RAB!$C$14:$C$150,C335)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SUMIFS(RAB!$F$14:$F$150,RAB!$C$14:$C$150,C336)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SUMIFS(RAB!$F$14:$F$150,RAB!$C$14:$C$150,C337)</f>
        <v>4</v>
      </c>
      <c r="E337" s="24">
        <f t="shared" ca="1" si="22"/>
        <v>1</v>
      </c>
      <c r="F337" s="24">
        <f ca="1">IF(D337=0,0,SUM($E$223:E337))</f>
        <v>6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SUMIFS(RAB!$F$14:$F$150,RAB!$C$14:$C$150,C338)</f>
        <v>362</v>
      </c>
      <c r="E338" s="24">
        <f t="shared" ca="1" si="22"/>
        <v>1</v>
      </c>
      <c r="F338" s="24">
        <f ca="1">IF(D338=0,0,SUM($E$223:E338))</f>
        <v>7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SUMIFS(RAB!$F$14:$F$150,RAB!$C$14:$C$150,C339)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SUMIFS(RAB!$F$14:$F$150,RAB!$C$14:$C$150,C340)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SUMIFS(RAB!$F$14:$F$150,RAB!$C$14:$C$150,C341)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SUMIFS(RAB!$F$14:$F$150,RAB!$C$14:$C$150,C342)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SUMIFS(RAB!$F$14:$F$150,RAB!$C$14:$C$150,C343)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SUMIFS(RAB!$F$14:$F$150,RAB!$C$14:$C$150,C344)</f>
        <v>2</v>
      </c>
      <c r="E344" s="24">
        <f t="shared" ca="1" si="22"/>
        <v>1</v>
      </c>
      <c r="F344" s="24">
        <f ca="1">IF(D344=0,0,SUM($E$223:E344))</f>
        <v>8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SUMIFS(RAB!$F$14:$F$150,RAB!$C$14:$C$150,C345)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SUMIFS(RAB!$F$14:$F$150,RAB!$C$14:$C$150,C346)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SUMIFS(RAB!$F$14:$F$150,RAB!$C$14:$C$150,C347)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SUMIFS(RAB!$F$14:$F$150,RAB!$C$14:$C$150,C348)</f>
        <v>40</v>
      </c>
      <c r="E348" s="24">
        <f t="shared" ca="1" si="22"/>
        <v>1</v>
      </c>
      <c r="F348" s="24">
        <f ca="1">IF(D348=0,0,SUM($E$223:E348))</f>
        <v>9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SUMIFS(RAB!$F$14:$F$150,RAB!$C$14:$C$150,C349)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SUMIFS(RAB!$F$14:$F$150,RAB!$C$14:$C$150,C350)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SUMIFS(RAB!$F$14:$F$150,RAB!$C$14:$C$150,C351)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SUMIFS(RAB!$F$14:$F$150,RAB!$C$14:$C$150,C352)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SUMIFS(RAB!$F$14:$F$150,RAB!$C$14:$C$150,C353)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SUMIFS(RAB!$F$14:$F$150,RAB!$C$14:$C$150,C354)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SUMIFS(RAB!$F$14:$F$150,RAB!$C$14:$C$150,C355)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SUMIFS(RAB!$F$14:$F$150,RAB!$C$14:$C$150,C356)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SUMIFS(RAB!$F$14:$F$150,RAB!$C$14:$C$150,C357)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SUMIFS(RAB!$F$14:$F$150,RAB!$C$14:$C$150,C358)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SUMIFS(RAB!$F$14:$F$150,RAB!$C$14:$C$150,C359)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SUMIFS(RAB!$F$14:$F$150,RAB!$C$14:$C$150,C360)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SUMIFS(RAB!$F$14:$F$150,RAB!$C$14:$C$150,C361)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SUMIFS(RAB!$F$14:$F$150,RAB!$C$14:$C$150,C362)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SUMIFS(RAB!$F$14:$F$150,RAB!$C$14:$C$150,C363)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SUMIFS(RAB!$F$14:$F$150,RAB!$C$14:$C$150,C364)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SUMIFS(RAB!$F$14:$F$150,RAB!$C$14:$C$150,C365)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SUMIFS(RAB!$F$14:$F$150,RAB!$C$14:$C$150,C366)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SUMIFS(RAB!$F$14:$F$150,RAB!$C$14:$C$150,C367)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SUMIFS(RAB!$F$14:$F$150,RAB!$C$14:$C$150,C368)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SUMIFS(RAB!$F$14:$F$150,RAB!$C$14:$C$150,C369)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SUMIFS(RAB!$F$14:$F$150,RAB!$C$14:$C$150,C370)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SUMIFS(RAB!$F$14:$F$150,RAB!$C$14:$C$150,C371)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SUMIFS(RAB!$F$14:$F$150,RAB!$C$14:$C$150,C372)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SUMIFS(RAB!$F$14:$F$150,RAB!$C$14:$C$150,C373)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49" priority="5" operator="equal">
      <formula>0</formula>
    </cfRule>
  </conditionalFormatting>
  <conditionalFormatting sqref="C16:C165">
    <cfRule type="cellIs" dxfId="48" priority="4" stopIfTrue="1" operator="equal">
      <formula>0</formula>
    </cfRule>
  </conditionalFormatting>
  <conditionalFormatting sqref="C16:E165">
    <cfRule type="cellIs" dxfId="47" priority="1" operator="equal">
      <formula>0</formula>
    </cfRule>
  </conditionalFormatting>
  <conditionalFormatting sqref="D224:F373">
    <cfRule type="cellIs" dxfId="46" priority="8" operator="equal">
      <formula>0</formula>
    </cfRule>
  </conditionalFormatting>
  <conditionalFormatting sqref="E1:E3 G1:G115 E6:E15 H12:I12 N13 F14:F15 H14:K115 E166:K166 G166:G223 E167:F167 H167:K167">
    <cfRule type="cellIs" dxfId="45" priority="43" stopIfTrue="1" operator="equal">
      <formula>0</formula>
    </cfRule>
  </conditionalFormatting>
  <conditionalFormatting sqref="E171:E65536">
    <cfRule type="cellIs" dxfId="44" priority="9" stopIfTrue="1" operator="equal">
      <formula>0</formula>
    </cfRule>
  </conditionalFormatting>
  <conditionalFormatting sqref="G224">
    <cfRule type="cellIs" dxfId="43" priority="10" operator="equal">
      <formula>0</formula>
    </cfRule>
  </conditionalFormatting>
  <conditionalFormatting sqref="G225:G65536">
    <cfRule type="cellIs" dxfId="42" priority="14" stopIfTrue="1" operator="equal">
      <formula>0</formula>
    </cfRule>
  </conditionalFormatting>
  <conditionalFormatting sqref="R14:T166 G116:K165">
    <cfRule type="cellIs" dxfId="41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59"/>
    </row>
    <row r="4" spans="4:4" ht="57" customHeight="1">
      <c r="D4" s="459">
        <v>3</v>
      </c>
    </row>
    <row r="5" spans="4:4" ht="57" customHeight="1">
      <c r="D5" s="459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190" activePane="bottomRight" state="frozen"/>
      <selection activeCell="D209" sqref="D209"/>
      <selection pane="topRight" activeCell="D209" sqref="D209"/>
      <selection pane="bottomLeft" activeCell="D209" sqref="D209"/>
      <selection pane="bottomRight" activeCell="C214" sqref="C214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60" t="s">
        <v>41</v>
      </c>
      <c r="C2" s="560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1" t="s">
        <v>23</v>
      </c>
      <c r="C4" s="562" t="s">
        <v>1012</v>
      </c>
      <c r="D4" s="562" t="s">
        <v>42</v>
      </c>
      <c r="E4" s="561" t="s">
        <v>43</v>
      </c>
      <c r="F4" s="108" t="s">
        <v>1609</v>
      </c>
      <c r="G4" s="108" t="s">
        <v>1608</v>
      </c>
      <c r="H4" s="559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1"/>
      <c r="C5" s="562"/>
      <c r="D5" s="562"/>
      <c r="E5" s="561"/>
      <c r="F5" s="93"/>
      <c r="G5" s="93"/>
      <c r="H5" s="559"/>
      <c r="I5" s="193" t="s">
        <v>1608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1552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1553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1554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1555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1556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1557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1558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1559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1560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1561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1562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1563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1564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1565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1566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1567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1568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1569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1570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1571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1572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1573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1574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1575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1576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1577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1578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1579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1580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1581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1582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1583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1584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1585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1586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1587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1588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1589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1590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1591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1592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1593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1594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1595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1596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1597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1598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1599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1600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1601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1602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1603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5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5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1604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1605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1606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1607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6">
        <v>2740</v>
      </c>
      <c r="G1433" s="486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7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7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7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7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7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40" priority="138" operator="equal">
      <formula>0</formula>
    </cfRule>
  </conditionalFormatting>
  <conditionalFormatting sqref="B8:C135">
    <cfRule type="cellIs" dxfId="39" priority="51" operator="equal">
      <formula>0</formula>
    </cfRule>
  </conditionalFormatting>
  <conditionalFormatting sqref="B150:G1493">
    <cfRule type="cellIs" dxfId="38" priority="1" operator="equal">
      <formula>0</formula>
    </cfRule>
  </conditionalFormatting>
  <conditionalFormatting sqref="C143:G149">
    <cfRule type="cellIs" dxfId="37" priority="5" operator="equal">
      <formula>0</formula>
    </cfRule>
  </conditionalFormatting>
  <conditionalFormatting sqref="D9:G142">
    <cfRule type="cellIs" dxfId="36" priority="11" operator="equal">
      <formula>0</formula>
    </cfRule>
  </conditionalFormatting>
  <conditionalFormatting sqref="D1:IV5 A1:C7 D6:K6 H1455:IV1457 H1458:XFD1485 H1486:H1493 I1486:XFD1494 A1494:H1494 A1495:XFD65536">
    <cfRule type="cellIs" dxfId="35" priority="163" operator="equal">
      <formula>0</formula>
    </cfRule>
  </conditionalFormatting>
  <conditionalFormatting sqref="D7:IV8 C136:C142 B136:B149">
    <cfRule type="cellIs" dxfId="34" priority="62" operator="equal">
      <formula>0</formula>
    </cfRule>
  </conditionalFormatting>
  <conditionalFormatting sqref="H9:H1418">
    <cfRule type="cellIs" dxfId="33" priority="129" operator="equal">
      <formula>0</formula>
    </cfRule>
  </conditionalFormatting>
  <conditionalFormatting sqref="H1419:I1454">
    <cfRule type="cellIs" dxfId="32" priority="128" operator="equal">
      <formula>0</formula>
    </cfRule>
  </conditionalFormatting>
  <conditionalFormatting sqref="I108:I1418">
    <cfRule type="cellIs" dxfId="31" priority="125" operator="equal">
      <formula>0</formula>
    </cfRule>
  </conditionalFormatting>
  <conditionalFormatting sqref="J108:IV1454">
    <cfRule type="cellIs" dxfId="30" priority="139" operator="equal">
      <formula>0</formula>
    </cfRule>
  </conditionalFormatting>
  <conditionalFormatting sqref="M6:IV6">
    <cfRule type="cellIs" dxfId="29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K12" sqref="K12:L13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67" t="s">
        <v>1454</v>
      </c>
      <c r="C2" s="567"/>
      <c r="D2" s="567"/>
      <c r="E2" s="567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72" t="s">
        <v>1532</v>
      </c>
      <c r="C4" s="573"/>
      <c r="D4" s="573"/>
      <c r="E4" s="574"/>
      <c r="F4" s="441"/>
      <c r="G4" s="441"/>
      <c r="H4" s="442"/>
      <c r="I4" s="599" t="s">
        <v>1533</v>
      </c>
      <c r="J4" s="600"/>
      <c r="K4" s="600"/>
      <c r="L4" s="601"/>
    </row>
    <row r="5" spans="1:12" ht="34.5" customHeight="1">
      <c r="A5" s="204"/>
      <c r="B5" s="444" t="s">
        <v>1379</v>
      </c>
      <c r="C5" s="277" t="s">
        <v>9</v>
      </c>
      <c r="D5" s="568" t="str">
        <f>DATA!D14</f>
        <v>MITRATEL BERAHAN</v>
      </c>
      <c r="E5" s="569"/>
      <c r="F5" s="208"/>
      <c r="G5" s="208"/>
      <c r="I5" s="445" t="s">
        <v>1379</v>
      </c>
      <c r="J5" s="277" t="s">
        <v>9</v>
      </c>
      <c r="K5" s="602" t="str">
        <f>D5</f>
        <v>MITRATEL BERAHAN</v>
      </c>
      <c r="L5" s="603"/>
    </row>
    <row r="6" spans="1:12" ht="31.5" customHeight="1">
      <c r="A6" s="204"/>
      <c r="B6" s="444" t="s">
        <v>1529</v>
      </c>
      <c r="C6" s="277" t="s">
        <v>9</v>
      </c>
      <c r="D6" s="577">
        <f>DATA!D17*1000</f>
        <v>0</v>
      </c>
      <c r="E6" s="578"/>
      <c r="F6" s="208"/>
      <c r="G6" s="208"/>
      <c r="I6" s="445" t="s">
        <v>1530</v>
      </c>
      <c r="J6" s="277" t="s">
        <v>9</v>
      </c>
      <c r="K6" s="604">
        <f>DATA!D20*1000</f>
        <v>11000</v>
      </c>
      <c r="L6" s="605"/>
    </row>
    <row r="7" spans="1:12" ht="30.75" customHeight="1">
      <c r="A7" s="204"/>
      <c r="B7" s="444" t="s">
        <v>1441</v>
      </c>
      <c r="C7" s="277" t="s">
        <v>9</v>
      </c>
      <c r="D7" s="575">
        <f>DATA!D18</f>
        <v>1</v>
      </c>
      <c r="E7" s="576"/>
      <c r="F7" s="443" t="s">
        <v>1453</v>
      </c>
      <c r="I7" s="445" t="s">
        <v>1441</v>
      </c>
      <c r="J7" s="277" t="s">
        <v>9</v>
      </c>
      <c r="K7" s="606">
        <f>DATA!D21</f>
        <v>1</v>
      </c>
      <c r="L7" s="607"/>
    </row>
    <row r="8" spans="1:12" ht="51" customHeight="1">
      <c r="A8" s="204"/>
      <c r="B8" s="444" t="s">
        <v>1442</v>
      </c>
      <c r="C8" s="277" t="s">
        <v>9</v>
      </c>
      <c r="D8" s="575">
        <f>DATA!D19</f>
        <v>220</v>
      </c>
      <c r="E8" s="576"/>
      <c r="F8" s="443" t="s">
        <v>1453</v>
      </c>
      <c r="G8" s="438">
        <v>220</v>
      </c>
      <c r="I8" s="445" t="s">
        <v>1442</v>
      </c>
      <c r="J8" s="277" t="s">
        <v>9</v>
      </c>
      <c r="K8" s="606">
        <f>DATA!D22</f>
        <v>220</v>
      </c>
      <c r="L8" s="607"/>
    </row>
    <row r="9" spans="1:12" ht="30" customHeight="1" thickBot="1">
      <c r="A9" s="204"/>
      <c r="B9" s="450" t="s">
        <v>1541</v>
      </c>
      <c r="C9" s="440" t="s">
        <v>9</v>
      </c>
      <c r="D9" s="570">
        <f>IF(D7=1,D6/(380/3^0.5),(D6/(380*3^0.5)))</f>
        <v>0</v>
      </c>
      <c r="E9" s="571"/>
      <c r="F9" s="207"/>
      <c r="G9" s="439">
        <v>380</v>
      </c>
      <c r="I9" s="451" t="s">
        <v>1541</v>
      </c>
      <c r="J9" s="440" t="s">
        <v>9</v>
      </c>
      <c r="K9" s="608">
        <f>IF(K7=1,K6/(380/3^0.5),(K6/(380*3^0.5)))</f>
        <v>50.138312850678027</v>
      </c>
      <c r="L9" s="609"/>
    </row>
    <row r="10" spans="1:12" ht="24.75" customHeight="1">
      <c r="B10" s="452"/>
      <c r="C10" s="449"/>
      <c r="D10" s="453"/>
      <c r="E10" s="453"/>
      <c r="F10" s="207"/>
      <c r="G10" s="439"/>
      <c r="I10" s="452"/>
      <c r="J10" s="449"/>
      <c r="K10" s="453"/>
      <c r="L10" s="453"/>
    </row>
    <row r="11" spans="1:12" ht="16.5" thickBot="1">
      <c r="B11" s="446" t="s">
        <v>1542</v>
      </c>
      <c r="I11" s="446" t="s">
        <v>1536</v>
      </c>
    </row>
    <row r="12" spans="1:12" ht="34.5" customHeight="1">
      <c r="A12" s="204"/>
      <c r="B12" s="474" t="s">
        <v>1534</v>
      </c>
      <c r="C12" s="468" t="s">
        <v>9</v>
      </c>
      <c r="D12" s="579"/>
      <c r="E12" s="580"/>
      <c r="F12" s="208"/>
      <c r="G12" s="208"/>
      <c r="I12" s="467" t="s">
        <v>1534</v>
      </c>
      <c r="J12" s="468" t="s">
        <v>9</v>
      </c>
      <c r="K12" s="579"/>
      <c r="L12" s="580"/>
    </row>
    <row r="13" spans="1:12" ht="31.5" customHeight="1">
      <c r="A13" s="204"/>
      <c r="B13" s="475" t="s">
        <v>1380</v>
      </c>
      <c r="C13" s="455" t="s">
        <v>9</v>
      </c>
      <c r="D13" s="583"/>
      <c r="E13" s="584"/>
      <c r="F13" s="208"/>
      <c r="G13" s="208"/>
      <c r="I13" s="469" t="s">
        <v>1380</v>
      </c>
      <c r="J13" s="455" t="s">
        <v>9</v>
      </c>
      <c r="K13" s="583"/>
      <c r="L13" s="584"/>
    </row>
    <row r="14" spans="1:12" ht="30.75" customHeight="1">
      <c r="A14" s="204"/>
      <c r="B14" s="475" t="s">
        <v>1535</v>
      </c>
      <c r="C14" s="455" t="s">
        <v>9</v>
      </c>
      <c r="D14" s="591"/>
      <c r="E14" s="592"/>
      <c r="F14" s="443" t="s">
        <v>1453</v>
      </c>
      <c r="G14" s="447">
        <v>50</v>
      </c>
      <c r="I14" s="469" t="s">
        <v>1535</v>
      </c>
      <c r="J14" s="455" t="s">
        <v>9</v>
      </c>
      <c r="K14" s="593"/>
      <c r="L14" s="594"/>
    </row>
    <row r="15" spans="1:12" ht="57" customHeight="1">
      <c r="A15" s="204"/>
      <c r="B15" s="475" t="s">
        <v>1441</v>
      </c>
      <c r="C15" s="455" t="s">
        <v>9</v>
      </c>
      <c r="D15" s="461"/>
      <c r="E15" s="470"/>
      <c r="F15" s="443" t="s">
        <v>1453</v>
      </c>
      <c r="G15" s="447">
        <v>100</v>
      </c>
      <c r="I15" s="469" t="s">
        <v>1441</v>
      </c>
      <c r="J15" s="455" t="s">
        <v>9</v>
      </c>
      <c r="K15" s="461">
        <v>3</v>
      </c>
      <c r="L15" s="470"/>
    </row>
    <row r="16" spans="1:12" ht="44.25" customHeight="1">
      <c r="A16" s="204"/>
      <c r="B16" s="475" t="s">
        <v>1545</v>
      </c>
      <c r="C16" s="455"/>
      <c r="D16" s="595">
        <v>0</v>
      </c>
      <c r="E16" s="596"/>
      <c r="F16" s="443"/>
      <c r="G16" s="447">
        <v>160</v>
      </c>
      <c r="I16" s="469" t="s">
        <v>1537</v>
      </c>
      <c r="J16" s="455" t="s">
        <v>9</v>
      </c>
      <c r="K16" s="597">
        <f>K9</f>
        <v>50.138312850678027</v>
      </c>
      <c r="L16" s="598"/>
    </row>
    <row r="17" spans="1:12" ht="34.5" customHeight="1">
      <c r="A17" s="204"/>
      <c r="B17" s="475" t="s">
        <v>1538</v>
      </c>
      <c r="C17" s="455" t="s">
        <v>9</v>
      </c>
      <c r="D17" s="585">
        <f>IF(D15=1,D14/(20/3^0.5),(D14/(20*3^0.5)))</f>
        <v>0</v>
      </c>
      <c r="E17" s="586"/>
      <c r="F17" s="443" t="s">
        <v>1453</v>
      </c>
      <c r="G17" s="448">
        <v>200</v>
      </c>
      <c r="I17" s="469" t="s">
        <v>1538</v>
      </c>
      <c r="J17" s="455" t="s">
        <v>9</v>
      </c>
      <c r="K17" s="589">
        <f>IF(K15=1,K14/(20/3^0.5),(K14/(20*3^0.5)))</f>
        <v>0</v>
      </c>
      <c r="L17" s="590"/>
    </row>
    <row r="18" spans="1:12" ht="34.5" customHeight="1">
      <c r="A18" s="204"/>
      <c r="B18" s="475" t="s">
        <v>1539</v>
      </c>
      <c r="C18" s="455" t="s">
        <v>9</v>
      </c>
      <c r="D18" s="585">
        <f>IF(D15=1,D14/(380/3^0.5),(D14/(380*3^0.5)))*1000</f>
        <v>0</v>
      </c>
      <c r="E18" s="586"/>
      <c r="F18" s="443" t="s">
        <v>1453</v>
      </c>
      <c r="G18" s="448">
        <v>250</v>
      </c>
      <c r="I18" s="469" t="s">
        <v>1539</v>
      </c>
      <c r="J18" s="455" t="s">
        <v>9</v>
      </c>
      <c r="K18" s="589">
        <f>IF(K15=1,K14/(380/3^0.5),(K14/(380*3^0.5)))*1000</f>
        <v>0</v>
      </c>
      <c r="L18" s="590"/>
    </row>
    <row r="19" spans="1:12" ht="30" customHeight="1">
      <c r="A19" s="204"/>
      <c r="B19" s="476" t="s">
        <v>1531</v>
      </c>
      <c r="C19" s="454" t="s">
        <v>9</v>
      </c>
      <c r="D19" s="585">
        <f>IF(D15=1,D14/(380/3^0.5),(D14/(380*3^0.5)))</f>
        <v>0</v>
      </c>
      <c r="E19" s="586"/>
      <c r="F19" s="207"/>
      <c r="G19" s="439"/>
      <c r="I19" s="471" t="s">
        <v>1531</v>
      </c>
      <c r="J19" s="454" t="s">
        <v>9</v>
      </c>
      <c r="K19" s="589">
        <f>IF(K15=1,K14/(380/3^0.5),(K14/(380*3^0.5)))</f>
        <v>0</v>
      </c>
      <c r="L19" s="590"/>
    </row>
    <row r="20" spans="1:12" ht="30" customHeight="1" thickBot="1">
      <c r="A20" s="204"/>
      <c r="B20" s="477" t="s">
        <v>1540</v>
      </c>
      <c r="C20" s="473" t="s">
        <v>9</v>
      </c>
      <c r="D20" s="581" t="e">
        <f>D16/D18</f>
        <v>#DIV/0!</v>
      </c>
      <c r="E20" s="582"/>
      <c r="F20" s="207"/>
      <c r="G20" s="439"/>
      <c r="I20" s="472" t="s">
        <v>1531</v>
      </c>
      <c r="J20" s="473" t="s">
        <v>9</v>
      </c>
      <c r="K20" s="587" t="e">
        <f>K16/K18</f>
        <v>#DIV/0!</v>
      </c>
      <c r="L20" s="588"/>
    </row>
    <row r="21" spans="1:12" ht="9.75" customHeight="1">
      <c r="A21" s="204"/>
      <c r="B21" s="462" t="s">
        <v>1540</v>
      </c>
      <c r="C21" s="463" t="s">
        <v>9</v>
      </c>
      <c r="D21" s="566">
        <v>1</v>
      </c>
      <c r="E21" s="566"/>
      <c r="F21" s="464"/>
      <c r="G21" s="465"/>
      <c r="H21" s="466"/>
      <c r="I21" s="462" t="s">
        <v>1531</v>
      </c>
      <c r="J21" s="463" t="s">
        <v>9</v>
      </c>
      <c r="K21" s="566">
        <v>1</v>
      </c>
      <c r="L21" s="566"/>
    </row>
    <row r="22" spans="1:12" ht="6.75" customHeight="1">
      <c r="B22" s="452"/>
      <c r="C22" s="449"/>
      <c r="D22" s="460"/>
      <c r="E22" s="460"/>
      <c r="F22" s="207"/>
      <c r="G22" s="439"/>
      <c r="J22" s="449"/>
      <c r="K22" s="460"/>
      <c r="L22" s="460"/>
    </row>
    <row r="23" spans="1:12" ht="15.75" thickBot="1"/>
    <row r="24" spans="1:12" ht="200.25" customHeight="1" thickBot="1">
      <c r="B24" s="563"/>
      <c r="C24" s="564"/>
      <c r="D24" s="564"/>
      <c r="E24" s="565"/>
      <c r="I24" s="563"/>
      <c r="J24" s="564"/>
      <c r="K24" s="564"/>
      <c r="L24" s="565"/>
    </row>
    <row r="26" spans="1:12">
      <c r="D26" s="457"/>
    </row>
    <row r="27" spans="1:12">
      <c r="D27" s="458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28" priority="5" stopIfTrue="1" operator="greaterThan">
      <formula>0.89</formula>
    </cfRule>
    <cfRule type="cellIs" dxfId="27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8" zoomScaleNormal="100" workbookViewId="0">
      <selection activeCell="M14" sqref="M14"/>
    </sheetView>
  </sheetViews>
  <sheetFormatPr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10"/>
      <c r="C1" s="610"/>
      <c r="D1" s="610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89">
        <v>1084.1250458865841</v>
      </c>
      <c r="F5" s="484" t="s">
        <v>1611</v>
      </c>
      <c r="K5" s="483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84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11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10659000</v>
      </c>
    </row>
    <row r="10" spans="2:11" ht="20.100000000000001" customHeight="1">
      <c r="B10" s="291" t="s">
        <v>1446</v>
      </c>
      <c r="C10" s="292" t="s">
        <v>9</v>
      </c>
      <c r="D10" s="298">
        <f ca="1">RAB!K156</f>
        <v>49098759.278000005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981975.18556000013</v>
      </c>
    </row>
    <row r="12" spans="2:11" ht="9" customHeight="1">
      <c r="B12" s="611"/>
      <c r="C12" s="611"/>
      <c r="D12" s="611"/>
    </row>
    <row r="13" spans="2:11" ht="15.75" customHeight="1">
      <c r="B13" s="299"/>
      <c r="C13" s="299"/>
      <c r="D13" s="299"/>
    </row>
    <row r="14" spans="2:11" ht="33.75" customHeight="1">
      <c r="B14" s="414" t="s">
        <v>1379</v>
      </c>
      <c r="C14" s="415" t="s">
        <v>9</v>
      </c>
      <c r="D14" s="420" t="s">
        <v>1636</v>
      </c>
      <c r="E14" s="300" t="s">
        <v>1453</v>
      </c>
    </row>
    <row r="15" spans="2:11" ht="20.100000000000001" customHeight="1">
      <c r="B15" s="416" t="s">
        <v>1447</v>
      </c>
      <c r="C15" s="417" t="s">
        <v>9</v>
      </c>
      <c r="D15" s="421" t="s">
        <v>1637</v>
      </c>
      <c r="E15" s="300" t="s">
        <v>1453</v>
      </c>
    </row>
    <row r="16" spans="2:11" ht="20.100000000000001" customHeight="1">
      <c r="B16" s="416" t="s">
        <v>1448</v>
      </c>
      <c r="C16" s="417" t="s">
        <v>9</v>
      </c>
      <c r="D16" s="421" t="s">
        <v>1451</v>
      </c>
      <c r="E16" s="300" t="s">
        <v>1453</v>
      </c>
    </row>
    <row r="17" spans="2:5" ht="20.100000000000001" customHeight="1">
      <c r="B17" s="416" t="s">
        <v>1449</v>
      </c>
      <c r="C17" s="417" t="s">
        <v>9</v>
      </c>
      <c r="D17" s="422">
        <v>0</v>
      </c>
      <c r="E17" s="300" t="s">
        <v>1453</v>
      </c>
    </row>
    <row r="18" spans="2:5" ht="20.100000000000001" hidden="1" customHeight="1">
      <c r="B18" s="416" t="s">
        <v>1543</v>
      </c>
      <c r="C18" s="417"/>
      <c r="D18" s="422">
        <f>IF((D17&lt;=11),1,3)</f>
        <v>1</v>
      </c>
      <c r="E18" s="300"/>
    </row>
    <row r="19" spans="2:5" ht="20.100000000000001" hidden="1" customHeight="1">
      <c r="B19" s="416" t="s">
        <v>1544</v>
      </c>
      <c r="C19" s="417"/>
      <c r="D19" s="422">
        <f>IF((D17&lt;=11),220,380)</f>
        <v>220</v>
      </c>
      <c r="E19" s="300"/>
    </row>
    <row r="20" spans="2:5" ht="20.100000000000001" customHeight="1">
      <c r="B20" s="416" t="s">
        <v>1450</v>
      </c>
      <c r="C20" s="417" t="s">
        <v>9</v>
      </c>
      <c r="D20" s="422">
        <v>11</v>
      </c>
      <c r="E20" s="300" t="s">
        <v>1453</v>
      </c>
    </row>
    <row r="21" spans="2:5" ht="20.100000000000001" hidden="1" customHeight="1">
      <c r="B21" s="416" t="s">
        <v>1543</v>
      </c>
      <c r="C21" s="417"/>
      <c r="D21" s="422">
        <f>IF((D20&lt;=11),1,3)</f>
        <v>1</v>
      </c>
      <c r="E21" s="300"/>
    </row>
    <row r="22" spans="2:5" ht="20.100000000000001" hidden="1" customHeight="1">
      <c r="B22" s="416" t="s">
        <v>1544</v>
      </c>
      <c r="C22" s="417"/>
      <c r="D22" s="422">
        <f>IF((D20&lt;=11),220,380)</f>
        <v>220</v>
      </c>
      <c r="E22" s="300"/>
    </row>
    <row r="23" spans="2:5" ht="20.100000000000001" customHeight="1">
      <c r="B23" s="416" t="s">
        <v>1353</v>
      </c>
      <c r="C23" s="417" t="s">
        <v>9</v>
      </c>
      <c r="D23" s="421">
        <v>1444.7</v>
      </c>
      <c r="E23" s="300" t="s">
        <v>1453</v>
      </c>
    </row>
    <row r="24" spans="2:5" ht="20.100000000000001" customHeight="1">
      <c r="B24" s="416" t="s">
        <v>1354</v>
      </c>
      <c r="C24" s="417" t="s">
        <v>9</v>
      </c>
      <c r="D24" s="421">
        <v>1444.7</v>
      </c>
      <c r="E24" s="300" t="s">
        <v>1453</v>
      </c>
    </row>
    <row r="25" spans="2:5" ht="20.100000000000001" customHeight="1">
      <c r="B25" s="416" t="s">
        <v>1452</v>
      </c>
      <c r="C25" s="417" t="s">
        <v>9</v>
      </c>
      <c r="D25" s="422">
        <v>969</v>
      </c>
      <c r="E25" s="300" t="s">
        <v>1453</v>
      </c>
    </row>
    <row r="26" spans="2:5" ht="20.100000000000001" customHeight="1">
      <c r="B26" s="418" t="s">
        <v>1355</v>
      </c>
      <c r="C26" s="419" t="s">
        <v>9</v>
      </c>
      <c r="D26" s="423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F1" zoomScale="85" zoomScaleNormal="85" workbookViewId="0">
      <pane ySplit="6" topLeftCell="A7" activePane="bottomLeft" state="frozen"/>
      <selection activeCell="H1093" sqref="H1093"/>
      <selection pane="bottomLeft" activeCell="N16" sqref="N16"/>
    </sheetView>
  </sheetViews>
  <sheetFormatPr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12" t="s">
        <v>1357</v>
      </c>
      <c r="C3" s="612"/>
      <c r="D3" s="612"/>
      <c r="E3" s="612"/>
      <c r="F3" s="305" t="str">
        <f>DATA!D14</f>
        <v>MITRATEL BERAHAN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13" t="s">
        <v>1349</v>
      </c>
      <c r="C5" s="613" t="s">
        <v>1358</v>
      </c>
      <c r="D5" s="614" t="s">
        <v>1359</v>
      </c>
      <c r="E5" s="614" t="s">
        <v>1360</v>
      </c>
      <c r="F5" s="613" t="s">
        <v>1361</v>
      </c>
      <c r="G5" s="613"/>
      <c r="H5" s="613"/>
      <c r="I5" s="613"/>
      <c r="J5" s="613"/>
      <c r="K5" s="613" t="s">
        <v>1362</v>
      </c>
      <c r="L5" s="613"/>
      <c r="M5" s="307"/>
      <c r="N5" s="617" t="s">
        <v>1363</v>
      </c>
      <c r="O5" s="614" t="s">
        <v>1364</v>
      </c>
      <c r="P5" s="614" t="s">
        <v>1365</v>
      </c>
      <c r="Q5" s="614" t="s">
        <v>1366</v>
      </c>
      <c r="R5" s="308"/>
      <c r="S5" s="309"/>
      <c r="T5" s="615" t="s">
        <v>1367</v>
      </c>
      <c r="U5" s="310"/>
    </row>
    <row r="6" spans="1:21" ht="20.100000000000001" customHeight="1">
      <c r="B6" s="613"/>
      <c r="C6" s="613"/>
      <c r="D6" s="613"/>
      <c r="E6" s="613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18"/>
      <c r="O6" s="613"/>
      <c r="P6" s="613"/>
      <c r="Q6" s="613"/>
      <c r="R6" s="308"/>
      <c r="S6" s="309"/>
      <c r="T6" s="613"/>
      <c r="U6" s="312"/>
    </row>
    <row r="7" spans="1:21" ht="20.100000000000001" customHeight="1">
      <c r="A7" s="313">
        <v>0</v>
      </c>
      <c r="B7" s="314">
        <v>2023</v>
      </c>
      <c r="C7" s="478">
        <f>DATA!D8*DATA!D26*8</f>
        <v>3520</v>
      </c>
      <c r="D7" s="316">
        <f>C7*4/24</f>
        <v>586.66666666666663</v>
      </c>
      <c r="E7" s="316">
        <f>C7-D7</f>
        <v>2933.3333333333335</v>
      </c>
      <c r="F7" s="317">
        <f ca="1">DATA!D10/1000000</f>
        <v>49.098759278000003</v>
      </c>
      <c r="G7" s="318">
        <f ca="1">DATA!$D$11/1000000</f>
        <v>0.98197518556000007</v>
      </c>
      <c r="H7" s="318">
        <f>C7*DATA!$D$5/1000000</f>
        <v>3.816120161520776</v>
      </c>
      <c r="I7" s="318">
        <f>(C7*DATA!$D$5*DATA!$D$7)/1000000</f>
        <v>8.5862703634217455E-2</v>
      </c>
      <c r="J7" s="316">
        <f ca="1">SUM(F7:I7)</f>
        <v>53.982717328715005</v>
      </c>
      <c r="K7" s="319">
        <f>DATA!D9/1000000</f>
        <v>10.659000000000001</v>
      </c>
      <c r="L7" s="316">
        <f>((D7*DATA!$D$23)/1000000)+((E7*DATA!$D$24)/1000000)</f>
        <v>5.0853440000000001</v>
      </c>
      <c r="M7" s="316">
        <f>K7+L7</f>
        <v>15.744344000000002</v>
      </c>
      <c r="N7" s="316">
        <f ca="1">M7-J7</f>
        <v>-38.238373328714999</v>
      </c>
      <c r="O7" s="314">
        <v>1</v>
      </c>
      <c r="P7" s="316">
        <f ca="1">O7*N7</f>
        <v>-38.238373328714999</v>
      </c>
      <c r="Q7" s="316">
        <f ca="1">P7</f>
        <v>-38.238373328714999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5280</v>
      </c>
      <c r="D8" s="316">
        <f>C8*4/24</f>
        <v>880</v>
      </c>
      <c r="E8" s="316">
        <f t="shared" ref="E8:E32" si="0">C8-D8</f>
        <v>4400</v>
      </c>
      <c r="F8" s="314"/>
      <c r="G8" s="318">
        <f ca="1">DATA!$D$11/1000000</f>
        <v>0.98197518556000007</v>
      </c>
      <c r="H8" s="318">
        <f>C8*DATA!$D$5/1000000</f>
        <v>5.7241802422811636</v>
      </c>
      <c r="I8" s="318">
        <f>(C8*DATA!$D$5*DATA!$D$7)/1000000</f>
        <v>0.12879405545132619</v>
      </c>
      <c r="J8" s="316">
        <f t="shared" ref="J8:J32" ca="1" si="1">SUM(F8:I8)</f>
        <v>6.8349494832924904</v>
      </c>
      <c r="K8" s="321"/>
      <c r="L8" s="316">
        <f>((D8*DATA!$D$23)/1000000)+((E8*DATA!$D$24)/1000000)</f>
        <v>7.6280159999999997</v>
      </c>
      <c r="M8" s="316">
        <f t="shared" ref="M8:M32" si="2">K8+L8</f>
        <v>7.6280159999999997</v>
      </c>
      <c r="N8" s="316">
        <f ca="1">M8-J8</f>
        <v>0.79306651670750927</v>
      </c>
      <c r="O8" s="315">
        <f>1/(1+'[93]Asumsi I'!$C$3)^(KKF!A8)</f>
        <v>0.89285714285714279</v>
      </c>
      <c r="P8" s="316">
        <f ca="1">O8*N8</f>
        <v>0.70809510420313326</v>
      </c>
      <c r="Q8" s="316">
        <f ca="1">Q7+P8</f>
        <v>-37.530278224511868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5280</v>
      </c>
      <c r="D9" s="316">
        <f t="shared" ref="D9:D32" si="5">C9*4/24</f>
        <v>880</v>
      </c>
      <c r="E9" s="316">
        <f t="shared" si="0"/>
        <v>4400</v>
      </c>
      <c r="F9" s="314"/>
      <c r="G9" s="318">
        <f ca="1">DATA!$D$11/1000000</f>
        <v>0.98197518556000007</v>
      </c>
      <c r="H9" s="318">
        <f>C9*DATA!$D$5/1000000</f>
        <v>5.7241802422811636</v>
      </c>
      <c r="I9" s="318">
        <f>(C9*DATA!$D$5*DATA!$D$7)/1000000</f>
        <v>0.12879405545132619</v>
      </c>
      <c r="J9" s="316">
        <f t="shared" ca="1" si="1"/>
        <v>6.8349494832924904</v>
      </c>
      <c r="K9" s="316"/>
      <c r="L9" s="316">
        <f>((D9*DATA!$D$23)/1000000)+((E9*DATA!$D$24)/1000000)</f>
        <v>7.6280159999999997</v>
      </c>
      <c r="M9" s="316">
        <f t="shared" si="2"/>
        <v>7.6280159999999997</v>
      </c>
      <c r="N9" s="316">
        <f t="shared" ref="N9:N32" ca="1" si="6">M9-J9</f>
        <v>0.79306651670750927</v>
      </c>
      <c r="O9" s="322">
        <f>1/(1+'[93]Asumsi I'!$C$3)^(KKF!A9)</f>
        <v>0.79719387755102034</v>
      </c>
      <c r="P9" s="316">
        <f t="shared" ref="P9:P32" ca="1" si="7">O9*N9</f>
        <v>0.63222777160994037</v>
      </c>
      <c r="Q9" s="316">
        <f ca="1">Q8+P9</f>
        <v>-36.898050452901927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5280</v>
      </c>
      <c r="D10" s="316">
        <f t="shared" si="5"/>
        <v>880</v>
      </c>
      <c r="E10" s="316">
        <f t="shared" si="0"/>
        <v>4400</v>
      </c>
      <c r="F10" s="314"/>
      <c r="G10" s="318">
        <f ca="1">DATA!$D$11/1000000</f>
        <v>0.98197518556000007</v>
      </c>
      <c r="H10" s="318">
        <f>C10*DATA!$D$5/1000000</f>
        <v>5.7241802422811636</v>
      </c>
      <c r="I10" s="318">
        <f>(C10*DATA!$D$5*DATA!$D$7)/1000000</f>
        <v>0.12879405545132619</v>
      </c>
      <c r="J10" s="316">
        <f t="shared" ca="1" si="1"/>
        <v>6.8349494832924904</v>
      </c>
      <c r="K10" s="314"/>
      <c r="L10" s="316">
        <f>((D10*DATA!$D$23)/1000000)+((E10*DATA!$D$24)/1000000)</f>
        <v>7.6280159999999997</v>
      </c>
      <c r="M10" s="316">
        <f t="shared" si="2"/>
        <v>7.6280159999999997</v>
      </c>
      <c r="N10" s="316">
        <f t="shared" ca="1" si="6"/>
        <v>0.79306651670750927</v>
      </c>
      <c r="O10" s="315">
        <f>1/(1+'[93]Asumsi I'!$C$3)^(KKF!A10)</f>
        <v>0.71178024781341087</v>
      </c>
      <c r="P10" s="316">
        <f t="shared" ca="1" si="7"/>
        <v>0.56448908179458945</v>
      </c>
      <c r="Q10" s="316">
        <f t="shared" ref="Q10:Q30" ca="1" si="9">Q9+P10</f>
        <v>-36.333561371107336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5280</v>
      </c>
      <c r="D11" s="316">
        <f t="shared" si="5"/>
        <v>880</v>
      </c>
      <c r="E11" s="316">
        <f t="shared" si="0"/>
        <v>4400</v>
      </c>
      <c r="F11" s="314"/>
      <c r="G11" s="318">
        <f ca="1">DATA!$D$11/1000000</f>
        <v>0.98197518556000007</v>
      </c>
      <c r="H11" s="318">
        <f>C11*DATA!$D$5/1000000</f>
        <v>5.7241802422811636</v>
      </c>
      <c r="I11" s="318">
        <f>(C11*DATA!$D$5*DATA!$D$7)/1000000</f>
        <v>0.12879405545132619</v>
      </c>
      <c r="J11" s="316">
        <f t="shared" ca="1" si="1"/>
        <v>6.8349494832924904</v>
      </c>
      <c r="K11" s="314"/>
      <c r="L11" s="316">
        <f>((D11*DATA!$D$23)/1000000)+((E11*DATA!$D$24)/1000000)</f>
        <v>7.6280159999999997</v>
      </c>
      <c r="M11" s="316">
        <f t="shared" si="2"/>
        <v>7.6280159999999997</v>
      </c>
      <c r="N11" s="316">
        <f t="shared" ca="1" si="6"/>
        <v>0.79306651670750927</v>
      </c>
      <c r="O11" s="315">
        <f>1/(1+'[93]Asumsi I'!$C$3)^(KKF!A11)</f>
        <v>0.63551807840483121</v>
      </c>
      <c r="P11" s="316">
        <f t="shared" ca="1" si="7"/>
        <v>0.50400810874516921</v>
      </c>
      <c r="Q11" s="316">
        <f t="shared" ca="1" si="9"/>
        <v>-35.829553262362168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5280</v>
      </c>
      <c r="D12" s="316">
        <f t="shared" si="5"/>
        <v>880</v>
      </c>
      <c r="E12" s="316">
        <f t="shared" si="0"/>
        <v>4400</v>
      </c>
      <c r="F12" s="314"/>
      <c r="G12" s="318">
        <f ca="1">DATA!$D$11/1000000</f>
        <v>0.98197518556000007</v>
      </c>
      <c r="H12" s="318">
        <f>C12*DATA!$D$5/1000000</f>
        <v>5.7241802422811636</v>
      </c>
      <c r="I12" s="318">
        <f>(C12*DATA!$D$5*DATA!$D$7)/1000000</f>
        <v>0.12879405545132619</v>
      </c>
      <c r="J12" s="316">
        <f t="shared" ca="1" si="1"/>
        <v>6.8349494832924904</v>
      </c>
      <c r="K12" s="314"/>
      <c r="L12" s="316">
        <f>((D12*DATA!$D$23)/1000000)+((E12*DATA!$D$24)/1000000)</f>
        <v>7.6280159999999997</v>
      </c>
      <c r="M12" s="316">
        <f t="shared" si="2"/>
        <v>7.6280159999999997</v>
      </c>
      <c r="N12" s="316">
        <f t="shared" ca="1" si="6"/>
        <v>0.79306651670750927</v>
      </c>
      <c r="O12" s="315">
        <f>1/(1+'[93]Asumsi I'!$C$3)^(KKF!A12)</f>
        <v>0.56742685571859919</v>
      </c>
      <c r="P12" s="316">
        <f t="shared" ca="1" si="7"/>
        <v>0.45000723995104391</v>
      </c>
      <c r="Q12" s="316">
        <f t="shared" ca="1" si="9"/>
        <v>-35.379546022411127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5280</v>
      </c>
      <c r="D13" s="316">
        <f t="shared" si="5"/>
        <v>880</v>
      </c>
      <c r="E13" s="316">
        <f t="shared" si="0"/>
        <v>4400</v>
      </c>
      <c r="F13" s="314"/>
      <c r="G13" s="318">
        <f ca="1">DATA!$D$11/1000000</f>
        <v>0.98197518556000007</v>
      </c>
      <c r="H13" s="318">
        <f>C13*DATA!$D$5/1000000</f>
        <v>5.7241802422811636</v>
      </c>
      <c r="I13" s="318">
        <f>(C13*DATA!$D$5*DATA!$D$7)/1000000</f>
        <v>0.12879405545132619</v>
      </c>
      <c r="J13" s="316">
        <f t="shared" ca="1" si="1"/>
        <v>6.8349494832924904</v>
      </c>
      <c r="K13" s="314"/>
      <c r="L13" s="316">
        <f>((D13*DATA!$D$23)/1000000)+((E13*DATA!$D$24)/1000000)</f>
        <v>7.6280159999999997</v>
      </c>
      <c r="M13" s="316">
        <f t="shared" si="2"/>
        <v>7.6280159999999997</v>
      </c>
      <c r="N13" s="316">
        <f t="shared" ca="1" si="6"/>
        <v>0.79306651670750927</v>
      </c>
      <c r="O13" s="315">
        <f>1/(1+'[93]Asumsi I'!$C$3)^(KKF!A13)</f>
        <v>0.50663112117732068</v>
      </c>
      <c r="P13" s="316">
        <f t="shared" ca="1" si="7"/>
        <v>0.40179217852771776</v>
      </c>
      <c r="Q13" s="316">
        <f t="shared" ca="1" si="9"/>
        <v>-34.977753843883406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5280</v>
      </c>
      <c r="D14" s="316">
        <f t="shared" si="5"/>
        <v>880</v>
      </c>
      <c r="E14" s="316">
        <f t="shared" si="0"/>
        <v>4400</v>
      </c>
      <c r="F14" s="314"/>
      <c r="G14" s="318">
        <f ca="1">DATA!$D$11/1000000</f>
        <v>0.98197518556000007</v>
      </c>
      <c r="H14" s="318">
        <f>C14*DATA!$D$5/1000000</f>
        <v>5.7241802422811636</v>
      </c>
      <c r="I14" s="318">
        <f>(C14*DATA!$D$5*DATA!$D$7)/1000000</f>
        <v>0.12879405545132619</v>
      </c>
      <c r="J14" s="316">
        <f t="shared" ca="1" si="1"/>
        <v>6.8349494832924904</v>
      </c>
      <c r="K14" s="314"/>
      <c r="L14" s="316">
        <f>((D14*DATA!$D$23)/1000000)+((E14*DATA!$D$24)/1000000)</f>
        <v>7.6280159999999997</v>
      </c>
      <c r="M14" s="316">
        <f t="shared" si="2"/>
        <v>7.6280159999999997</v>
      </c>
      <c r="N14" s="316">
        <f t="shared" ca="1" si="6"/>
        <v>0.79306651670750927</v>
      </c>
      <c r="O14" s="315">
        <f>1/(1+'[93]Asumsi I'!$C$3)^(KKF!A14)</f>
        <v>0.45234921533689343</v>
      </c>
      <c r="P14" s="316">
        <f t="shared" ca="1" si="7"/>
        <v>0.3587430165426051</v>
      </c>
      <c r="Q14" s="316">
        <f t="shared" ca="1" si="9"/>
        <v>-34.619010827340801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5280</v>
      </c>
      <c r="D15" s="316">
        <f t="shared" si="5"/>
        <v>880</v>
      </c>
      <c r="E15" s="316">
        <f t="shared" si="0"/>
        <v>4400</v>
      </c>
      <c r="F15" s="314"/>
      <c r="G15" s="318">
        <f ca="1">DATA!$D$11/1000000</f>
        <v>0.98197518556000007</v>
      </c>
      <c r="H15" s="318">
        <f>C15*DATA!$D$5/1000000</f>
        <v>5.7241802422811636</v>
      </c>
      <c r="I15" s="318">
        <f>(C15*DATA!$D$5*DATA!$D$7)/1000000</f>
        <v>0.12879405545132619</v>
      </c>
      <c r="J15" s="316">
        <f t="shared" ca="1" si="1"/>
        <v>6.8349494832924904</v>
      </c>
      <c r="K15" s="314"/>
      <c r="L15" s="316">
        <f>((D15*DATA!$D$23)/1000000)+((E15*DATA!$D$24)/1000000)</f>
        <v>7.6280159999999997</v>
      </c>
      <c r="M15" s="316">
        <f t="shared" si="2"/>
        <v>7.6280159999999997</v>
      </c>
      <c r="N15" s="316">
        <f t="shared" ca="1" si="6"/>
        <v>0.79306651670750927</v>
      </c>
      <c r="O15" s="315">
        <f>1/(1+'[93]Asumsi I'!$C$3)^(KKF!A15)</f>
        <v>0.4038832279793691</v>
      </c>
      <c r="P15" s="316">
        <f t="shared" ca="1" si="7"/>
        <v>0.32030626477018309</v>
      </c>
      <c r="Q15" s="316">
        <f t="shared" ca="1" si="9"/>
        <v>-34.29870456257062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5280</v>
      </c>
      <c r="D16" s="316">
        <f t="shared" si="5"/>
        <v>880</v>
      </c>
      <c r="E16" s="316">
        <f t="shared" si="0"/>
        <v>4400</v>
      </c>
      <c r="F16" s="314"/>
      <c r="G16" s="318">
        <f ca="1">DATA!$D$11/1000000</f>
        <v>0.98197518556000007</v>
      </c>
      <c r="H16" s="318">
        <f>C16*DATA!$D$5/1000000</f>
        <v>5.7241802422811636</v>
      </c>
      <c r="I16" s="318">
        <f>(C16*DATA!$D$5*DATA!$D$7)/1000000</f>
        <v>0.12879405545132619</v>
      </c>
      <c r="J16" s="316">
        <f t="shared" ca="1" si="1"/>
        <v>6.8349494832924904</v>
      </c>
      <c r="K16" s="314"/>
      <c r="L16" s="316">
        <f>((D16*DATA!$D$23)/1000000)+((E16*DATA!$D$24)/1000000)</f>
        <v>7.6280159999999997</v>
      </c>
      <c r="M16" s="316">
        <f t="shared" si="2"/>
        <v>7.6280159999999997</v>
      </c>
      <c r="N16" s="316">
        <f t="shared" ca="1" si="6"/>
        <v>0.79306651670750927</v>
      </c>
      <c r="O16" s="315">
        <f>1/(1+'[93]Asumsi I'!$C$3)^(KKF!A16)</f>
        <v>0.36061002498157957</v>
      </c>
      <c r="P16" s="316">
        <f t="shared" ca="1" si="7"/>
        <v>0.28598773640194919</v>
      </c>
      <c r="Q16" s="316">
        <f t="shared" ca="1" si="9"/>
        <v>-34.012716826168671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5280</v>
      </c>
      <c r="D17" s="316">
        <f t="shared" si="5"/>
        <v>880</v>
      </c>
      <c r="E17" s="316">
        <f t="shared" si="0"/>
        <v>4400</v>
      </c>
      <c r="F17" s="314"/>
      <c r="G17" s="318">
        <f ca="1">DATA!$D$11/1000000</f>
        <v>0.98197518556000007</v>
      </c>
      <c r="H17" s="318">
        <f>C17*DATA!$D$5/1000000</f>
        <v>5.7241802422811636</v>
      </c>
      <c r="I17" s="318">
        <f>(C17*DATA!$D$5*DATA!$D$7)/1000000</f>
        <v>0.12879405545132619</v>
      </c>
      <c r="J17" s="316">
        <f t="shared" ca="1" si="1"/>
        <v>6.8349494832924904</v>
      </c>
      <c r="K17" s="314"/>
      <c r="L17" s="316">
        <f>((D17*DATA!$D$23)/1000000)+((E17*DATA!$D$24)/1000000)</f>
        <v>7.6280159999999997</v>
      </c>
      <c r="M17" s="316">
        <f t="shared" si="2"/>
        <v>7.6280159999999997</v>
      </c>
      <c r="N17" s="316">
        <f t="shared" ca="1" si="6"/>
        <v>0.79306651670750927</v>
      </c>
      <c r="O17" s="315">
        <f>1/(1+'[93]Asumsi I'!$C$3)^(KKF!A17)</f>
        <v>0.32197323659069599</v>
      </c>
      <c r="P17" s="316">
        <f t="shared" ca="1" si="7"/>
        <v>0.25534619321602603</v>
      </c>
      <c r="Q17" s="316">
        <f t="shared" ca="1" si="9"/>
        <v>-33.757370632952643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5280</v>
      </c>
      <c r="D18" s="316">
        <f t="shared" si="5"/>
        <v>880</v>
      </c>
      <c r="E18" s="316">
        <f t="shared" si="0"/>
        <v>4400</v>
      </c>
      <c r="F18" s="314"/>
      <c r="G18" s="318">
        <f ca="1">DATA!$D$11/1000000</f>
        <v>0.98197518556000007</v>
      </c>
      <c r="H18" s="318">
        <f>C18*DATA!$D$5/1000000</f>
        <v>5.7241802422811636</v>
      </c>
      <c r="I18" s="318">
        <f>(C18*DATA!$D$5*DATA!$D$7)/1000000</f>
        <v>0.12879405545132619</v>
      </c>
      <c r="J18" s="316">
        <f t="shared" ca="1" si="1"/>
        <v>6.8349494832924904</v>
      </c>
      <c r="K18" s="314"/>
      <c r="L18" s="316">
        <f>((D18*DATA!$D$23)/1000000)+((E18*DATA!$D$24)/1000000)</f>
        <v>7.6280159999999997</v>
      </c>
      <c r="M18" s="316">
        <f t="shared" si="2"/>
        <v>7.6280159999999997</v>
      </c>
      <c r="N18" s="316">
        <f t="shared" ca="1" si="6"/>
        <v>0.79306651670750927</v>
      </c>
      <c r="O18" s="315">
        <f>1/(1+'[93]Asumsi I'!$C$3)^(KKF!A18)</f>
        <v>0.28747610409883567</v>
      </c>
      <c r="P18" s="316">
        <f t="shared" ca="1" si="7"/>
        <v>0.22798767251430893</v>
      </c>
      <c r="Q18" s="316">
        <f t="shared" ca="1" si="9"/>
        <v>-33.529382960438333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5280</v>
      </c>
      <c r="D19" s="316">
        <f t="shared" si="5"/>
        <v>880</v>
      </c>
      <c r="E19" s="316">
        <f t="shared" si="0"/>
        <v>4400</v>
      </c>
      <c r="F19" s="314"/>
      <c r="G19" s="318">
        <f ca="1">DATA!$D$11/1000000</f>
        <v>0.98197518556000007</v>
      </c>
      <c r="H19" s="318">
        <f>C19*DATA!$D$5/1000000</f>
        <v>5.7241802422811636</v>
      </c>
      <c r="I19" s="318">
        <f>(C19*DATA!$D$5*DATA!$D$7)/1000000</f>
        <v>0.12879405545132619</v>
      </c>
      <c r="J19" s="316">
        <f t="shared" ca="1" si="1"/>
        <v>6.8349494832924904</v>
      </c>
      <c r="K19" s="314"/>
      <c r="L19" s="316">
        <f>((D19*DATA!$D$23)/1000000)+((E19*DATA!$D$24)/1000000)</f>
        <v>7.6280159999999997</v>
      </c>
      <c r="M19" s="316">
        <f t="shared" si="2"/>
        <v>7.6280159999999997</v>
      </c>
      <c r="N19" s="316">
        <f t="shared" ca="1" si="6"/>
        <v>0.79306651670750927</v>
      </c>
      <c r="O19" s="315">
        <f>1/(1+'[93]Asumsi I'!$C$3)^(KKF!A19)</f>
        <v>0.25667509294538904</v>
      </c>
      <c r="P19" s="316">
        <f t="shared" ca="1" si="7"/>
        <v>0.20356042188777587</v>
      </c>
      <c r="Q19" s="316">
        <f t="shared" ca="1" si="9"/>
        <v>-33.325822538550554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5280</v>
      </c>
      <c r="D20" s="316">
        <f t="shared" si="5"/>
        <v>880</v>
      </c>
      <c r="E20" s="316">
        <f t="shared" si="0"/>
        <v>4400</v>
      </c>
      <c r="F20" s="314"/>
      <c r="G20" s="318">
        <f ca="1">DATA!$D$11/1000000</f>
        <v>0.98197518556000007</v>
      </c>
      <c r="H20" s="318">
        <f>C20*DATA!$D$5/1000000</f>
        <v>5.7241802422811636</v>
      </c>
      <c r="I20" s="318">
        <f>(C20*DATA!$D$5*DATA!$D$7)/1000000</f>
        <v>0.12879405545132619</v>
      </c>
      <c r="J20" s="316">
        <f t="shared" ca="1" si="1"/>
        <v>6.8349494832924904</v>
      </c>
      <c r="K20" s="314"/>
      <c r="L20" s="316">
        <f>((D20*DATA!$D$23)/1000000)+((E20*DATA!$D$24)/1000000)</f>
        <v>7.6280159999999997</v>
      </c>
      <c r="M20" s="316">
        <f t="shared" si="2"/>
        <v>7.6280159999999997</v>
      </c>
      <c r="N20" s="316">
        <f t="shared" ca="1" si="6"/>
        <v>0.79306651670750927</v>
      </c>
      <c r="O20" s="315">
        <f>1/(1+'[93]Asumsi I'!$C$3)^(KKF!A20)</f>
        <v>0.22917419012981158</v>
      </c>
      <c r="P20" s="316">
        <f t="shared" ca="1" si="7"/>
        <v>0.18175037668551411</v>
      </c>
      <c r="Q20" s="316">
        <f t="shared" ca="1" si="9"/>
        <v>-33.14407216186504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5280</v>
      </c>
      <c r="D21" s="316">
        <f t="shared" si="5"/>
        <v>880</v>
      </c>
      <c r="E21" s="316">
        <f t="shared" si="0"/>
        <v>4400</v>
      </c>
      <c r="F21" s="314"/>
      <c r="G21" s="318">
        <f ca="1">DATA!$D$11/1000000</f>
        <v>0.98197518556000007</v>
      </c>
      <c r="H21" s="318">
        <f>C21*DATA!$D$5/1000000</f>
        <v>5.7241802422811636</v>
      </c>
      <c r="I21" s="318">
        <f>(C21*DATA!$D$5*DATA!$D$7)/1000000</f>
        <v>0.12879405545132619</v>
      </c>
      <c r="J21" s="316">
        <f t="shared" ca="1" si="1"/>
        <v>6.8349494832924904</v>
      </c>
      <c r="K21" s="314"/>
      <c r="L21" s="316">
        <f>((D21*DATA!$D$23)/1000000)+((E21*DATA!$D$24)/1000000)</f>
        <v>7.6280159999999997</v>
      </c>
      <c r="M21" s="316">
        <f t="shared" si="2"/>
        <v>7.6280159999999997</v>
      </c>
      <c r="N21" s="316">
        <f t="shared" ca="1" si="6"/>
        <v>0.79306651670750927</v>
      </c>
      <c r="O21" s="315">
        <f>1/(1+'[93]Asumsi I'!$C$3)^(KKF!A21)</f>
        <v>0.20461981261590317</v>
      </c>
      <c r="P21" s="316">
        <f t="shared" ca="1" si="7"/>
        <v>0.1622771220406376</v>
      </c>
      <c r="Q21" s="316">
        <f t="shared" ca="1" si="9"/>
        <v>-32.981795039824405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5280</v>
      </c>
      <c r="D22" s="316">
        <f t="shared" si="5"/>
        <v>880</v>
      </c>
      <c r="E22" s="316">
        <f t="shared" si="0"/>
        <v>4400</v>
      </c>
      <c r="F22" s="314"/>
      <c r="G22" s="318">
        <f ca="1">DATA!$D$11/1000000</f>
        <v>0.98197518556000007</v>
      </c>
      <c r="H22" s="318">
        <f>C22*DATA!$D$5/1000000</f>
        <v>5.7241802422811636</v>
      </c>
      <c r="I22" s="318">
        <f>(C22*DATA!$D$5*DATA!$D$7)/1000000</f>
        <v>0.12879405545132619</v>
      </c>
      <c r="J22" s="316">
        <f t="shared" ca="1" si="1"/>
        <v>6.8349494832924904</v>
      </c>
      <c r="K22" s="314"/>
      <c r="L22" s="316">
        <f>((D22*DATA!$D$23)/1000000)+((E22*DATA!$D$24)/1000000)</f>
        <v>7.6280159999999997</v>
      </c>
      <c r="M22" s="316">
        <f t="shared" si="2"/>
        <v>7.6280159999999997</v>
      </c>
      <c r="N22" s="316">
        <f t="shared" ca="1" si="6"/>
        <v>0.79306651670750927</v>
      </c>
      <c r="O22" s="315">
        <f>1/(1+'[93]Asumsi I'!$C$3)^(KKF!A22)</f>
        <v>0.18269626126419927</v>
      </c>
      <c r="P22" s="316">
        <f t="shared" ca="1" si="7"/>
        <v>0.14489028753628358</v>
      </c>
      <c r="Q22" s="316">
        <f t="shared" ca="1" si="9"/>
        <v>-32.83690475228812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5280</v>
      </c>
      <c r="D23" s="316">
        <f t="shared" si="5"/>
        <v>880</v>
      </c>
      <c r="E23" s="316">
        <f t="shared" si="0"/>
        <v>4400</v>
      </c>
      <c r="F23" s="314"/>
      <c r="G23" s="318">
        <f ca="1">DATA!$D$11/1000000</f>
        <v>0.98197518556000007</v>
      </c>
      <c r="H23" s="318">
        <f>C23*DATA!$D$5/1000000</f>
        <v>5.7241802422811636</v>
      </c>
      <c r="I23" s="318">
        <f>(C23*DATA!$D$5*DATA!$D$7)/1000000</f>
        <v>0.12879405545132619</v>
      </c>
      <c r="J23" s="316">
        <f t="shared" ca="1" si="1"/>
        <v>6.8349494832924904</v>
      </c>
      <c r="K23" s="314"/>
      <c r="L23" s="316">
        <f>((D23*DATA!$D$23)/1000000)+((E23*DATA!$D$24)/1000000)</f>
        <v>7.6280159999999997</v>
      </c>
      <c r="M23" s="316">
        <f t="shared" si="2"/>
        <v>7.6280159999999997</v>
      </c>
      <c r="N23" s="316">
        <f t="shared" ca="1" si="6"/>
        <v>0.79306651670750927</v>
      </c>
      <c r="O23" s="315">
        <f>1/(1+'[93]Asumsi I'!$C$3)^(KKF!A23)</f>
        <v>0.16312166184303503</v>
      </c>
      <c r="P23" s="316">
        <f t="shared" ca="1" si="7"/>
        <v>0.12936632815739602</v>
      </c>
      <c r="Q23" s="316">
        <f t="shared" ca="1" si="9"/>
        <v>-32.707538424130725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5280</v>
      </c>
      <c r="D24" s="316">
        <f t="shared" si="5"/>
        <v>880</v>
      </c>
      <c r="E24" s="316">
        <f t="shared" si="0"/>
        <v>4400</v>
      </c>
      <c r="F24" s="314"/>
      <c r="G24" s="318">
        <f ca="1">DATA!$D$11/1000000</f>
        <v>0.98197518556000007</v>
      </c>
      <c r="H24" s="318">
        <f>C24*DATA!$D$5/1000000</f>
        <v>5.7241802422811636</v>
      </c>
      <c r="I24" s="318">
        <f>(C24*DATA!$D$5*DATA!$D$7)/1000000</f>
        <v>0.12879405545132619</v>
      </c>
      <c r="J24" s="316">
        <f t="shared" ca="1" si="1"/>
        <v>6.8349494832924904</v>
      </c>
      <c r="K24" s="314"/>
      <c r="L24" s="316">
        <f>((D24*DATA!$D$23)/1000000)+((E24*DATA!$D$24)/1000000)</f>
        <v>7.6280159999999997</v>
      </c>
      <c r="M24" s="316">
        <f t="shared" si="2"/>
        <v>7.6280159999999997</v>
      </c>
      <c r="N24" s="316">
        <f t="shared" ca="1" si="6"/>
        <v>0.79306651670750927</v>
      </c>
      <c r="O24" s="315">
        <f>1/(1+'[93]Asumsi I'!$C$3)^(KKF!A24)</f>
        <v>0.14564434093128129</v>
      </c>
      <c r="P24" s="316">
        <f t="shared" ca="1" si="7"/>
        <v>0.11550565014053217</v>
      </c>
      <c r="Q24" s="316">
        <f t="shared" ca="1" si="9"/>
        <v>-32.592032773990191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5280</v>
      </c>
      <c r="D25" s="316">
        <f t="shared" si="5"/>
        <v>880</v>
      </c>
      <c r="E25" s="316">
        <f t="shared" si="0"/>
        <v>4400</v>
      </c>
      <c r="F25" s="314"/>
      <c r="G25" s="318">
        <f ca="1">DATA!$D$11/1000000</f>
        <v>0.98197518556000007</v>
      </c>
      <c r="H25" s="318">
        <f>C25*DATA!$D$5/1000000</f>
        <v>5.7241802422811636</v>
      </c>
      <c r="I25" s="318">
        <f>(C25*DATA!$D$5*DATA!$D$7)/1000000</f>
        <v>0.12879405545132619</v>
      </c>
      <c r="J25" s="316">
        <f t="shared" ca="1" si="1"/>
        <v>6.8349494832924904</v>
      </c>
      <c r="K25" s="314"/>
      <c r="L25" s="316">
        <f>((D25*DATA!$D$23)/1000000)+((E25*DATA!$D$24)/1000000)</f>
        <v>7.6280159999999997</v>
      </c>
      <c r="M25" s="316">
        <f t="shared" si="2"/>
        <v>7.6280159999999997</v>
      </c>
      <c r="N25" s="316">
        <f t="shared" ca="1" si="6"/>
        <v>0.79306651670750927</v>
      </c>
      <c r="O25" s="315">
        <f>1/(1+'[93]Asumsi I'!$C$3)^(KKF!A25)</f>
        <v>0.13003959011721541</v>
      </c>
      <c r="P25" s="316">
        <f t="shared" ca="1" si="7"/>
        <v>0.10313004476833228</v>
      </c>
      <c r="Q25" s="316">
        <f t="shared" ca="1" si="9"/>
        <v>-32.488902729221856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5280</v>
      </c>
      <c r="D26" s="316">
        <f t="shared" si="5"/>
        <v>880</v>
      </c>
      <c r="E26" s="316">
        <f t="shared" si="0"/>
        <v>4400</v>
      </c>
      <c r="F26" s="314"/>
      <c r="G26" s="318">
        <f ca="1">DATA!$D$11/1000000</f>
        <v>0.98197518556000007</v>
      </c>
      <c r="H26" s="318">
        <f>C26*DATA!$D$5/1000000</f>
        <v>5.7241802422811636</v>
      </c>
      <c r="I26" s="318">
        <f>(C26*DATA!$D$5*DATA!$D$7)/1000000</f>
        <v>0.12879405545132619</v>
      </c>
      <c r="J26" s="316">
        <f t="shared" ca="1" si="1"/>
        <v>6.8349494832924904</v>
      </c>
      <c r="K26" s="314"/>
      <c r="L26" s="316">
        <f>((D26*DATA!$D$23)/1000000)+((E26*DATA!$D$24)/1000000)</f>
        <v>7.6280159999999997</v>
      </c>
      <c r="M26" s="316">
        <f t="shared" si="2"/>
        <v>7.6280159999999997</v>
      </c>
      <c r="N26" s="316">
        <f t="shared" ca="1" si="6"/>
        <v>0.79306651670750927</v>
      </c>
      <c r="O26" s="315">
        <f>1/(1+'[93]Asumsi I'!$C$3)^(KKF!A26)</f>
        <v>0.1161067768903709</v>
      </c>
      <c r="P26" s="316">
        <f t="shared" ca="1" si="7"/>
        <v>9.208039711458238E-2</v>
      </c>
      <c r="Q26" s="316">
        <f t="shared" ca="1" si="9"/>
        <v>-32.39682233210727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5280</v>
      </c>
      <c r="D27" s="316">
        <f t="shared" si="5"/>
        <v>880</v>
      </c>
      <c r="E27" s="316">
        <f t="shared" si="0"/>
        <v>4400</v>
      </c>
      <c r="F27" s="314"/>
      <c r="G27" s="318">
        <f ca="1">DATA!$D$11/1000000</f>
        <v>0.98197518556000007</v>
      </c>
      <c r="H27" s="318">
        <f>C27*DATA!$D$5/1000000</f>
        <v>5.7241802422811636</v>
      </c>
      <c r="I27" s="318">
        <f>(C27*DATA!$D$5*DATA!$D$7)/1000000</f>
        <v>0.12879405545132619</v>
      </c>
      <c r="J27" s="316">
        <f t="shared" ca="1" si="1"/>
        <v>6.8349494832924904</v>
      </c>
      <c r="K27" s="314"/>
      <c r="L27" s="316">
        <f>((D27*DATA!$D$23)/1000000)+((E27*DATA!$D$24)/1000000)</f>
        <v>7.6280159999999997</v>
      </c>
      <c r="M27" s="316">
        <f t="shared" si="2"/>
        <v>7.6280159999999997</v>
      </c>
      <c r="N27" s="316">
        <f t="shared" ca="1" si="6"/>
        <v>0.79306651670750927</v>
      </c>
      <c r="O27" s="315">
        <f>1/(1+'[93]Asumsi I'!$C$3)^(KKF!A27)</f>
        <v>0.1036667650806883</v>
      </c>
      <c r="P27" s="316">
        <f t="shared" ca="1" si="7"/>
        <v>8.2214640280877119E-2</v>
      </c>
      <c r="Q27" s="316">
        <f t="shared" ca="1" si="9"/>
        <v>-32.314607691826396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5280</v>
      </c>
      <c r="D28" s="316">
        <f t="shared" si="5"/>
        <v>880</v>
      </c>
      <c r="E28" s="316">
        <f t="shared" si="0"/>
        <v>4400</v>
      </c>
      <c r="F28" s="314"/>
      <c r="G28" s="318">
        <f ca="1">DATA!$D$11/1000000</f>
        <v>0.98197518556000007</v>
      </c>
      <c r="H28" s="318">
        <f>C28*DATA!$D$5/1000000</f>
        <v>5.7241802422811636</v>
      </c>
      <c r="I28" s="318">
        <f>(C28*DATA!$D$5*DATA!$D$7)/1000000</f>
        <v>0.12879405545132619</v>
      </c>
      <c r="J28" s="316">
        <f t="shared" ca="1" si="1"/>
        <v>6.8349494832924904</v>
      </c>
      <c r="K28" s="314"/>
      <c r="L28" s="316">
        <f>((D28*DATA!$D$23)/1000000)+((E28*DATA!$D$24)/1000000)</f>
        <v>7.6280159999999997</v>
      </c>
      <c r="M28" s="316">
        <f t="shared" si="2"/>
        <v>7.6280159999999997</v>
      </c>
      <c r="N28" s="316">
        <f t="shared" ca="1" si="6"/>
        <v>0.79306651670750927</v>
      </c>
      <c r="O28" s="315">
        <f>1/(1+'[93]Asumsi I'!$C$3)^(KKF!A28)</f>
        <v>9.2559611679185971E-2</v>
      </c>
      <c r="P28" s="316">
        <f t="shared" ca="1" si="7"/>
        <v>7.3405928822211711E-2</v>
      </c>
      <c r="Q28" s="316">
        <f t="shared" ca="1" si="9"/>
        <v>-32.241201763004184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5280</v>
      </c>
      <c r="D29" s="316">
        <f t="shared" si="5"/>
        <v>880</v>
      </c>
      <c r="E29" s="316">
        <f t="shared" si="0"/>
        <v>4400</v>
      </c>
      <c r="F29" s="314"/>
      <c r="G29" s="318">
        <f ca="1">DATA!$D$11/1000000</f>
        <v>0.98197518556000007</v>
      </c>
      <c r="H29" s="318">
        <f>C29*DATA!$D$5/1000000</f>
        <v>5.7241802422811636</v>
      </c>
      <c r="I29" s="318">
        <f>(C29*DATA!$D$5*DATA!$D$7)/1000000</f>
        <v>0.12879405545132619</v>
      </c>
      <c r="J29" s="316">
        <f t="shared" ca="1" si="1"/>
        <v>6.8349494832924904</v>
      </c>
      <c r="K29" s="314"/>
      <c r="L29" s="316">
        <f>((D29*DATA!$D$23)/1000000)+((E29*DATA!$D$24)/1000000)</f>
        <v>7.6280159999999997</v>
      </c>
      <c r="M29" s="316">
        <f t="shared" si="2"/>
        <v>7.6280159999999997</v>
      </c>
      <c r="N29" s="316">
        <f t="shared" ca="1" si="6"/>
        <v>0.79306651670750927</v>
      </c>
      <c r="O29" s="315">
        <f>1/(1+'[93]Asumsi I'!$C$3)^(KKF!A29)</f>
        <v>8.2642510427844609E-2</v>
      </c>
      <c r="P29" s="316">
        <f t="shared" ca="1" si="7"/>
        <v>6.5541007876974741E-2</v>
      </c>
      <c r="Q29" s="316">
        <f t="shared" ca="1" si="9"/>
        <v>-32.175660755127211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5280</v>
      </c>
      <c r="D30" s="316">
        <f t="shared" si="5"/>
        <v>880</v>
      </c>
      <c r="E30" s="316">
        <f t="shared" si="0"/>
        <v>4400</v>
      </c>
      <c r="F30" s="314"/>
      <c r="G30" s="318">
        <f ca="1">DATA!$D$11/1000000</f>
        <v>0.98197518556000007</v>
      </c>
      <c r="H30" s="318">
        <f>C30*DATA!$D$5/1000000</f>
        <v>5.7241802422811636</v>
      </c>
      <c r="I30" s="318">
        <f>(C30*DATA!$D$5*DATA!$D$7)/1000000</f>
        <v>0.12879405545132619</v>
      </c>
      <c r="J30" s="316">
        <f t="shared" ca="1" si="1"/>
        <v>6.8349494832924904</v>
      </c>
      <c r="K30" s="314"/>
      <c r="L30" s="316">
        <f>((D30*DATA!$D$23)/1000000)+((E30*DATA!$D$24)/1000000)</f>
        <v>7.6280159999999997</v>
      </c>
      <c r="M30" s="316">
        <f t="shared" si="2"/>
        <v>7.6280159999999997</v>
      </c>
      <c r="N30" s="316">
        <f t="shared" ca="1" si="6"/>
        <v>0.79306651670750927</v>
      </c>
      <c r="O30" s="315">
        <f>1/(1+'[93]Asumsi I'!$C$3)^(KKF!A30)</f>
        <v>7.3787955739146982E-2</v>
      </c>
      <c r="P30" s="316">
        <f t="shared" ca="1" si="7"/>
        <v>5.8518757033013166E-2</v>
      </c>
      <c r="Q30" s="316">
        <f t="shared" ca="1" si="9"/>
        <v>-32.117141998094198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5280</v>
      </c>
      <c r="D31" s="316">
        <f t="shared" si="5"/>
        <v>880</v>
      </c>
      <c r="E31" s="316">
        <f t="shared" si="0"/>
        <v>4400</v>
      </c>
      <c r="F31" s="314"/>
      <c r="G31" s="318">
        <f ca="1">DATA!$D$11/1000000</f>
        <v>0.98197518556000007</v>
      </c>
      <c r="H31" s="318">
        <f>C31*DATA!$D$5/1000000</f>
        <v>5.7241802422811636</v>
      </c>
      <c r="I31" s="318">
        <f>(C31*DATA!$D$5*DATA!$D$7)/1000000</f>
        <v>0.12879405545132619</v>
      </c>
      <c r="J31" s="316">
        <f t="shared" ca="1" si="1"/>
        <v>6.8349494832924904</v>
      </c>
      <c r="K31" s="314"/>
      <c r="L31" s="316">
        <f>((D31*DATA!$D$23)/1000000)+((E31*DATA!$D$24)/1000000)</f>
        <v>7.6280159999999997</v>
      </c>
      <c r="M31" s="316">
        <f t="shared" si="2"/>
        <v>7.6280159999999997</v>
      </c>
      <c r="N31" s="316">
        <f t="shared" ca="1" si="6"/>
        <v>0.79306651670750927</v>
      </c>
      <c r="O31" s="315">
        <f>1/(1+'[93]Asumsi I'!$C$3)^(KKF!A31)</f>
        <v>6.5882103338524081E-2</v>
      </c>
      <c r="P31" s="316">
        <f t="shared" ca="1" si="7"/>
        <v>5.224889020804746E-2</v>
      </c>
      <c r="Q31" s="316">
        <f ca="1">Q30+P31</f>
        <v>-32.064893107886149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5280</v>
      </c>
      <c r="D32" s="316">
        <f t="shared" si="5"/>
        <v>880</v>
      </c>
      <c r="E32" s="316">
        <f t="shared" si="0"/>
        <v>4400</v>
      </c>
      <c r="F32" s="314"/>
      <c r="G32" s="318">
        <f ca="1">DATA!$D$11/1000000</f>
        <v>0.98197518556000007</v>
      </c>
      <c r="H32" s="318">
        <f>C32*DATA!$D$5/1000000</f>
        <v>5.7241802422811636</v>
      </c>
      <c r="I32" s="318">
        <f>(C32*DATA!$D$5*DATA!$D$7)/1000000</f>
        <v>0.12879405545132619</v>
      </c>
      <c r="J32" s="316">
        <f t="shared" ca="1" si="1"/>
        <v>6.8349494832924904</v>
      </c>
      <c r="K32" s="314"/>
      <c r="L32" s="316">
        <f>((D32*DATA!$D$23)/1000000)+((E32*DATA!$D$24)/1000000)</f>
        <v>7.6280159999999997</v>
      </c>
      <c r="M32" s="316">
        <f t="shared" si="2"/>
        <v>7.6280159999999997</v>
      </c>
      <c r="N32" s="316">
        <f t="shared" ca="1" si="6"/>
        <v>0.79306651670750927</v>
      </c>
      <c r="O32" s="315">
        <f>1/(1+'[93]Asumsi I'!$C$3)^(KKF!A32)</f>
        <v>5.8823306552253637E-2</v>
      </c>
      <c r="P32" s="316">
        <f t="shared" ca="1" si="7"/>
        <v>4.6650794828613798E-2</v>
      </c>
      <c r="Q32" s="316">
        <f ca="1">Q31+P32</f>
        <v>-32.018242313057534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16" t="s">
        <v>1374</v>
      </c>
      <c r="G33" s="616"/>
      <c r="H33" s="616"/>
      <c r="I33" s="324"/>
      <c r="J33" s="325">
        <f ca="1">SUM(J7:J32)</f>
        <v>224.85645441102727</v>
      </c>
      <c r="K33" s="616" t="s">
        <v>1375</v>
      </c>
      <c r="L33" s="616"/>
      <c r="M33" s="325">
        <f>SUM(M7:M32)</f>
        <v>206.44474400000004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68.068334990146056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0.9181179367999307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-28.58771635094423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-4.5231221289068313E-2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26" priority="1" stopIfTrue="1" operator="greaterThanOrEqual">
      <formula>$F$7</formula>
    </cfRule>
    <cfRule type="cellIs" dxfId="25" priority="2" stopIfTrue="1" operator="lessThan">
      <formula>$F$7</formula>
    </cfRule>
  </conditionalFormatting>
  <conditionalFormatting sqref="Q7:Q32">
    <cfRule type="cellIs" dxfId="24" priority="3" operator="lessThan">
      <formula>0</formula>
    </cfRule>
    <cfRule type="cellIs" dxfId="23" priority="4" operator="lessThan">
      <formula>0</formula>
    </cfRule>
    <cfRule type="cellIs" dxfId="22" priority="5" operator="lessThan">
      <formula>-6395.81</formula>
    </cfRule>
    <cfRule type="cellIs" dxfId="21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171"/>
  <sheetViews>
    <sheetView showGridLines="0" zoomScaleNormal="100" zoomScaleSheetLayoutView="70" workbookViewId="0">
      <pane ySplit="13" topLeftCell="A14" activePane="bottomLeft" state="frozen"/>
      <selection activeCell="H1093" sqref="H1093"/>
      <selection pane="bottomLeft" activeCell="M152" sqref="M152"/>
    </sheetView>
  </sheetViews>
  <sheetFormatPr defaultRowHeight="15"/>
  <cols>
    <col min="1" max="1" width="8.28515625" style="336" customWidth="1"/>
    <col min="2" max="2" width="5.140625" style="337" customWidth="1"/>
    <col min="3" max="3" width="53.42578125" style="408" customWidth="1"/>
    <col min="4" max="4" width="13.7109375" style="408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1" width="16.7109375" style="342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19" t="s">
        <v>1036</v>
      </c>
      <c r="P3" s="619"/>
      <c r="Q3" s="346"/>
      <c r="T3" s="344"/>
      <c r="U3" s="345" t="s">
        <v>1041</v>
      </c>
      <c r="V3" s="344"/>
    </row>
    <row r="4" spans="1:22" ht="15.75" customHeight="1">
      <c r="B4" s="620" t="s">
        <v>1023</v>
      </c>
      <c r="C4" s="620"/>
      <c r="D4" s="620"/>
      <c r="E4" s="620"/>
      <c r="F4" s="620"/>
      <c r="G4" s="620"/>
      <c r="H4" s="620"/>
      <c r="I4" s="620"/>
      <c r="J4" s="620"/>
      <c r="K4" s="620"/>
      <c r="O4" s="619"/>
      <c r="P4" s="619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715" t="str">
        <f>DATA!D14</f>
        <v>MITRATEL BERAHAN</v>
      </c>
      <c r="H6" s="636"/>
      <c r="I6" s="636"/>
      <c r="J6" s="636"/>
      <c r="K6" s="636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1641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 t="s">
        <v>1440</v>
      </c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1548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 ht="21" customHeight="1">
      <c r="B11" s="622" t="s">
        <v>0</v>
      </c>
      <c r="C11" s="624" t="s">
        <v>1</v>
      </c>
      <c r="D11" s="627" t="s">
        <v>42</v>
      </c>
      <c r="E11" s="627" t="s">
        <v>43</v>
      </c>
      <c r="F11" s="627" t="s">
        <v>2</v>
      </c>
      <c r="G11" s="629" t="s">
        <v>41</v>
      </c>
      <c r="H11" s="627" t="s">
        <v>3</v>
      </c>
      <c r="I11" s="627"/>
      <c r="J11" s="627"/>
      <c r="K11" s="646"/>
      <c r="O11" s="351"/>
      <c r="P11" s="352"/>
      <c r="Q11" s="351"/>
      <c r="S11" s="353"/>
      <c r="T11" s="354"/>
      <c r="U11" s="354"/>
      <c r="V11" s="354"/>
    </row>
    <row r="12" spans="1:22" ht="15" customHeight="1">
      <c r="B12" s="623"/>
      <c r="C12" s="625"/>
      <c r="D12" s="628"/>
      <c r="E12" s="628"/>
      <c r="F12" s="628"/>
      <c r="G12" s="630"/>
      <c r="H12" s="632" t="s">
        <v>46</v>
      </c>
      <c r="I12" s="632" t="s">
        <v>5</v>
      </c>
      <c r="J12" s="628" t="s">
        <v>47</v>
      </c>
      <c r="K12" s="647" t="s">
        <v>4</v>
      </c>
      <c r="O12" s="352"/>
      <c r="P12" s="352"/>
      <c r="Q12" s="352"/>
      <c r="S12" s="353"/>
      <c r="T12" s="353"/>
      <c r="U12" s="353"/>
      <c r="V12" s="353"/>
    </row>
    <row r="13" spans="1:22" ht="15" customHeight="1">
      <c r="B13" s="623"/>
      <c r="C13" s="626"/>
      <c r="D13" s="628"/>
      <c r="E13" s="628"/>
      <c r="F13" s="628"/>
      <c r="G13" s="631"/>
      <c r="H13" s="633"/>
      <c r="I13" s="633"/>
      <c r="J13" s="628"/>
      <c r="K13" s="647"/>
      <c r="O13" s="355"/>
      <c r="P13" s="355"/>
      <c r="Q13" s="355"/>
      <c r="S13" s="353"/>
      <c r="T13" s="353"/>
      <c r="U13" s="353"/>
      <c r="V13" s="353"/>
    </row>
    <row r="14" spans="1:22" s="365" customFormat="1" ht="15.75" customHeigh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1612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" ca="1" si="4">IF(OR(D15="MDU",D15="MDU-KD"),(IF($O$3="RAB NON MDU","PLN KD",G15*F15)),0)</f>
        <v>0</v>
      </c>
      <c r="I15" s="361">
        <f t="shared" ref="I15" ca="1" si="5">IF(D15="HDW",G15*F15,0)</f>
        <v>0</v>
      </c>
      <c r="J15" s="361">
        <f t="shared" ref="J15" ca="1" si="6">IF(D15="JASA",G15*F15,0)</f>
        <v>0</v>
      </c>
      <c r="K15" s="362">
        <f t="shared" ref="K15" ca="1" si="7">SUM(H15:J15)</f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/>
      <c r="B16" s="371"/>
      <c r="C16" s="109"/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368"/>
      <c r="G16" s="360"/>
      <c r="H16" s="361"/>
      <c r="I16" s="361"/>
      <c r="J16" s="361"/>
      <c r="K16" s="362"/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/>
      <c r="B17" s="366" t="s">
        <v>1613</v>
      </c>
      <c r="C17" s="367" t="s">
        <v>1618</v>
      </c>
      <c r="D17" s="358" t="str">
        <f ca="1">IF(ISERROR(OFFSET('HARGA SATUAN'!$D$6,MATCH(RAB!C17,'HARGA SATUAN'!$C$7:$C$1492,0),0)),"",OFFSET('HARGA SATUAN'!$D$6,MATCH(RAB!C17,'HARGA SATUAN'!$C$7:$C$1492,0),0))</f>
        <v/>
      </c>
      <c r="E17" s="359" t="str">
        <f ca="1">IF(B17="+","Unit",IF(ISERROR(OFFSET('HARGA SATUAN'!$E$6,MATCH(RAB!C17,'HARGA SATUAN'!$C$7:$C$1492,0),0)),"",OFFSET('HARGA SATUAN'!$E$6,MATCH(RAB!C17,'HARGA SATUAN'!$C$7:$C$1492,0),0)))</f>
        <v/>
      </c>
      <c r="F17" s="368"/>
      <c r="G17" s="360">
        <f ca="1">IF(ISERROR(OFFSET('HARGA SATUAN'!$I$6,MATCH(RAB!C17,'HARGA SATUAN'!$C$7:$C$1492,0),0)),0,OFFSET('HARGA SATUAN'!$I$6,MATCH(RAB!C17,'HARGA SATUAN'!$C$7:$C$1492,0),0))</f>
        <v>0</v>
      </c>
      <c r="H17" s="361">
        <f t="shared" ref="H17:H72" ca="1" si="8">IF(OR(D17="MDU",D17="MDU-KD"),(IF($O$3="RAB NON MDU","PLN KD",G17*F17)),0)</f>
        <v>0</v>
      </c>
      <c r="I17" s="361">
        <f t="shared" ref="I17:I72" ca="1" si="9">IF(D17="HDW",G17*F17,0)</f>
        <v>0</v>
      </c>
      <c r="J17" s="361">
        <f t="shared" ref="J17:J72" ca="1" si="10">IF(D17="JASA",G17*F17,0)</f>
        <v>0</v>
      </c>
      <c r="K17" s="362">
        <f t="shared" ref="K17:K72" ca="1" si="11">SUM(H17:J17)</f>
        <v>0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 s="365" customFormat="1">
      <c r="A18" s="336"/>
      <c r="B18" s="507"/>
      <c r="C18" s="508"/>
      <c r="D18" s="358" t="str">
        <f ca="1">IF(ISERROR(OFFSET('HARGA SATUAN'!$D$6,MATCH(RAB!C18,'HARGA SATUAN'!$C$7:$C$1492,0),0)),"",OFFSET('HARGA SATUAN'!$D$6,MATCH(RAB!C18,'HARGA SATUAN'!$C$7:$C$1492,0),0))</f>
        <v/>
      </c>
      <c r="E18" s="359" t="str">
        <f ca="1">IF(B18="+","Unit",IF(ISERROR(OFFSET('HARGA SATUAN'!$E$6,MATCH(RAB!C18,'HARGA SATUAN'!$C$7:$C$1492,0),0)),"",OFFSET('HARGA SATUAN'!$E$6,MATCH(RAB!C18,'HARGA SATUAN'!$C$7:$C$1492,0),0)))</f>
        <v/>
      </c>
      <c r="F18" s="498"/>
      <c r="G18" s="360">
        <f ca="1">IF(ISERROR(OFFSET('HARGA SATUAN'!$I$6,MATCH(RAB!C18,'HARGA SATUAN'!$C$7:$C$1492,0),0)),0,OFFSET('HARGA SATUAN'!$I$6,MATCH(RAB!C18,'HARGA SATUAN'!$C$7:$C$1492,0),0))</f>
        <v>0</v>
      </c>
      <c r="H18" s="361">
        <f t="shared" ca="1" si="8"/>
        <v>0</v>
      </c>
      <c r="I18" s="361">
        <f t="shared" ca="1" si="9"/>
        <v>0</v>
      </c>
      <c r="J18" s="361">
        <f t="shared" ca="1" si="10"/>
        <v>0</v>
      </c>
      <c r="K18" s="362">
        <f t="shared" ca="1" si="11"/>
        <v>0</v>
      </c>
      <c r="L18" s="342"/>
      <c r="M18" s="342"/>
      <c r="N18" s="369"/>
      <c r="O18" s="344"/>
      <c r="P18" s="396"/>
      <c r="Q18" s="344"/>
    </row>
    <row r="19" spans="1:22" s="365" customFormat="1">
      <c r="A19" s="336"/>
      <c r="B19" s="507" t="s">
        <v>1035</v>
      </c>
      <c r="C19" s="508" t="s">
        <v>1633</v>
      </c>
      <c r="D19" s="358" t="str">
        <f ca="1">IF(ISERROR(OFFSET('HARGA SATUAN'!$D$6,MATCH(RAB!C19,'HARGA SATUAN'!$C$7:$C$1492,0),0)),"",OFFSET('HARGA SATUAN'!$D$6,MATCH(RAB!C19,'HARGA SATUAN'!$C$7:$C$1492,0),0))</f>
        <v/>
      </c>
      <c r="E19" s="359" t="str">
        <f ca="1">IF(B19="+","Unit",IF(ISERROR(OFFSET('HARGA SATUAN'!$E$6,MATCH(RAB!C19,'HARGA SATUAN'!$C$7:$C$1492,0),0)),"",OFFSET('HARGA SATUAN'!$E$6,MATCH(RAB!C19,'HARGA SATUAN'!$C$7:$C$1492,0),0)))</f>
        <v>Unit</v>
      </c>
      <c r="F19" s="498">
        <v>1</v>
      </c>
      <c r="G19" s="360">
        <f ca="1">IF(ISERROR(OFFSET('HARGA SATUAN'!$I$6,MATCH(RAB!C19,'HARGA SATUAN'!$C$7:$C$1492,0),0)),0,OFFSET('HARGA SATUAN'!$I$6,MATCH(RAB!C19,'HARGA SATUAN'!$C$7:$C$1492,0),0))</f>
        <v>0</v>
      </c>
      <c r="H19" s="361">
        <f t="shared" ca="1" si="8"/>
        <v>0</v>
      </c>
      <c r="I19" s="361">
        <f t="shared" ca="1" si="9"/>
        <v>0</v>
      </c>
      <c r="J19" s="361">
        <f t="shared" ca="1" si="10"/>
        <v>0</v>
      </c>
      <c r="K19" s="362">
        <f t="shared" ca="1" si="11"/>
        <v>0</v>
      </c>
      <c r="L19" s="342"/>
      <c r="M19" s="342"/>
      <c r="N19" s="369"/>
      <c r="O19" s="344"/>
      <c r="P19" s="396"/>
      <c r="Q19" s="344"/>
    </row>
    <row r="20" spans="1:22" s="365" customFormat="1">
      <c r="A20" s="336"/>
      <c r="B20" s="503">
        <v>1</v>
      </c>
      <c r="C20" s="109" t="s">
        <v>1566</v>
      </c>
      <c r="D20" s="358" t="str">
        <f ca="1">IF(ISERROR(OFFSET('HARGA SATUAN'!$D$6,MATCH(RAB!C20,'HARGA SATUAN'!$C$7:$C$1492,0),0)),"",OFFSET('HARGA SATUAN'!$D$6,MATCH(RAB!C20,'HARGA SATUAN'!$C$7:$C$1492,0),0))</f>
        <v>MDU-KD</v>
      </c>
      <c r="E20" s="359" t="str">
        <f ca="1">IF(B20="+","Unit",IF(ISERROR(OFFSET('HARGA SATUAN'!$E$6,MATCH(RAB!C20,'HARGA SATUAN'!$C$7:$C$1492,0),0)),"",OFFSET('HARGA SATUAN'!$E$6,MATCH(RAB!C20,'HARGA SATUAN'!$C$7:$C$1492,0),0)))</f>
        <v>Set</v>
      </c>
      <c r="F20" s="498">
        <f>F19*1</f>
        <v>1</v>
      </c>
      <c r="G20" s="360">
        <f ca="1">IF(ISERROR(OFFSET('HARGA SATUAN'!$I$6,MATCH(RAB!C20,'HARGA SATUAN'!$C$7:$C$1492,0),0)),0,OFFSET('HARGA SATUAN'!$I$6,MATCH(RAB!C20,'HARGA SATUAN'!$C$7:$C$1492,0),0))</f>
        <v>205700</v>
      </c>
      <c r="H20" s="361">
        <f t="shared" ca="1" si="8"/>
        <v>205700</v>
      </c>
      <c r="I20" s="361">
        <f t="shared" ca="1" si="9"/>
        <v>0</v>
      </c>
      <c r="J20" s="361">
        <f t="shared" ca="1" si="10"/>
        <v>0</v>
      </c>
      <c r="K20" s="362">
        <f t="shared" ca="1" si="11"/>
        <v>205700</v>
      </c>
      <c r="L20" s="342"/>
      <c r="M20" s="342"/>
      <c r="N20" s="369"/>
      <c r="O20" s="344"/>
      <c r="P20" s="396"/>
      <c r="Q20" s="344"/>
    </row>
    <row r="21" spans="1:22" s="365" customFormat="1">
      <c r="A21" s="336"/>
      <c r="B21" s="503">
        <v>2</v>
      </c>
      <c r="C21" s="504" t="s">
        <v>152</v>
      </c>
      <c r="D21" s="358" t="str">
        <f ca="1">IF(ISERROR(OFFSET('HARGA SATUAN'!$D$6,MATCH(RAB!C21,'HARGA SATUAN'!$C$7:$C$1492,0),0)),"",OFFSET('HARGA SATUAN'!$D$6,MATCH(RAB!C21,'HARGA SATUAN'!$C$7:$C$1492,0),0))</f>
        <v>HDW</v>
      </c>
      <c r="E21" s="359" t="str">
        <f ca="1">IF(B21="+","Unit",IF(ISERROR(OFFSET('HARGA SATUAN'!$E$6,MATCH(RAB!C21,'HARGA SATUAN'!$C$7:$C$1492,0),0)),"",OFFSET('HARGA SATUAN'!$E$6,MATCH(RAB!C21,'HARGA SATUAN'!$C$7:$C$1492,0),0)))</f>
        <v>Mtr</v>
      </c>
      <c r="F21" s="498">
        <f>F19*1</f>
        <v>1</v>
      </c>
      <c r="G21" s="360">
        <f ca="1">IF(ISERROR(OFFSET('HARGA SATUAN'!$I$6,MATCH(RAB!C21,'HARGA SATUAN'!$C$7:$C$1492,0),0)),0,OFFSET('HARGA SATUAN'!$I$6,MATCH(RAB!C21,'HARGA SATUAN'!$C$7:$C$1492,0),0))</f>
        <v>7789</v>
      </c>
      <c r="H21" s="361">
        <f t="shared" ca="1" si="8"/>
        <v>0</v>
      </c>
      <c r="I21" s="361">
        <f t="shared" ca="1" si="9"/>
        <v>7789</v>
      </c>
      <c r="J21" s="361">
        <f t="shared" ca="1" si="10"/>
        <v>0</v>
      </c>
      <c r="K21" s="362">
        <f t="shared" ca="1" si="11"/>
        <v>7789</v>
      </c>
      <c r="L21" s="342"/>
      <c r="M21" s="342"/>
      <c r="N21" s="369"/>
      <c r="O21" s="344"/>
      <c r="P21" s="396"/>
      <c r="Q21" s="344"/>
    </row>
    <row r="22" spans="1:22" s="365" customFormat="1">
      <c r="A22" s="336"/>
      <c r="B22" s="503">
        <v>3</v>
      </c>
      <c r="C22" s="504" t="s">
        <v>179</v>
      </c>
      <c r="D22" s="358" t="str">
        <f ca="1">IF(ISERROR(OFFSET('HARGA SATUAN'!$D$6,MATCH(RAB!C22,'HARGA SATUAN'!$C$7:$C$1492,0),0)),"",OFFSET('HARGA SATUAN'!$D$6,MATCH(RAB!C22,'HARGA SATUAN'!$C$7:$C$1492,0),0))</f>
        <v>HDW</v>
      </c>
      <c r="E22" s="359" t="str">
        <f ca="1">IF(B22="+","Unit",IF(ISERROR(OFFSET('HARGA SATUAN'!$E$6,MATCH(RAB!C22,'HARGA SATUAN'!$C$7:$C$1492,0),0)),"",OFFSET('HARGA SATUAN'!$E$6,MATCH(RAB!C22,'HARGA SATUAN'!$C$7:$C$1492,0),0)))</f>
        <v>Bh</v>
      </c>
      <c r="F22" s="498">
        <f>F19*1</f>
        <v>1</v>
      </c>
      <c r="G22" s="360">
        <f ca="1">IF(ISERROR(OFFSET('HARGA SATUAN'!$I$6,MATCH(RAB!C22,'HARGA SATUAN'!$C$7:$C$1492,0),0)),0,OFFSET('HARGA SATUAN'!$I$6,MATCH(RAB!C22,'HARGA SATUAN'!$C$7:$C$1492,0),0))</f>
        <v>15500</v>
      </c>
      <c r="H22" s="361">
        <f t="shared" ca="1" si="8"/>
        <v>0</v>
      </c>
      <c r="I22" s="361">
        <f t="shared" ca="1" si="9"/>
        <v>15500</v>
      </c>
      <c r="J22" s="361">
        <f t="shared" ca="1" si="10"/>
        <v>0</v>
      </c>
      <c r="K22" s="362">
        <f t="shared" ca="1" si="11"/>
        <v>15500</v>
      </c>
      <c r="L22" s="342"/>
      <c r="M22" s="342"/>
      <c r="N22" s="369"/>
      <c r="O22" s="344"/>
      <c r="P22" s="396"/>
      <c r="Q22" s="344"/>
    </row>
    <row r="23" spans="1:22" s="365" customFormat="1">
      <c r="A23" s="336"/>
      <c r="B23" s="503">
        <v>4</v>
      </c>
      <c r="C23" s="504" t="s">
        <v>184</v>
      </c>
      <c r="D23" s="358" t="str">
        <f ca="1">IF(ISERROR(OFFSET('HARGA SATUAN'!$D$6,MATCH(RAB!C23,'HARGA SATUAN'!$C$7:$C$1492,0),0)),"",OFFSET('HARGA SATUAN'!$D$6,MATCH(RAB!C23,'HARGA SATUAN'!$C$7:$C$1492,0),0))</f>
        <v>HDW</v>
      </c>
      <c r="E23" s="359" t="str">
        <f ca="1">IF(B23="+","Unit",IF(ISERROR(OFFSET('HARGA SATUAN'!$E$6,MATCH(RAB!C23,'HARGA SATUAN'!$C$7:$C$1492,0),0)),"",OFFSET('HARGA SATUAN'!$E$6,MATCH(RAB!C23,'HARGA SATUAN'!$C$7:$C$1492,0),0)))</f>
        <v>Bh</v>
      </c>
      <c r="F23" s="498">
        <f>F19*2</f>
        <v>2</v>
      </c>
      <c r="G23" s="360">
        <f ca="1">IF(ISERROR(OFFSET('HARGA SATUAN'!$I$6,MATCH(RAB!C23,'HARGA SATUAN'!$C$7:$C$1492,0),0)),0,OFFSET('HARGA SATUAN'!$I$6,MATCH(RAB!C23,'HARGA SATUAN'!$C$7:$C$1492,0),0))</f>
        <v>15900</v>
      </c>
      <c r="H23" s="361">
        <f t="shared" ca="1" si="8"/>
        <v>0</v>
      </c>
      <c r="I23" s="361">
        <f t="shared" ca="1" si="9"/>
        <v>31800</v>
      </c>
      <c r="J23" s="361">
        <f t="shared" ca="1" si="10"/>
        <v>0</v>
      </c>
      <c r="K23" s="362">
        <f t="shared" ca="1" si="11"/>
        <v>31800</v>
      </c>
      <c r="L23" s="342"/>
      <c r="M23" s="342"/>
      <c r="N23" s="369"/>
      <c r="O23" s="344"/>
      <c r="P23" s="396"/>
      <c r="Q23" s="344"/>
    </row>
    <row r="24" spans="1:22" s="365" customFormat="1">
      <c r="A24" s="336"/>
      <c r="B24" s="503">
        <v>5</v>
      </c>
      <c r="C24" s="504" t="s">
        <v>217</v>
      </c>
      <c r="D24" s="358" t="str">
        <f ca="1">IF(ISERROR(OFFSET('HARGA SATUAN'!$D$6,MATCH(RAB!C24,'HARGA SATUAN'!$C$7:$C$1492,0),0)),"",OFFSET('HARGA SATUAN'!$D$6,MATCH(RAB!C24,'HARGA SATUAN'!$C$7:$C$1492,0),0))</f>
        <v>HDW</v>
      </c>
      <c r="E24" s="359" t="str">
        <f ca="1">IF(B24="+","Unit",IF(ISERROR(OFFSET('HARGA SATUAN'!$E$6,MATCH(RAB!C24,'HARGA SATUAN'!$C$7:$C$1492,0),0)),"",OFFSET('HARGA SATUAN'!$E$6,MATCH(RAB!C24,'HARGA SATUAN'!$C$7:$C$1492,0),0)))</f>
        <v>Bh</v>
      </c>
      <c r="F24" s="498">
        <f>F19*1</f>
        <v>1</v>
      </c>
      <c r="G24" s="360">
        <f ca="1">IF(ISERROR(OFFSET('HARGA SATUAN'!$I$6,MATCH(RAB!C24,'HARGA SATUAN'!$C$7:$C$1492,0),0)),0,OFFSET('HARGA SATUAN'!$I$6,MATCH(RAB!C24,'HARGA SATUAN'!$C$7:$C$1492,0),0))</f>
        <v>11400</v>
      </c>
      <c r="H24" s="361">
        <f t="shared" ca="1" si="8"/>
        <v>0</v>
      </c>
      <c r="I24" s="361">
        <f t="shared" ca="1" si="9"/>
        <v>11400</v>
      </c>
      <c r="J24" s="361">
        <f t="shared" ca="1" si="10"/>
        <v>0</v>
      </c>
      <c r="K24" s="362">
        <f t="shared" ca="1" si="11"/>
        <v>11400</v>
      </c>
      <c r="L24" s="342"/>
      <c r="M24" s="342"/>
      <c r="N24" s="369"/>
      <c r="O24" s="344"/>
      <c r="P24" s="396"/>
      <c r="Q24" s="344"/>
    </row>
    <row r="25" spans="1:22" s="365" customFormat="1">
      <c r="A25" s="336"/>
      <c r="B25" s="503">
        <v>6</v>
      </c>
      <c r="C25" s="504" t="s">
        <v>218</v>
      </c>
      <c r="D25" s="358" t="str">
        <f ca="1">IF(ISERROR(OFFSET('HARGA SATUAN'!$D$6,MATCH(RAB!C25,'HARGA SATUAN'!$C$7:$C$1492,0),0)),"",OFFSET('HARGA SATUAN'!$D$6,MATCH(RAB!C25,'HARGA SATUAN'!$C$7:$C$1492,0),0))</f>
        <v>HDW</v>
      </c>
      <c r="E25" s="359" t="str">
        <f ca="1">IF(B25="+","Unit",IF(ISERROR(OFFSET('HARGA SATUAN'!$E$6,MATCH(RAB!C25,'HARGA SATUAN'!$C$7:$C$1492,0),0)),"",OFFSET('HARGA SATUAN'!$E$6,MATCH(RAB!C25,'HARGA SATUAN'!$C$7:$C$1492,0),0)))</f>
        <v>Bh</v>
      </c>
      <c r="F25" s="498">
        <f>F19*2</f>
        <v>2</v>
      </c>
      <c r="G25" s="360">
        <f ca="1">IF(ISERROR(OFFSET('HARGA SATUAN'!$I$6,MATCH(RAB!C25,'HARGA SATUAN'!$C$7:$C$1492,0),0)),0,OFFSET('HARGA SATUAN'!$I$6,MATCH(RAB!C25,'HARGA SATUAN'!$C$7:$C$1492,0),0))</f>
        <v>29600</v>
      </c>
      <c r="H25" s="361">
        <f t="shared" ca="1" si="8"/>
        <v>0</v>
      </c>
      <c r="I25" s="361">
        <f t="shared" ca="1" si="9"/>
        <v>59200</v>
      </c>
      <c r="J25" s="361">
        <f t="shared" ca="1" si="10"/>
        <v>0</v>
      </c>
      <c r="K25" s="362">
        <f t="shared" ca="1" si="11"/>
        <v>59200</v>
      </c>
      <c r="L25" s="342"/>
      <c r="M25" s="342"/>
      <c r="N25" s="369"/>
      <c r="O25" s="344"/>
      <c r="P25" s="396"/>
      <c r="Q25" s="344"/>
    </row>
    <row r="26" spans="1:22" s="365" customFormat="1">
      <c r="A26" s="336"/>
      <c r="B26" s="495">
        <v>7</v>
      </c>
      <c r="C26" s="496" t="s">
        <v>223</v>
      </c>
      <c r="D26" s="358" t="str">
        <f ca="1">IF(ISERROR(OFFSET('HARGA SATUAN'!$D$6,MATCH(RAB!C26,'HARGA SATUAN'!$C$7:$C$1492,0),0)),"",OFFSET('HARGA SATUAN'!$D$6,MATCH(RAB!C26,'HARGA SATUAN'!$C$7:$C$1492,0),0))</f>
        <v>HDW</v>
      </c>
      <c r="E26" s="359" t="str">
        <f ca="1">IF(B26="+","Unit",IF(ISERROR(OFFSET('HARGA SATUAN'!$E$6,MATCH(RAB!C26,'HARGA SATUAN'!$C$7:$C$1492,0),0)),"",OFFSET('HARGA SATUAN'!$E$6,MATCH(RAB!C26,'HARGA SATUAN'!$C$7:$C$1492,0),0)))</f>
        <v>Bh</v>
      </c>
      <c r="F26" s="498">
        <f>F19*1</f>
        <v>1</v>
      </c>
      <c r="G26" s="360">
        <f ca="1">IF(ISERROR(OFFSET('HARGA SATUAN'!$I$6,MATCH(RAB!C26,'HARGA SATUAN'!$C$7:$C$1492,0),0)),0,OFFSET('HARGA SATUAN'!$I$6,MATCH(RAB!C26,'HARGA SATUAN'!$C$7:$C$1492,0),0))</f>
        <v>27815</v>
      </c>
      <c r="H26" s="361">
        <f t="shared" ca="1" si="8"/>
        <v>0</v>
      </c>
      <c r="I26" s="361">
        <f t="shared" ca="1" si="9"/>
        <v>27815</v>
      </c>
      <c r="J26" s="361">
        <f t="shared" ca="1" si="10"/>
        <v>0</v>
      </c>
      <c r="K26" s="362">
        <f t="shared" ca="1" si="11"/>
        <v>27815</v>
      </c>
      <c r="L26" s="342"/>
      <c r="M26" s="342"/>
      <c r="N26" s="369"/>
      <c r="O26" s="344"/>
      <c r="P26" s="396"/>
      <c r="Q26" s="344"/>
    </row>
    <row r="27" spans="1:22" s="365" customFormat="1">
      <c r="A27" s="336"/>
      <c r="B27" s="507">
        <v>8</v>
      </c>
      <c r="C27" s="508" t="s">
        <v>25</v>
      </c>
      <c r="D27" s="358" t="str">
        <f ca="1">IF(ISERROR(OFFSET('HARGA SATUAN'!$D$6,MATCH(RAB!C27,'HARGA SATUAN'!$C$7:$C$1492,0),0)),"",OFFSET('HARGA SATUAN'!$D$6,MATCH(RAB!C27,'HARGA SATUAN'!$C$7:$C$1492,0),0))</f>
        <v>HDW</v>
      </c>
      <c r="E27" s="359" t="str">
        <f ca="1">IF(B27="+","Unit",IF(ISERROR(OFFSET('HARGA SATUAN'!$E$6,MATCH(RAB!C27,'HARGA SATUAN'!$C$7:$C$1492,0),0)),"",OFFSET('HARGA SATUAN'!$E$6,MATCH(RAB!C27,'HARGA SATUAN'!$C$7:$C$1492,0),0)))</f>
        <v>Bh</v>
      </c>
      <c r="F27" s="498">
        <f>F19*1</f>
        <v>1</v>
      </c>
      <c r="G27" s="360">
        <f ca="1">IF(ISERROR(OFFSET('HARGA SATUAN'!$I$6,MATCH(RAB!C27,'HARGA SATUAN'!$C$7:$C$1492,0),0)),0,OFFSET('HARGA SATUAN'!$I$6,MATCH(RAB!C27,'HARGA SATUAN'!$C$7:$C$1492,0),0))</f>
        <v>23936</v>
      </c>
      <c r="H27" s="361">
        <f t="shared" ca="1" si="8"/>
        <v>0</v>
      </c>
      <c r="I27" s="361">
        <f t="shared" ca="1" si="9"/>
        <v>23936</v>
      </c>
      <c r="J27" s="361">
        <f t="shared" ca="1" si="10"/>
        <v>0</v>
      </c>
      <c r="K27" s="362">
        <f t="shared" ca="1" si="11"/>
        <v>23936</v>
      </c>
      <c r="L27" s="342"/>
      <c r="M27" s="342"/>
      <c r="N27" s="369"/>
      <c r="O27" s="344"/>
      <c r="P27" s="396"/>
      <c r="Q27" s="344"/>
    </row>
    <row r="28" spans="1:22" s="365" customFormat="1">
      <c r="A28" s="336"/>
      <c r="B28" s="507">
        <v>9</v>
      </c>
      <c r="C28" s="508" t="s">
        <v>247</v>
      </c>
      <c r="D28" s="358" t="str">
        <f ca="1">IF(ISERROR(OFFSET('HARGA SATUAN'!$D$6,MATCH(RAB!C28,'HARGA SATUAN'!$C$7:$C$1492,0),0)),"",OFFSET('HARGA SATUAN'!$D$6,MATCH(RAB!C28,'HARGA SATUAN'!$C$7:$C$1492,0),0))</f>
        <v>HDW</v>
      </c>
      <c r="E28" s="359" t="str">
        <f ca="1">IF(B28="+","Unit",IF(ISERROR(OFFSET('HARGA SATUAN'!$E$6,MATCH(RAB!C28,'HARGA SATUAN'!$C$7:$C$1492,0),0)),"",OFFSET('HARGA SATUAN'!$E$6,MATCH(RAB!C28,'HARGA SATUAN'!$C$7:$C$1492,0),0)))</f>
        <v>Bh</v>
      </c>
      <c r="F28" s="498">
        <f>F19*1</f>
        <v>1</v>
      </c>
      <c r="G28" s="360">
        <f ca="1">IF(ISERROR(OFFSET('HARGA SATUAN'!$I$6,MATCH(RAB!C28,'HARGA SATUAN'!$C$7:$C$1492,0),0)),0,OFFSET('HARGA SATUAN'!$I$6,MATCH(RAB!C28,'HARGA SATUAN'!$C$7:$C$1492,0),0))</f>
        <v>57690</v>
      </c>
      <c r="H28" s="361">
        <f t="shared" ca="1" si="8"/>
        <v>0</v>
      </c>
      <c r="I28" s="361">
        <f t="shared" ca="1" si="9"/>
        <v>57690</v>
      </c>
      <c r="J28" s="361">
        <f t="shared" ca="1" si="10"/>
        <v>0</v>
      </c>
      <c r="K28" s="362">
        <f t="shared" ca="1" si="11"/>
        <v>57690</v>
      </c>
      <c r="L28" s="342"/>
      <c r="M28" s="342"/>
      <c r="N28" s="369"/>
      <c r="O28" s="344"/>
      <c r="P28" s="396"/>
      <c r="Q28" s="344"/>
    </row>
    <row r="29" spans="1:22" s="365" customFormat="1">
      <c r="A29" s="336"/>
      <c r="B29" s="507">
        <v>10</v>
      </c>
      <c r="C29" s="109" t="s">
        <v>265</v>
      </c>
      <c r="D29" s="358" t="str">
        <f ca="1">IF(ISERROR(OFFSET('HARGA SATUAN'!$D$6,MATCH(RAB!C29,'HARGA SATUAN'!$C$7:$C$1492,0),0)),"",OFFSET('HARGA SATUAN'!$D$6,MATCH(RAB!C29,'HARGA SATUAN'!$C$7:$C$1492,0),0))</f>
        <v>HDW</v>
      </c>
      <c r="E29" s="359" t="str">
        <f ca="1">IF(B29="+","Unit",IF(ISERROR(OFFSET('HARGA SATUAN'!$E$6,MATCH(RAB!C29,'HARGA SATUAN'!$C$7:$C$1492,0),0)),"",OFFSET('HARGA SATUAN'!$E$6,MATCH(RAB!C29,'HARGA SATUAN'!$C$7:$C$1492,0),0)))</f>
        <v>Bh</v>
      </c>
      <c r="F29" s="498">
        <f>F19*1</f>
        <v>1</v>
      </c>
      <c r="G29" s="360">
        <f ca="1">IF(ISERROR(OFFSET('HARGA SATUAN'!$I$6,MATCH(RAB!C29,'HARGA SATUAN'!$C$7:$C$1492,0),0)),0,OFFSET('HARGA SATUAN'!$I$6,MATCH(RAB!C29,'HARGA SATUAN'!$C$7:$C$1492,0),0))</f>
        <v>33501.866666666669</v>
      </c>
      <c r="H29" s="361">
        <f t="shared" ca="1" si="8"/>
        <v>0</v>
      </c>
      <c r="I29" s="361">
        <f t="shared" ca="1" si="9"/>
        <v>33501.866666666669</v>
      </c>
      <c r="J29" s="361">
        <f t="shared" ca="1" si="10"/>
        <v>0</v>
      </c>
      <c r="K29" s="362">
        <f t="shared" ca="1" si="11"/>
        <v>33501.866666666669</v>
      </c>
      <c r="L29" s="342"/>
      <c r="M29" s="342"/>
      <c r="N29" s="369"/>
      <c r="O29" s="344"/>
      <c r="P29" s="396"/>
      <c r="Q29" s="344"/>
    </row>
    <row r="30" spans="1:22" s="365" customFormat="1">
      <c r="A30" s="336"/>
      <c r="B30" s="507">
        <v>11</v>
      </c>
      <c r="C30" s="508" t="s">
        <v>26</v>
      </c>
      <c r="D30" s="358" t="str">
        <f ca="1">IF(ISERROR(OFFSET('HARGA SATUAN'!$D$6,MATCH(RAB!C30,'HARGA SATUAN'!$C$7:$C$1492,0),0)),"",OFFSET('HARGA SATUAN'!$D$6,MATCH(RAB!C30,'HARGA SATUAN'!$C$7:$C$1492,0),0))</f>
        <v>HDW</v>
      </c>
      <c r="E30" s="359" t="str">
        <f ca="1">IF(B30="+","Unit",IF(ISERROR(OFFSET('HARGA SATUAN'!$E$6,MATCH(RAB!C30,'HARGA SATUAN'!$C$7:$C$1492,0),0)),"",OFFSET('HARGA SATUAN'!$E$6,MATCH(RAB!C30,'HARGA SATUAN'!$C$7:$C$1492,0),0)))</f>
        <v>Bh</v>
      </c>
      <c r="F30" s="498">
        <f>F19*1</f>
        <v>1</v>
      </c>
      <c r="G30" s="360">
        <f ca="1">IF(ISERROR(OFFSET('HARGA SATUAN'!$I$6,MATCH(RAB!C30,'HARGA SATUAN'!$C$7:$C$1492,0),0)),0,OFFSET('HARGA SATUAN'!$I$6,MATCH(RAB!C30,'HARGA SATUAN'!$C$7:$C$1492,0),0))</f>
        <v>2500</v>
      </c>
      <c r="H30" s="361">
        <f t="shared" ca="1" si="8"/>
        <v>0</v>
      </c>
      <c r="I30" s="361">
        <f t="shared" ca="1" si="9"/>
        <v>2500</v>
      </c>
      <c r="J30" s="361">
        <f t="shared" ca="1" si="10"/>
        <v>0</v>
      </c>
      <c r="K30" s="362">
        <f t="shared" ca="1" si="11"/>
        <v>2500</v>
      </c>
      <c r="L30" s="342"/>
      <c r="M30" s="342"/>
      <c r="N30" s="369"/>
      <c r="O30" s="344"/>
      <c r="P30" s="396"/>
      <c r="Q30" s="344"/>
    </row>
    <row r="31" spans="1:22" s="365" customFormat="1">
      <c r="A31" s="336"/>
      <c r="B31" s="503">
        <v>12</v>
      </c>
      <c r="C31" s="504" t="s">
        <v>657</v>
      </c>
      <c r="D31" s="358" t="str">
        <f ca="1">IF(ISERROR(OFFSET('HARGA SATUAN'!$D$6,MATCH(RAB!C31,'HARGA SATUAN'!$C$7:$C$1492,0),0)),"",OFFSET('HARGA SATUAN'!$D$6,MATCH(RAB!C31,'HARGA SATUAN'!$C$7:$C$1492,0),0))</f>
        <v>JASA</v>
      </c>
      <c r="E31" s="359" t="str">
        <f ca="1">IF(B31="+","Unit",IF(ISERROR(OFFSET('HARGA SATUAN'!$E$6,MATCH(RAB!C31,'HARGA SATUAN'!$C$7:$C$1492,0),0)),"",OFFSET('HARGA SATUAN'!$E$6,MATCH(RAB!C31,'HARGA SATUAN'!$C$7:$C$1492,0),0)))</f>
        <v>Unit</v>
      </c>
      <c r="F31" s="498">
        <f>F19*1</f>
        <v>1</v>
      </c>
      <c r="G31" s="360">
        <f ca="1">IF(ISERROR(OFFSET('HARGA SATUAN'!$I$6,MATCH(RAB!C31,'HARGA SATUAN'!$C$7:$C$1492,0),0)),0,OFFSET('HARGA SATUAN'!$I$6,MATCH(RAB!C31,'HARGA SATUAN'!$C$7:$C$1492,0),0))</f>
        <v>53800</v>
      </c>
      <c r="H31" s="361">
        <f t="shared" ca="1" si="8"/>
        <v>0</v>
      </c>
      <c r="I31" s="361">
        <f t="shared" ca="1" si="9"/>
        <v>0</v>
      </c>
      <c r="J31" s="361">
        <f t="shared" ca="1" si="10"/>
        <v>53800</v>
      </c>
      <c r="K31" s="362">
        <f t="shared" ca="1" si="11"/>
        <v>53800</v>
      </c>
      <c r="L31" s="342"/>
      <c r="M31" s="342"/>
      <c r="N31" s="369"/>
      <c r="O31" s="344"/>
      <c r="P31" s="396"/>
      <c r="Q31" s="344"/>
    </row>
    <row r="32" spans="1:22" s="365" customFormat="1">
      <c r="A32" s="336"/>
      <c r="B32" s="503"/>
      <c r="C32" s="504"/>
      <c r="D32" s="358" t="str">
        <f ca="1">IF(ISERROR(OFFSET('HARGA SATUAN'!$D$6,MATCH(RAB!C32,'HARGA SATUAN'!$C$7:$C$1492,0),0)),"",OFFSET('HARGA SATUAN'!$D$6,MATCH(RAB!C32,'HARGA SATUAN'!$C$7:$C$1492,0),0))</f>
        <v/>
      </c>
      <c r="E32" s="359" t="str">
        <f ca="1">IF(B32="+","Unit",IF(ISERROR(OFFSET('HARGA SATUAN'!$E$6,MATCH(RAB!C32,'HARGA SATUAN'!$C$7:$C$1492,0),0)),"",OFFSET('HARGA SATUAN'!$E$6,MATCH(RAB!C32,'HARGA SATUAN'!$C$7:$C$1492,0),0)))</f>
        <v/>
      </c>
      <c r="F32" s="498"/>
      <c r="G32" s="360">
        <f ca="1">IF(ISERROR(OFFSET('HARGA SATUAN'!$I$6,MATCH(RAB!C32,'HARGA SATUAN'!$C$7:$C$1492,0),0)),0,OFFSET('HARGA SATUAN'!$I$6,MATCH(RAB!C32,'HARGA SATUAN'!$C$7:$C$1492,0),0))</f>
        <v>0</v>
      </c>
      <c r="H32" s="361">
        <f t="shared" ca="1" si="8"/>
        <v>0</v>
      </c>
      <c r="I32" s="361">
        <f t="shared" ca="1" si="9"/>
        <v>0</v>
      </c>
      <c r="J32" s="361">
        <f t="shared" ca="1" si="10"/>
        <v>0</v>
      </c>
      <c r="K32" s="362">
        <f t="shared" ca="1" si="11"/>
        <v>0</v>
      </c>
      <c r="L32" s="342"/>
      <c r="M32" s="342"/>
      <c r="N32" s="369"/>
      <c r="O32" s="344"/>
      <c r="P32" s="396"/>
      <c r="Q32" s="344"/>
    </row>
    <row r="33" spans="1:17" s="365" customFormat="1">
      <c r="A33" s="336"/>
      <c r="B33" s="503" t="s">
        <v>1035</v>
      </c>
      <c r="C33" s="504" t="s">
        <v>1634</v>
      </c>
      <c r="D33" s="358" t="str">
        <f ca="1">IF(ISERROR(OFFSET('HARGA SATUAN'!$D$6,MATCH(RAB!C33,'HARGA SATUAN'!$C$7:$C$1492,0),0)),"",OFFSET('HARGA SATUAN'!$D$6,MATCH(RAB!C33,'HARGA SATUAN'!$C$7:$C$1492,0),0))</f>
        <v/>
      </c>
      <c r="E33" s="359" t="str">
        <f ca="1">IF(B33="+","Unit",IF(ISERROR(OFFSET('HARGA SATUAN'!$E$6,MATCH(RAB!C33,'HARGA SATUAN'!$C$7:$C$1492,0),0)),"",OFFSET('HARGA SATUAN'!$E$6,MATCH(RAB!C33,'HARGA SATUAN'!$C$7:$C$1492,0),0)))</f>
        <v>Unit</v>
      </c>
      <c r="F33" s="498">
        <v>2</v>
      </c>
      <c r="G33" s="360">
        <f ca="1">IF(ISERROR(OFFSET('HARGA SATUAN'!$I$6,MATCH(RAB!C33,'HARGA SATUAN'!$C$7:$C$1492,0),0)),0,OFFSET('HARGA SATUAN'!$I$6,MATCH(RAB!C33,'HARGA SATUAN'!$C$7:$C$1492,0),0))</f>
        <v>0</v>
      </c>
      <c r="H33" s="361">
        <f t="shared" ca="1" si="8"/>
        <v>0</v>
      </c>
      <c r="I33" s="361">
        <f t="shared" ca="1" si="9"/>
        <v>0</v>
      </c>
      <c r="J33" s="361">
        <f t="shared" ca="1" si="10"/>
        <v>0</v>
      </c>
      <c r="K33" s="362">
        <f t="shared" ca="1" si="11"/>
        <v>0</v>
      </c>
      <c r="L33" s="342"/>
      <c r="M33" s="342"/>
      <c r="N33" s="369"/>
      <c r="O33" s="344"/>
      <c r="P33" s="396"/>
      <c r="Q33" s="344"/>
    </row>
    <row r="34" spans="1:17" s="365" customFormat="1">
      <c r="A34" s="336"/>
      <c r="B34" s="503">
        <v>1</v>
      </c>
      <c r="C34" s="109" t="s">
        <v>1564</v>
      </c>
      <c r="D34" s="358" t="str">
        <f ca="1">IF(ISERROR(OFFSET('HARGA SATUAN'!$D$6,MATCH(RAB!C34,'HARGA SATUAN'!$C$7:$C$1492,0),0)),"",OFFSET('HARGA SATUAN'!$D$6,MATCH(RAB!C34,'HARGA SATUAN'!$C$7:$C$1492,0),0))</f>
        <v>MDU-KD</v>
      </c>
      <c r="E34" s="359" t="str">
        <f ca="1">IF(B34="+","Unit",IF(ISERROR(OFFSET('HARGA SATUAN'!$E$6,MATCH(RAB!C34,'HARGA SATUAN'!$C$7:$C$1492,0),0)),"",OFFSET('HARGA SATUAN'!$E$6,MATCH(RAB!C34,'HARGA SATUAN'!$C$7:$C$1492,0),0)))</f>
        <v>Bh</v>
      </c>
      <c r="F34" s="498">
        <f>F33*1</f>
        <v>2</v>
      </c>
      <c r="G34" s="360">
        <f ca="1">IF(ISERROR(OFFSET('HARGA SATUAN'!$I$6,MATCH(RAB!C34,'HARGA SATUAN'!$C$7:$C$1492,0),0)),0,OFFSET('HARGA SATUAN'!$I$6,MATCH(RAB!C34,'HARGA SATUAN'!$C$7:$C$1492,0),0))</f>
        <v>235900</v>
      </c>
      <c r="H34" s="361">
        <f t="shared" ca="1" si="8"/>
        <v>471800</v>
      </c>
      <c r="I34" s="361">
        <f t="shared" ca="1" si="9"/>
        <v>0</v>
      </c>
      <c r="J34" s="361">
        <f t="shared" ca="1" si="10"/>
        <v>0</v>
      </c>
      <c r="K34" s="362">
        <f t="shared" ca="1" si="11"/>
        <v>471800</v>
      </c>
      <c r="L34" s="342"/>
      <c r="M34" s="342"/>
      <c r="N34" s="369"/>
      <c r="O34" s="344"/>
      <c r="P34" s="396"/>
      <c r="Q34" s="344"/>
    </row>
    <row r="35" spans="1:17" s="365" customFormat="1">
      <c r="A35" s="336"/>
      <c r="B35" s="503">
        <v>2</v>
      </c>
      <c r="C35" s="504" t="s">
        <v>28</v>
      </c>
      <c r="D35" s="358" t="str">
        <f ca="1">IF(ISERROR(OFFSET('HARGA SATUAN'!$D$6,MATCH(RAB!C35,'HARGA SATUAN'!$C$7:$C$1492,0),0)),"",OFFSET('HARGA SATUAN'!$D$6,MATCH(RAB!C35,'HARGA SATUAN'!$C$7:$C$1492,0),0))</f>
        <v>HDW</v>
      </c>
      <c r="E35" s="359" t="str">
        <f ca="1">IF(B35="+","Unit",IF(ISERROR(OFFSET('HARGA SATUAN'!$E$6,MATCH(RAB!C35,'HARGA SATUAN'!$C$7:$C$1492,0),0)),"",OFFSET('HARGA SATUAN'!$E$6,MATCH(RAB!C35,'HARGA SATUAN'!$C$7:$C$1492,0),0)))</f>
        <v>Bh</v>
      </c>
      <c r="F35" s="498">
        <f>F33*2</f>
        <v>4</v>
      </c>
      <c r="G35" s="360">
        <f ca="1">IF(ISERROR(OFFSET('HARGA SATUAN'!$I$6,MATCH(RAB!C35,'HARGA SATUAN'!$C$7:$C$1492,0),0)),0,OFFSET('HARGA SATUAN'!$I$6,MATCH(RAB!C35,'HARGA SATUAN'!$C$7:$C$1492,0),0))</f>
        <v>26500</v>
      </c>
      <c r="H35" s="361">
        <f t="shared" ca="1" si="8"/>
        <v>0</v>
      </c>
      <c r="I35" s="361">
        <f t="shared" ca="1" si="9"/>
        <v>106000</v>
      </c>
      <c r="J35" s="361">
        <f t="shared" ca="1" si="10"/>
        <v>0</v>
      </c>
      <c r="K35" s="362">
        <f t="shared" ca="1" si="11"/>
        <v>106000</v>
      </c>
      <c r="L35" s="342"/>
      <c r="M35" s="342"/>
      <c r="N35" s="369"/>
      <c r="O35" s="344"/>
      <c r="P35" s="396"/>
      <c r="Q35" s="344"/>
    </row>
    <row r="36" spans="1:17" s="365" customFormat="1">
      <c r="A36" s="336"/>
      <c r="B36" s="503">
        <v>3</v>
      </c>
      <c r="C36" s="504" t="s">
        <v>178</v>
      </c>
      <c r="D36" s="358" t="str">
        <f ca="1">IF(ISERROR(OFFSET('HARGA SATUAN'!$D$6,MATCH(RAB!C36,'HARGA SATUAN'!$C$7:$C$1492,0),0)),"",OFFSET('HARGA SATUAN'!$D$6,MATCH(RAB!C36,'HARGA SATUAN'!$C$7:$C$1492,0),0))</f>
        <v>HDW</v>
      </c>
      <c r="E36" s="359" t="str">
        <f ca="1">IF(B36="+","Unit",IF(ISERROR(OFFSET('HARGA SATUAN'!$E$6,MATCH(RAB!C36,'HARGA SATUAN'!$C$7:$C$1492,0),0)),"",OFFSET('HARGA SATUAN'!$E$6,MATCH(RAB!C36,'HARGA SATUAN'!$C$7:$C$1492,0),0)))</f>
        <v>Bh</v>
      </c>
      <c r="F36" s="498">
        <f>F33*1</f>
        <v>2</v>
      </c>
      <c r="G36" s="360">
        <f ca="1">IF(ISERROR(OFFSET('HARGA SATUAN'!$I$6,MATCH(RAB!C36,'HARGA SATUAN'!$C$7:$C$1492,0),0)),0,OFFSET('HARGA SATUAN'!$I$6,MATCH(RAB!C36,'HARGA SATUAN'!$C$7:$C$1492,0),0))</f>
        <v>95000</v>
      </c>
      <c r="H36" s="361">
        <f t="shared" ca="1" si="8"/>
        <v>0</v>
      </c>
      <c r="I36" s="361">
        <f t="shared" ca="1" si="9"/>
        <v>190000</v>
      </c>
      <c r="J36" s="361">
        <f t="shared" ca="1" si="10"/>
        <v>0</v>
      </c>
      <c r="K36" s="362">
        <f t="shared" ca="1" si="11"/>
        <v>190000</v>
      </c>
      <c r="L36" s="342"/>
      <c r="M36" s="342"/>
      <c r="N36" s="369"/>
      <c r="O36" s="344"/>
      <c r="P36" s="396"/>
      <c r="Q36" s="344"/>
    </row>
    <row r="37" spans="1:17" s="365" customFormat="1">
      <c r="A37" s="336"/>
      <c r="B37" s="495">
        <v>4</v>
      </c>
      <c r="C37" s="109" t="s">
        <v>217</v>
      </c>
      <c r="D37" s="358" t="str">
        <f ca="1">IF(ISERROR(OFFSET('HARGA SATUAN'!$D$6,MATCH(RAB!C37,'HARGA SATUAN'!$C$7:$C$1492,0),0)),"",OFFSET('HARGA SATUAN'!$D$6,MATCH(RAB!C37,'HARGA SATUAN'!$C$7:$C$1492,0),0))</f>
        <v>HDW</v>
      </c>
      <c r="E37" s="359" t="str">
        <f ca="1">IF(B37="+","Unit",IF(ISERROR(OFFSET('HARGA SATUAN'!$E$6,MATCH(RAB!C37,'HARGA SATUAN'!$C$7:$C$1492,0),0)),"",OFFSET('HARGA SATUAN'!$E$6,MATCH(RAB!C37,'HARGA SATUAN'!$C$7:$C$1492,0),0)))</f>
        <v>Bh</v>
      </c>
      <c r="F37" s="498">
        <f>F33*2</f>
        <v>4</v>
      </c>
      <c r="G37" s="360">
        <f ca="1">IF(ISERROR(OFFSET('HARGA SATUAN'!$I$6,MATCH(RAB!C37,'HARGA SATUAN'!$C$7:$C$1492,0),0)),0,OFFSET('HARGA SATUAN'!$I$6,MATCH(RAB!C37,'HARGA SATUAN'!$C$7:$C$1492,0),0))</f>
        <v>11400</v>
      </c>
      <c r="H37" s="361">
        <f t="shared" ca="1" si="8"/>
        <v>0</v>
      </c>
      <c r="I37" s="361">
        <f t="shared" ca="1" si="9"/>
        <v>45600</v>
      </c>
      <c r="J37" s="361">
        <f t="shared" ca="1" si="10"/>
        <v>0</v>
      </c>
      <c r="K37" s="362">
        <f t="shared" ca="1" si="11"/>
        <v>45600</v>
      </c>
      <c r="L37" s="342"/>
      <c r="M37" s="342"/>
      <c r="N37" s="369"/>
      <c r="O37" s="344"/>
      <c r="P37" s="396"/>
      <c r="Q37" s="344"/>
    </row>
    <row r="38" spans="1:17" s="365" customFormat="1">
      <c r="A38" s="336"/>
      <c r="B38" s="507">
        <v>5</v>
      </c>
      <c r="C38" s="508" t="s">
        <v>254</v>
      </c>
      <c r="D38" s="358" t="str">
        <f ca="1">IF(ISERROR(OFFSET('HARGA SATUAN'!$D$6,MATCH(RAB!C38,'HARGA SATUAN'!$C$7:$C$1492,0),0)),"",OFFSET('HARGA SATUAN'!$D$6,MATCH(RAB!C38,'HARGA SATUAN'!$C$7:$C$1492,0),0))</f>
        <v>HDW</v>
      </c>
      <c r="E38" s="359" t="str">
        <f ca="1">IF(B38="+","Unit",IF(ISERROR(OFFSET('HARGA SATUAN'!$E$6,MATCH(RAB!C38,'HARGA SATUAN'!$C$7:$C$1492,0),0)),"",OFFSET('HARGA SATUAN'!$E$6,MATCH(RAB!C38,'HARGA SATUAN'!$C$7:$C$1492,0),0)))</f>
        <v>Bh</v>
      </c>
      <c r="F38" s="498">
        <f>F33*1</f>
        <v>2</v>
      </c>
      <c r="G38" s="360">
        <f ca="1">IF(ISERROR(OFFSET('HARGA SATUAN'!$I$6,MATCH(RAB!C38,'HARGA SATUAN'!$C$7:$C$1492,0),0)),0,OFFSET('HARGA SATUAN'!$I$6,MATCH(RAB!C38,'HARGA SATUAN'!$C$7:$C$1492,0),0))</f>
        <v>51100</v>
      </c>
      <c r="H38" s="361">
        <f t="shared" ca="1" si="8"/>
        <v>0</v>
      </c>
      <c r="I38" s="361">
        <f t="shared" ca="1" si="9"/>
        <v>102200</v>
      </c>
      <c r="J38" s="361">
        <f t="shared" ca="1" si="10"/>
        <v>0</v>
      </c>
      <c r="K38" s="362">
        <f t="shared" ca="1" si="11"/>
        <v>102200</v>
      </c>
      <c r="L38" s="342"/>
      <c r="M38" s="342"/>
      <c r="N38" s="369"/>
      <c r="O38" s="344"/>
      <c r="P38" s="396"/>
      <c r="Q38" s="344"/>
    </row>
    <row r="39" spans="1:17" s="365" customFormat="1">
      <c r="A39" s="336"/>
      <c r="B39" s="507">
        <v>6</v>
      </c>
      <c r="C39" s="508" t="s">
        <v>264</v>
      </c>
      <c r="D39" s="358" t="str">
        <f ca="1">IF(ISERROR(OFFSET('HARGA SATUAN'!$D$6,MATCH(RAB!C39,'HARGA SATUAN'!$C$7:$C$1492,0),0)),"",OFFSET('HARGA SATUAN'!$D$6,MATCH(RAB!C39,'HARGA SATUAN'!$C$7:$C$1492,0),0))</f>
        <v>HDW</v>
      </c>
      <c r="E39" s="359" t="str">
        <f ca="1">IF(B39="+","Unit",IF(ISERROR(OFFSET('HARGA SATUAN'!$E$6,MATCH(RAB!C39,'HARGA SATUAN'!$C$7:$C$1492,0),0)),"",OFFSET('HARGA SATUAN'!$E$6,MATCH(RAB!C39,'HARGA SATUAN'!$C$7:$C$1492,0),0)))</f>
        <v>Bh</v>
      </c>
      <c r="F39" s="498">
        <f>F33*1</f>
        <v>2</v>
      </c>
      <c r="G39" s="360">
        <f ca="1">IF(ISERROR(OFFSET('HARGA SATUAN'!$I$6,MATCH(RAB!C39,'HARGA SATUAN'!$C$7:$C$1492,0),0)),0,OFFSET('HARGA SATUAN'!$I$6,MATCH(RAB!C39,'HARGA SATUAN'!$C$7:$C$1492,0),0))</f>
        <v>28000</v>
      </c>
      <c r="H39" s="361">
        <f t="shared" ca="1" si="8"/>
        <v>0</v>
      </c>
      <c r="I39" s="361">
        <f t="shared" ca="1" si="9"/>
        <v>56000</v>
      </c>
      <c r="J39" s="361">
        <f t="shared" ca="1" si="10"/>
        <v>0</v>
      </c>
      <c r="K39" s="362">
        <f t="shared" ca="1" si="11"/>
        <v>56000</v>
      </c>
      <c r="L39" s="342"/>
      <c r="M39" s="342"/>
      <c r="N39" s="369"/>
      <c r="O39" s="344"/>
      <c r="P39" s="396"/>
      <c r="Q39" s="344"/>
    </row>
    <row r="40" spans="1:17" s="365" customFormat="1">
      <c r="A40" s="336"/>
      <c r="B40" s="507">
        <v>7</v>
      </c>
      <c r="C40" s="508" t="s">
        <v>38</v>
      </c>
      <c r="D40" s="358" t="str">
        <f ca="1">IF(ISERROR(OFFSET('HARGA SATUAN'!$D$6,MATCH(RAB!C40,'HARGA SATUAN'!$C$7:$C$1492,0),0)),"",OFFSET('HARGA SATUAN'!$D$6,MATCH(RAB!C40,'HARGA SATUAN'!$C$7:$C$1492,0),0))</f>
        <v>HDW</v>
      </c>
      <c r="E40" s="359" t="str">
        <f ca="1">IF(B40="+","Unit",IF(ISERROR(OFFSET('HARGA SATUAN'!$E$6,MATCH(RAB!C40,'HARGA SATUAN'!$C$7:$C$1492,0),0)),"",OFFSET('HARGA SATUAN'!$E$6,MATCH(RAB!C40,'HARGA SATUAN'!$C$7:$C$1492,0),0)))</f>
        <v>Mtr</v>
      </c>
      <c r="F40" s="498">
        <f>2.6*F33</f>
        <v>5.2</v>
      </c>
      <c r="G40" s="360">
        <f ca="1">IF(ISERROR(OFFSET('HARGA SATUAN'!$I$6,MATCH(RAB!C40,'HARGA SATUAN'!$C$7:$C$1492,0),0)),0,OFFSET('HARGA SATUAN'!$I$6,MATCH(RAB!C40,'HARGA SATUAN'!$C$7:$C$1492,0),0))</f>
        <v>8550</v>
      </c>
      <c r="H40" s="361">
        <f t="shared" ref="H40:H61" ca="1" si="12">IF(OR(D40="MDU",D40="MDU-KD"),(IF($O$3="RAB NON MDU","PLN KD",G40*F40)),0)</f>
        <v>0</v>
      </c>
      <c r="I40" s="361">
        <f t="shared" ref="I40:I61" ca="1" si="13">IF(D40="HDW",G40*F40,0)</f>
        <v>44460</v>
      </c>
      <c r="J40" s="361">
        <f t="shared" ref="J40:J61" ca="1" si="14">IF(D40="JASA",G40*F40,0)</f>
        <v>0</v>
      </c>
      <c r="K40" s="362">
        <f t="shared" ref="K40:K61" ca="1" si="15">SUM(H40:J40)</f>
        <v>44460</v>
      </c>
      <c r="L40" s="342"/>
      <c r="M40" s="342"/>
      <c r="N40" s="369"/>
      <c r="O40" s="344"/>
      <c r="P40" s="396"/>
      <c r="Q40" s="344"/>
    </row>
    <row r="41" spans="1:17" s="365" customFormat="1">
      <c r="A41" s="336"/>
      <c r="B41" s="507">
        <v>8</v>
      </c>
      <c r="C41" s="508" t="s">
        <v>26</v>
      </c>
      <c r="D41" s="358" t="str">
        <f ca="1">IF(ISERROR(OFFSET('HARGA SATUAN'!$D$6,MATCH(RAB!C41,'HARGA SATUAN'!$C$7:$C$1492,0),0)),"",OFFSET('HARGA SATUAN'!$D$6,MATCH(RAB!C41,'HARGA SATUAN'!$C$7:$C$1492,0),0))</f>
        <v>HDW</v>
      </c>
      <c r="E41" s="359" t="str">
        <f ca="1">IF(B41="+","Unit",IF(ISERROR(OFFSET('HARGA SATUAN'!$E$6,MATCH(RAB!C41,'HARGA SATUAN'!$C$7:$C$1492,0),0)),"",OFFSET('HARGA SATUAN'!$E$6,MATCH(RAB!C41,'HARGA SATUAN'!$C$7:$C$1492,0),0)))</f>
        <v>Bh</v>
      </c>
      <c r="F41" s="498">
        <f>F33*2</f>
        <v>4</v>
      </c>
      <c r="G41" s="360">
        <f ca="1">IF(ISERROR(OFFSET('HARGA SATUAN'!$I$6,MATCH(RAB!C41,'HARGA SATUAN'!$C$7:$C$1492,0),0)),0,OFFSET('HARGA SATUAN'!$I$6,MATCH(RAB!C41,'HARGA SATUAN'!$C$7:$C$1492,0),0))</f>
        <v>2500</v>
      </c>
      <c r="H41" s="361">
        <f t="shared" ca="1" si="12"/>
        <v>0</v>
      </c>
      <c r="I41" s="361">
        <f t="shared" ca="1" si="13"/>
        <v>10000</v>
      </c>
      <c r="J41" s="361">
        <f t="shared" ca="1" si="14"/>
        <v>0</v>
      </c>
      <c r="K41" s="362">
        <f t="shared" ca="1" si="15"/>
        <v>10000</v>
      </c>
      <c r="L41" s="342"/>
      <c r="M41" s="342"/>
      <c r="N41" s="369"/>
      <c r="O41" s="344"/>
      <c r="P41" s="396"/>
      <c r="Q41" s="344"/>
    </row>
    <row r="42" spans="1:17" s="365" customFormat="1">
      <c r="A42" s="336"/>
      <c r="B42" s="503">
        <v>9</v>
      </c>
      <c r="C42" s="504" t="s">
        <v>641</v>
      </c>
      <c r="D42" s="358" t="str">
        <f ca="1">IF(ISERROR(OFFSET('HARGA SATUAN'!$D$6,MATCH(RAB!C42,'HARGA SATUAN'!$C$7:$C$1492,0),0)),"",OFFSET('HARGA SATUAN'!$D$6,MATCH(RAB!C42,'HARGA SATUAN'!$C$7:$C$1492,0),0))</f>
        <v>JASA</v>
      </c>
      <c r="E42" s="359" t="str">
        <f ca="1">IF(B42="+","Unit",IF(ISERROR(OFFSET('HARGA SATUAN'!$E$6,MATCH(RAB!C42,'HARGA SATUAN'!$C$7:$C$1492,0),0)),"",OFFSET('HARGA SATUAN'!$E$6,MATCH(RAB!C42,'HARGA SATUAN'!$C$7:$C$1492,0),0)))</f>
        <v>Unit</v>
      </c>
      <c r="F42" s="498">
        <f>F33*1</f>
        <v>2</v>
      </c>
      <c r="G42" s="360">
        <f ca="1">IF(ISERROR(OFFSET('HARGA SATUAN'!$I$6,MATCH(RAB!C42,'HARGA SATUAN'!$C$7:$C$1492,0),0)),0,OFFSET('HARGA SATUAN'!$I$6,MATCH(RAB!C42,'HARGA SATUAN'!$C$7:$C$1492,0),0))</f>
        <v>53200</v>
      </c>
      <c r="H42" s="361">
        <f t="shared" ca="1" si="12"/>
        <v>0</v>
      </c>
      <c r="I42" s="361">
        <f t="shared" ca="1" si="13"/>
        <v>0</v>
      </c>
      <c r="J42" s="361">
        <f t="shared" ca="1" si="14"/>
        <v>106400</v>
      </c>
      <c r="K42" s="362">
        <f t="shared" ca="1" si="15"/>
        <v>106400</v>
      </c>
      <c r="L42" s="342"/>
      <c r="M42" s="342"/>
      <c r="N42" s="369"/>
      <c r="O42" s="344"/>
      <c r="P42" s="396"/>
      <c r="Q42" s="344"/>
    </row>
    <row r="43" spans="1:17" s="365" customFormat="1">
      <c r="A43" s="336"/>
      <c r="B43" s="503"/>
      <c r="C43" s="504"/>
      <c r="D43" s="358" t="str">
        <f ca="1">IF(ISERROR(OFFSET('HARGA SATUAN'!$D$6,MATCH(RAB!C43,'HARGA SATUAN'!$C$7:$C$1492,0),0)),"",OFFSET('HARGA SATUAN'!$D$6,MATCH(RAB!C43,'HARGA SATUAN'!$C$7:$C$1492,0),0))</f>
        <v/>
      </c>
      <c r="E43" s="359" t="str">
        <f ca="1">IF(B43="+","Unit",IF(ISERROR(OFFSET('HARGA SATUAN'!$E$6,MATCH(RAB!C43,'HARGA SATUAN'!$C$7:$C$1492,0),0)),"",OFFSET('HARGA SATUAN'!$E$6,MATCH(RAB!C43,'HARGA SATUAN'!$C$7:$C$1492,0),0)))</f>
        <v/>
      </c>
      <c r="F43" s="498"/>
      <c r="G43" s="360">
        <f ca="1">IF(ISERROR(OFFSET('HARGA SATUAN'!$I$6,MATCH(RAB!C43,'HARGA SATUAN'!$C$7:$C$1492,0),0)),0,OFFSET('HARGA SATUAN'!$I$6,MATCH(RAB!C43,'HARGA SATUAN'!$C$7:$C$1492,0),0))</f>
        <v>0</v>
      </c>
      <c r="H43" s="361">
        <f t="shared" ca="1" si="12"/>
        <v>0</v>
      </c>
      <c r="I43" s="361">
        <f t="shared" ca="1" si="13"/>
        <v>0</v>
      </c>
      <c r="J43" s="361">
        <f t="shared" ca="1" si="14"/>
        <v>0</v>
      </c>
      <c r="K43" s="362">
        <f t="shared" ca="1" si="15"/>
        <v>0</v>
      </c>
      <c r="L43" s="342"/>
      <c r="M43" s="342"/>
      <c r="N43" s="369"/>
      <c r="O43" s="344"/>
      <c r="P43" s="396"/>
      <c r="Q43" s="344"/>
    </row>
    <row r="44" spans="1:17" s="365" customFormat="1">
      <c r="A44" s="336"/>
      <c r="B44" s="503" t="s">
        <v>1035</v>
      </c>
      <c r="C44" s="504" t="s">
        <v>1635</v>
      </c>
      <c r="D44" s="358" t="str">
        <f ca="1">IF(ISERROR(OFFSET('HARGA SATUAN'!$D$6,MATCH(RAB!C44,'HARGA SATUAN'!$C$7:$C$1492,0),0)),"",OFFSET('HARGA SATUAN'!$D$6,MATCH(RAB!C44,'HARGA SATUAN'!$C$7:$C$1492,0),0))</f>
        <v/>
      </c>
      <c r="E44" s="359" t="str">
        <f ca="1">IF(B44="+","Unit",IF(ISERROR(OFFSET('HARGA SATUAN'!$E$6,MATCH(RAB!C44,'HARGA SATUAN'!$C$7:$C$1492,0),0)),"",OFFSET('HARGA SATUAN'!$E$6,MATCH(RAB!C44,'HARGA SATUAN'!$C$7:$C$1492,0),0)))</f>
        <v>Unit</v>
      </c>
      <c r="F44" s="498">
        <v>1</v>
      </c>
      <c r="G44" s="360">
        <f ca="1">IF(ISERROR(OFFSET('HARGA SATUAN'!$I$6,MATCH(RAB!C44,'HARGA SATUAN'!$C$7:$C$1492,0),0)),0,OFFSET('HARGA SATUAN'!$I$6,MATCH(RAB!C44,'HARGA SATUAN'!$C$7:$C$1492,0),0))</f>
        <v>0</v>
      </c>
      <c r="H44" s="361">
        <f t="shared" ref="H44:H48" ca="1" si="16">IF(OR(D44="MDU",D44="MDU-KD"),(IF($O$3="RAB NON MDU","PLN KD",G44*F44)),0)</f>
        <v>0</v>
      </c>
      <c r="I44" s="361">
        <f t="shared" ref="I44:I48" ca="1" si="17">IF(D44="HDW",G44*F44,0)</f>
        <v>0</v>
      </c>
      <c r="J44" s="361">
        <f t="shared" ref="J44:J48" ca="1" si="18">IF(D44="JASA",G44*F44,0)</f>
        <v>0</v>
      </c>
      <c r="K44" s="362">
        <f t="shared" ref="K44:K48" ca="1" si="19">SUM(H44:J44)</f>
        <v>0</v>
      </c>
      <c r="L44" s="342"/>
      <c r="M44" s="342"/>
      <c r="N44" s="369"/>
      <c r="O44" s="344"/>
      <c r="P44" s="396"/>
      <c r="Q44" s="344"/>
    </row>
    <row r="45" spans="1:17" s="365" customFormat="1">
      <c r="A45" s="336"/>
      <c r="B45" s="503">
        <v>1</v>
      </c>
      <c r="C45" s="109" t="s">
        <v>1566</v>
      </c>
      <c r="D45" s="358" t="str">
        <f ca="1">IF(ISERROR(OFFSET('HARGA SATUAN'!$D$6,MATCH(RAB!C45,'HARGA SATUAN'!$C$7:$C$1492,0),0)),"",OFFSET('HARGA SATUAN'!$D$6,MATCH(RAB!C45,'HARGA SATUAN'!$C$7:$C$1492,0),0))</f>
        <v>MDU-KD</v>
      </c>
      <c r="E45" s="359" t="str">
        <f ca="1">IF(B45="+","Unit",IF(ISERROR(OFFSET('HARGA SATUAN'!$E$6,MATCH(RAB!C45,'HARGA SATUAN'!$C$7:$C$1492,0),0)),"",OFFSET('HARGA SATUAN'!$E$6,MATCH(RAB!C45,'HARGA SATUAN'!$C$7:$C$1492,0),0)))</f>
        <v>Set</v>
      </c>
      <c r="F45" s="498">
        <f>F44*1</f>
        <v>1</v>
      </c>
      <c r="G45" s="360">
        <f ca="1">IF(ISERROR(OFFSET('HARGA SATUAN'!$I$6,MATCH(RAB!C45,'HARGA SATUAN'!$C$7:$C$1492,0),0)),0,OFFSET('HARGA SATUAN'!$I$6,MATCH(RAB!C45,'HARGA SATUAN'!$C$7:$C$1492,0),0))</f>
        <v>205700</v>
      </c>
      <c r="H45" s="361">
        <f t="shared" ca="1" si="16"/>
        <v>205700</v>
      </c>
      <c r="I45" s="361">
        <f t="shared" ca="1" si="17"/>
        <v>0</v>
      </c>
      <c r="J45" s="361">
        <f t="shared" ca="1" si="18"/>
        <v>0</v>
      </c>
      <c r="K45" s="362">
        <f t="shared" ca="1" si="19"/>
        <v>205700</v>
      </c>
      <c r="L45" s="342"/>
      <c r="M45" s="342"/>
      <c r="N45" s="369"/>
      <c r="O45" s="344"/>
      <c r="P45" s="396"/>
      <c r="Q45" s="344"/>
    </row>
    <row r="46" spans="1:17" s="365" customFormat="1">
      <c r="A46" s="336"/>
      <c r="B46" s="503">
        <v>2</v>
      </c>
      <c r="C46" s="504" t="s">
        <v>152</v>
      </c>
      <c r="D46" s="358" t="str">
        <f ca="1">IF(ISERROR(OFFSET('HARGA SATUAN'!$D$6,MATCH(RAB!C46,'HARGA SATUAN'!$C$7:$C$1492,0),0)),"",OFFSET('HARGA SATUAN'!$D$6,MATCH(RAB!C46,'HARGA SATUAN'!$C$7:$C$1492,0),0))</f>
        <v>HDW</v>
      </c>
      <c r="E46" s="359" t="str">
        <f ca="1">IF(B46="+","Unit",IF(ISERROR(OFFSET('HARGA SATUAN'!$E$6,MATCH(RAB!C46,'HARGA SATUAN'!$C$7:$C$1492,0),0)),"",OFFSET('HARGA SATUAN'!$E$6,MATCH(RAB!C46,'HARGA SATUAN'!$C$7:$C$1492,0),0)))</f>
        <v>Mtr</v>
      </c>
      <c r="F46" s="498">
        <f>F44*1</f>
        <v>1</v>
      </c>
      <c r="G46" s="360">
        <f ca="1">IF(ISERROR(OFFSET('HARGA SATUAN'!$I$6,MATCH(RAB!C46,'HARGA SATUAN'!$C$7:$C$1492,0),0)),0,OFFSET('HARGA SATUAN'!$I$6,MATCH(RAB!C46,'HARGA SATUAN'!$C$7:$C$1492,0),0))</f>
        <v>7789</v>
      </c>
      <c r="H46" s="361">
        <f t="shared" ca="1" si="16"/>
        <v>0</v>
      </c>
      <c r="I46" s="361">
        <f t="shared" ca="1" si="17"/>
        <v>7789</v>
      </c>
      <c r="J46" s="361">
        <f t="shared" ca="1" si="18"/>
        <v>0</v>
      </c>
      <c r="K46" s="362">
        <f t="shared" ca="1" si="19"/>
        <v>7789</v>
      </c>
      <c r="L46" s="342"/>
      <c r="M46" s="342"/>
      <c r="N46" s="369"/>
      <c r="O46" s="344"/>
      <c r="P46" s="396"/>
      <c r="Q46" s="344"/>
    </row>
    <row r="47" spans="1:17" s="365" customFormat="1">
      <c r="A47" s="336"/>
      <c r="B47" s="503">
        <v>3</v>
      </c>
      <c r="C47" s="504" t="s">
        <v>179</v>
      </c>
      <c r="D47" s="358" t="str">
        <f ca="1">IF(ISERROR(OFFSET('HARGA SATUAN'!$D$6,MATCH(RAB!C47,'HARGA SATUAN'!$C$7:$C$1492,0),0)),"",OFFSET('HARGA SATUAN'!$D$6,MATCH(RAB!C47,'HARGA SATUAN'!$C$7:$C$1492,0),0))</f>
        <v>HDW</v>
      </c>
      <c r="E47" s="359" t="str">
        <f ca="1">IF(B47="+","Unit",IF(ISERROR(OFFSET('HARGA SATUAN'!$E$6,MATCH(RAB!C47,'HARGA SATUAN'!$C$7:$C$1492,0),0)),"",OFFSET('HARGA SATUAN'!$E$6,MATCH(RAB!C47,'HARGA SATUAN'!$C$7:$C$1492,0),0)))</f>
        <v>Bh</v>
      </c>
      <c r="F47" s="498">
        <f>F44*1</f>
        <v>1</v>
      </c>
      <c r="G47" s="360">
        <f ca="1">IF(ISERROR(OFFSET('HARGA SATUAN'!$I$6,MATCH(RAB!C47,'HARGA SATUAN'!$C$7:$C$1492,0),0)),0,OFFSET('HARGA SATUAN'!$I$6,MATCH(RAB!C47,'HARGA SATUAN'!$C$7:$C$1492,0),0))</f>
        <v>15500</v>
      </c>
      <c r="H47" s="361">
        <f t="shared" ca="1" si="16"/>
        <v>0</v>
      </c>
      <c r="I47" s="361">
        <f t="shared" ca="1" si="17"/>
        <v>15500</v>
      </c>
      <c r="J47" s="361">
        <f t="shared" ca="1" si="18"/>
        <v>0</v>
      </c>
      <c r="K47" s="362">
        <f t="shared" ca="1" si="19"/>
        <v>15500</v>
      </c>
      <c r="L47" s="342"/>
      <c r="M47" s="342"/>
      <c r="N47" s="369"/>
      <c r="O47" s="344"/>
      <c r="P47" s="396"/>
      <c r="Q47" s="344"/>
    </row>
    <row r="48" spans="1:17" s="365" customFormat="1">
      <c r="A48" s="336"/>
      <c r="B48" s="495">
        <v>4</v>
      </c>
      <c r="C48" s="496" t="s">
        <v>217</v>
      </c>
      <c r="D48" s="358" t="str">
        <f ca="1">IF(ISERROR(OFFSET('HARGA SATUAN'!$D$6,MATCH(RAB!C48,'HARGA SATUAN'!$C$7:$C$1492,0),0)),"",OFFSET('HARGA SATUAN'!$D$6,MATCH(RAB!C48,'HARGA SATUAN'!$C$7:$C$1492,0),0))</f>
        <v>HDW</v>
      </c>
      <c r="E48" s="359" t="str">
        <f ca="1">IF(B48="+","Unit",IF(ISERROR(OFFSET('HARGA SATUAN'!$E$6,MATCH(RAB!C48,'HARGA SATUAN'!$C$7:$C$1492,0),0)),"",OFFSET('HARGA SATUAN'!$E$6,MATCH(RAB!C48,'HARGA SATUAN'!$C$7:$C$1492,0),0)))</f>
        <v>Bh</v>
      </c>
      <c r="F48" s="498">
        <f>F44*2</f>
        <v>2</v>
      </c>
      <c r="G48" s="360">
        <f ca="1">IF(ISERROR(OFFSET('HARGA SATUAN'!$I$6,MATCH(RAB!C48,'HARGA SATUAN'!$C$7:$C$1492,0),0)),0,OFFSET('HARGA SATUAN'!$I$6,MATCH(RAB!C48,'HARGA SATUAN'!$C$7:$C$1492,0),0))</f>
        <v>11400</v>
      </c>
      <c r="H48" s="361">
        <f t="shared" ca="1" si="16"/>
        <v>0</v>
      </c>
      <c r="I48" s="361">
        <f t="shared" ca="1" si="17"/>
        <v>22800</v>
      </c>
      <c r="J48" s="361">
        <f t="shared" ca="1" si="18"/>
        <v>0</v>
      </c>
      <c r="K48" s="362">
        <f t="shared" ca="1" si="19"/>
        <v>22800</v>
      </c>
      <c r="L48" s="342"/>
      <c r="M48" s="342"/>
      <c r="N48" s="369"/>
      <c r="O48" s="344"/>
      <c r="P48" s="396"/>
      <c r="Q48" s="344"/>
    </row>
    <row r="49" spans="1:17" s="365" customFormat="1">
      <c r="A49" s="336"/>
      <c r="B49" s="503">
        <v>5</v>
      </c>
      <c r="C49" s="504" t="s">
        <v>218</v>
      </c>
      <c r="D49" s="358" t="str">
        <f ca="1">IF(ISERROR(OFFSET('HARGA SATUAN'!$D$6,MATCH(RAB!C49,'HARGA SATUAN'!$C$7:$C$1492,0),0)),"",OFFSET('HARGA SATUAN'!$D$6,MATCH(RAB!C49,'HARGA SATUAN'!$C$7:$C$1492,0),0))</f>
        <v>HDW</v>
      </c>
      <c r="E49" s="359" t="str">
        <f ca="1">IF(B49="+","Unit",IF(ISERROR(OFFSET('HARGA SATUAN'!$E$6,MATCH(RAB!C49,'HARGA SATUAN'!$C$7:$C$1492,0),0)),"",OFFSET('HARGA SATUAN'!$E$6,MATCH(RAB!C49,'HARGA SATUAN'!$C$7:$C$1492,0),0)))</f>
        <v>Bh</v>
      </c>
      <c r="F49" s="498">
        <f>F44*2</f>
        <v>2</v>
      </c>
      <c r="G49" s="360">
        <f ca="1">IF(ISERROR(OFFSET('HARGA SATUAN'!$I$6,MATCH(RAB!C49,'HARGA SATUAN'!$C$7:$C$1492,0),0)),0,OFFSET('HARGA SATUAN'!$I$6,MATCH(RAB!C49,'HARGA SATUAN'!$C$7:$C$1492,0),0))</f>
        <v>29600</v>
      </c>
      <c r="H49" s="361">
        <f t="shared" ca="1" si="12"/>
        <v>0</v>
      </c>
      <c r="I49" s="361">
        <f t="shared" ca="1" si="13"/>
        <v>59200</v>
      </c>
      <c r="J49" s="361">
        <f t="shared" ca="1" si="14"/>
        <v>0</v>
      </c>
      <c r="K49" s="362">
        <f t="shared" ca="1" si="15"/>
        <v>59200</v>
      </c>
      <c r="L49" s="342"/>
      <c r="M49" s="342"/>
      <c r="N49" s="369"/>
      <c r="O49" s="344"/>
      <c r="P49" s="396"/>
      <c r="Q49" s="344"/>
    </row>
    <row r="50" spans="1:17" s="365" customFormat="1">
      <c r="A50" s="336"/>
      <c r="B50" s="503">
        <v>6</v>
      </c>
      <c r="C50" s="504" t="s">
        <v>223</v>
      </c>
      <c r="D50" s="358" t="str">
        <f ca="1">IF(ISERROR(OFFSET('HARGA SATUAN'!$D$6,MATCH(RAB!C50,'HARGA SATUAN'!$C$7:$C$1492,0),0)),"",OFFSET('HARGA SATUAN'!$D$6,MATCH(RAB!C50,'HARGA SATUAN'!$C$7:$C$1492,0),0))</f>
        <v>HDW</v>
      </c>
      <c r="E50" s="359" t="str">
        <f ca="1">IF(B50="+","Unit",IF(ISERROR(OFFSET('HARGA SATUAN'!$E$6,MATCH(RAB!C50,'HARGA SATUAN'!$C$7:$C$1492,0),0)),"",OFFSET('HARGA SATUAN'!$E$6,MATCH(RAB!C50,'HARGA SATUAN'!$C$7:$C$1492,0),0)))</f>
        <v>Bh</v>
      </c>
      <c r="F50" s="498">
        <f>F44*2</f>
        <v>2</v>
      </c>
      <c r="G50" s="360">
        <f ca="1">IF(ISERROR(OFFSET('HARGA SATUAN'!$I$6,MATCH(RAB!C50,'HARGA SATUAN'!$C$7:$C$1492,0),0)),0,OFFSET('HARGA SATUAN'!$I$6,MATCH(RAB!C50,'HARGA SATUAN'!$C$7:$C$1492,0),0))</f>
        <v>27815</v>
      </c>
      <c r="H50" s="361">
        <f t="shared" ca="1" si="12"/>
        <v>0</v>
      </c>
      <c r="I50" s="361">
        <f t="shared" ca="1" si="13"/>
        <v>55630</v>
      </c>
      <c r="J50" s="361">
        <f t="shared" ca="1" si="14"/>
        <v>0</v>
      </c>
      <c r="K50" s="362">
        <f t="shared" ca="1" si="15"/>
        <v>55630</v>
      </c>
      <c r="L50" s="342"/>
      <c r="M50" s="342"/>
      <c r="N50" s="369"/>
      <c r="O50" s="344"/>
      <c r="P50" s="396"/>
      <c r="Q50" s="344"/>
    </row>
    <row r="51" spans="1:17" s="365" customFormat="1">
      <c r="A51" s="336"/>
      <c r="B51" s="503">
        <v>7</v>
      </c>
      <c r="C51" s="504" t="s">
        <v>27</v>
      </c>
      <c r="D51" s="358" t="str">
        <f ca="1">IF(ISERROR(OFFSET('HARGA SATUAN'!$D$6,MATCH(RAB!C51,'HARGA SATUAN'!$C$7:$C$1492,0),0)),"",OFFSET('HARGA SATUAN'!$D$6,MATCH(RAB!C51,'HARGA SATUAN'!$C$7:$C$1492,0),0))</f>
        <v>HDW</v>
      </c>
      <c r="E51" s="359" t="str">
        <f ca="1">IF(B51="+","Unit",IF(ISERROR(OFFSET('HARGA SATUAN'!$E$6,MATCH(RAB!C51,'HARGA SATUAN'!$C$7:$C$1492,0),0)),"",OFFSET('HARGA SATUAN'!$E$6,MATCH(RAB!C51,'HARGA SATUAN'!$C$7:$C$1492,0),0)))</f>
        <v>Bh</v>
      </c>
      <c r="F51" s="498">
        <f>F44*1</f>
        <v>1</v>
      </c>
      <c r="G51" s="360">
        <f ca="1">IF(ISERROR(OFFSET('HARGA SATUAN'!$I$6,MATCH(RAB!C51,'HARGA SATUAN'!$C$7:$C$1492,0),0)),0,OFFSET('HARGA SATUAN'!$I$6,MATCH(RAB!C51,'HARGA SATUAN'!$C$7:$C$1492,0),0))</f>
        <v>16000</v>
      </c>
      <c r="H51" s="361">
        <f t="shared" ca="1" si="12"/>
        <v>0</v>
      </c>
      <c r="I51" s="361">
        <f t="shared" ca="1" si="13"/>
        <v>16000</v>
      </c>
      <c r="J51" s="361">
        <f t="shared" ca="1" si="14"/>
        <v>0</v>
      </c>
      <c r="K51" s="362">
        <f t="shared" ca="1" si="15"/>
        <v>16000</v>
      </c>
      <c r="L51" s="342"/>
      <c r="M51" s="342"/>
      <c r="N51" s="369"/>
      <c r="O51" s="344"/>
      <c r="P51" s="396"/>
      <c r="Q51" s="344"/>
    </row>
    <row r="52" spans="1:17" s="365" customFormat="1">
      <c r="A52" s="336"/>
      <c r="B52" s="503">
        <v>8</v>
      </c>
      <c r="C52" s="504" t="s">
        <v>265</v>
      </c>
      <c r="D52" s="358" t="str">
        <f ca="1">IF(ISERROR(OFFSET('HARGA SATUAN'!$D$6,MATCH(RAB!C52,'HARGA SATUAN'!$C$7:$C$1492,0),0)),"",OFFSET('HARGA SATUAN'!$D$6,MATCH(RAB!C52,'HARGA SATUAN'!$C$7:$C$1492,0),0))</f>
        <v>HDW</v>
      </c>
      <c r="E52" s="359" t="str">
        <f ca="1">IF(B52="+","Unit",IF(ISERROR(OFFSET('HARGA SATUAN'!$E$6,MATCH(RAB!C52,'HARGA SATUAN'!$C$7:$C$1492,0),0)),"",OFFSET('HARGA SATUAN'!$E$6,MATCH(RAB!C52,'HARGA SATUAN'!$C$7:$C$1492,0),0)))</f>
        <v>Bh</v>
      </c>
      <c r="F52" s="498">
        <f>F44*1</f>
        <v>1</v>
      </c>
      <c r="G52" s="360">
        <f ca="1">IF(ISERROR(OFFSET('HARGA SATUAN'!$I$6,MATCH(RAB!C52,'HARGA SATUAN'!$C$7:$C$1492,0),0)),0,OFFSET('HARGA SATUAN'!$I$6,MATCH(RAB!C52,'HARGA SATUAN'!$C$7:$C$1492,0),0))</f>
        <v>33501.866666666669</v>
      </c>
      <c r="H52" s="361">
        <f t="shared" ca="1" si="12"/>
        <v>0</v>
      </c>
      <c r="I52" s="361">
        <f t="shared" ca="1" si="13"/>
        <v>33501.866666666669</v>
      </c>
      <c r="J52" s="361">
        <f t="shared" ca="1" si="14"/>
        <v>0</v>
      </c>
      <c r="K52" s="362">
        <f t="shared" ca="1" si="15"/>
        <v>33501.866666666669</v>
      </c>
      <c r="L52" s="342"/>
      <c r="M52" s="342"/>
      <c r="N52" s="369"/>
      <c r="O52" s="344"/>
      <c r="P52" s="396"/>
      <c r="Q52" s="344"/>
    </row>
    <row r="53" spans="1:17" s="365" customFormat="1">
      <c r="A53" s="336"/>
      <c r="B53" s="495">
        <v>9</v>
      </c>
      <c r="C53" s="496" t="s">
        <v>26</v>
      </c>
      <c r="D53" s="358" t="str">
        <f ca="1">IF(ISERROR(OFFSET('HARGA SATUAN'!$D$6,MATCH(RAB!C53,'HARGA SATUAN'!$C$7:$C$1492,0),0)),"",OFFSET('HARGA SATUAN'!$D$6,MATCH(RAB!C53,'HARGA SATUAN'!$C$7:$C$1492,0),0))</f>
        <v>HDW</v>
      </c>
      <c r="E53" s="359" t="str">
        <f ca="1">IF(B53="+","Unit",IF(ISERROR(OFFSET('HARGA SATUAN'!$E$6,MATCH(RAB!C53,'HARGA SATUAN'!$C$7:$C$1492,0),0)),"",OFFSET('HARGA SATUAN'!$E$6,MATCH(RAB!C53,'HARGA SATUAN'!$C$7:$C$1492,0),0)))</f>
        <v>Bh</v>
      </c>
      <c r="F53" s="498">
        <f>F44*2</f>
        <v>2</v>
      </c>
      <c r="G53" s="360">
        <f ca="1">IF(ISERROR(OFFSET('HARGA SATUAN'!$I$6,MATCH(RAB!C53,'HARGA SATUAN'!$C$7:$C$1492,0),0)),0,OFFSET('HARGA SATUAN'!$I$6,MATCH(RAB!C53,'HARGA SATUAN'!$C$7:$C$1492,0),0))</f>
        <v>2500</v>
      </c>
      <c r="H53" s="361">
        <f t="shared" ca="1" si="12"/>
        <v>0</v>
      </c>
      <c r="I53" s="361">
        <f t="shared" ca="1" si="13"/>
        <v>5000</v>
      </c>
      <c r="J53" s="361">
        <f t="shared" ca="1" si="14"/>
        <v>0</v>
      </c>
      <c r="K53" s="362">
        <f t="shared" ca="1" si="15"/>
        <v>5000</v>
      </c>
      <c r="L53" s="342"/>
      <c r="M53" s="342"/>
      <c r="N53" s="369"/>
      <c r="O53" s="344"/>
      <c r="P53" s="396"/>
      <c r="Q53" s="344"/>
    </row>
    <row r="54" spans="1:17" s="365" customFormat="1">
      <c r="A54" s="336"/>
      <c r="B54" s="507">
        <v>10</v>
      </c>
      <c r="C54" s="508" t="s">
        <v>655</v>
      </c>
      <c r="D54" s="358" t="str">
        <f ca="1">IF(ISERROR(OFFSET('HARGA SATUAN'!$D$6,MATCH(RAB!C54,'HARGA SATUAN'!$C$7:$C$1492,0),0)),"",OFFSET('HARGA SATUAN'!$D$6,MATCH(RAB!C54,'HARGA SATUAN'!$C$7:$C$1492,0),0))</f>
        <v>JASA</v>
      </c>
      <c r="E54" s="359" t="str">
        <f ca="1">IF(B54="+","Unit",IF(ISERROR(OFFSET('HARGA SATUAN'!$E$6,MATCH(RAB!C54,'HARGA SATUAN'!$C$7:$C$1492,0),0)),"",OFFSET('HARGA SATUAN'!$E$6,MATCH(RAB!C54,'HARGA SATUAN'!$C$7:$C$1492,0),0)))</f>
        <v>Unit</v>
      </c>
      <c r="F54" s="498">
        <f>F44*1</f>
        <v>1</v>
      </c>
      <c r="G54" s="360">
        <f ca="1">IF(ISERROR(OFFSET('HARGA SATUAN'!$I$6,MATCH(RAB!C54,'HARGA SATUAN'!$C$7:$C$1492,0),0)),0,OFFSET('HARGA SATUAN'!$I$6,MATCH(RAB!C54,'HARGA SATUAN'!$C$7:$C$1492,0),0))</f>
        <v>50100</v>
      </c>
      <c r="H54" s="361">
        <f t="shared" ca="1" si="12"/>
        <v>0</v>
      </c>
      <c r="I54" s="361">
        <f t="shared" ca="1" si="13"/>
        <v>0</v>
      </c>
      <c r="J54" s="361">
        <f t="shared" ca="1" si="14"/>
        <v>50100</v>
      </c>
      <c r="K54" s="362">
        <f t="shared" ca="1" si="15"/>
        <v>50100</v>
      </c>
      <c r="L54" s="342"/>
      <c r="M54" s="342"/>
      <c r="N54" s="369"/>
      <c r="O54" s="344"/>
      <c r="P54" s="396"/>
      <c r="Q54" s="344"/>
    </row>
    <row r="55" spans="1:17" s="365" customFormat="1">
      <c r="A55" s="336"/>
      <c r="B55" s="503"/>
      <c r="C55" s="504"/>
      <c r="D55" s="358" t="str">
        <f ca="1">IF(ISERROR(OFFSET('HARGA SATUAN'!$D$6,MATCH(RAB!C55,'HARGA SATUAN'!$C$7:$C$1492,0),0)),"",OFFSET('HARGA SATUAN'!$D$6,MATCH(RAB!C55,'HARGA SATUAN'!$C$7:$C$1492,0),0))</f>
        <v/>
      </c>
      <c r="E55" s="359" t="str">
        <f ca="1">IF(B55="+","Unit",IF(ISERROR(OFFSET('HARGA SATUAN'!$E$6,MATCH(RAB!C55,'HARGA SATUAN'!$C$7:$C$1492,0),0)),"",OFFSET('HARGA SATUAN'!$E$6,MATCH(RAB!C55,'HARGA SATUAN'!$C$7:$C$1492,0),0)))</f>
        <v/>
      </c>
      <c r="F55" s="498"/>
      <c r="G55" s="360">
        <f ca="1">IF(ISERROR(OFFSET('HARGA SATUAN'!$I$6,MATCH(RAB!C55,'HARGA SATUAN'!$C$7:$C$1492,0),0)),0,OFFSET('HARGA SATUAN'!$I$6,MATCH(RAB!C55,'HARGA SATUAN'!$C$7:$C$1492,0),0))</f>
        <v>0</v>
      </c>
      <c r="H55" s="361">
        <f t="shared" ca="1" si="12"/>
        <v>0</v>
      </c>
      <c r="I55" s="361">
        <f t="shared" ca="1" si="13"/>
        <v>0</v>
      </c>
      <c r="J55" s="361">
        <f t="shared" ca="1" si="14"/>
        <v>0</v>
      </c>
      <c r="K55" s="362">
        <f t="shared" ca="1" si="15"/>
        <v>0</v>
      </c>
      <c r="L55" s="342"/>
      <c r="M55" s="342"/>
      <c r="N55" s="369"/>
      <c r="O55" s="344"/>
      <c r="P55" s="396"/>
      <c r="Q55" s="344"/>
    </row>
    <row r="56" spans="1:17" s="365" customFormat="1">
      <c r="A56" s="336"/>
      <c r="B56" s="503" t="s">
        <v>1035</v>
      </c>
      <c r="C56" s="504" t="s">
        <v>1639</v>
      </c>
      <c r="D56" s="358" t="str">
        <f ca="1">IF(ISERROR(OFFSET('HARGA SATUAN'!$D$6,MATCH(RAB!C56,'HARGA SATUAN'!$C$7:$C$1492,0),0)),"",OFFSET('HARGA SATUAN'!$D$6,MATCH(RAB!C56,'HARGA SATUAN'!$C$7:$C$1492,0),0))</f>
        <v/>
      </c>
      <c r="E56" s="359" t="str">
        <f ca="1">IF(B56="+","Unit",IF(ISERROR(OFFSET('HARGA SATUAN'!$E$6,MATCH(RAB!C56,'HARGA SATUAN'!$C$7:$C$1492,0),0)),"",OFFSET('HARGA SATUAN'!$E$6,MATCH(RAB!C56,'HARGA SATUAN'!$C$7:$C$1492,0),0)))</f>
        <v>Unit</v>
      </c>
      <c r="F56" s="498">
        <v>1</v>
      </c>
      <c r="G56" s="360">
        <f ca="1">IF(ISERROR(OFFSET('HARGA SATUAN'!$I$6,MATCH(RAB!C56,'HARGA SATUAN'!$C$7:$C$1492,0),0)),0,OFFSET('HARGA SATUAN'!$I$6,MATCH(RAB!C56,'HARGA SATUAN'!$C$7:$C$1492,0),0))</f>
        <v>0</v>
      </c>
      <c r="H56" s="361">
        <f t="shared" ca="1" si="12"/>
        <v>0</v>
      </c>
      <c r="I56" s="361">
        <f t="shared" ca="1" si="13"/>
        <v>0</v>
      </c>
      <c r="J56" s="361">
        <f t="shared" ca="1" si="14"/>
        <v>0</v>
      </c>
      <c r="K56" s="362">
        <f t="shared" ca="1" si="15"/>
        <v>0</v>
      </c>
      <c r="L56" s="342"/>
      <c r="M56" s="342"/>
      <c r="N56" s="369"/>
      <c r="O56" s="344"/>
      <c r="P56" s="396"/>
      <c r="Q56" s="344"/>
    </row>
    <row r="57" spans="1:17" s="365" customFormat="1">
      <c r="A57" s="336"/>
      <c r="B57" s="503">
        <v>1</v>
      </c>
      <c r="C57" s="109" t="s">
        <v>1566</v>
      </c>
      <c r="D57" s="358" t="str">
        <f ca="1">IF(ISERROR(OFFSET('HARGA SATUAN'!$D$6,MATCH(RAB!C57,'HARGA SATUAN'!$C$7:$C$1492,0),0)),"",OFFSET('HARGA SATUAN'!$D$6,MATCH(RAB!C57,'HARGA SATUAN'!$C$7:$C$1492,0),0))</f>
        <v>MDU-KD</v>
      </c>
      <c r="E57" s="359" t="str">
        <f ca="1">IF(B57="+","Unit",IF(ISERROR(OFFSET('HARGA SATUAN'!$E$6,MATCH(RAB!C57,'HARGA SATUAN'!$C$7:$C$1492,0),0)),"",OFFSET('HARGA SATUAN'!$E$6,MATCH(RAB!C57,'HARGA SATUAN'!$C$7:$C$1492,0),0)))</f>
        <v>Set</v>
      </c>
      <c r="F57" s="498">
        <f>F56*2</f>
        <v>2</v>
      </c>
      <c r="G57" s="360">
        <f ca="1">IF(ISERROR(OFFSET('HARGA SATUAN'!$I$6,MATCH(RAB!C57,'HARGA SATUAN'!$C$7:$C$1492,0),0)),0,OFFSET('HARGA SATUAN'!$I$6,MATCH(RAB!C57,'HARGA SATUAN'!$C$7:$C$1492,0),0))</f>
        <v>205700</v>
      </c>
      <c r="H57" s="361">
        <f t="shared" ca="1" si="12"/>
        <v>411400</v>
      </c>
      <c r="I57" s="361">
        <f t="shared" ca="1" si="13"/>
        <v>0</v>
      </c>
      <c r="J57" s="361">
        <f t="shared" ca="1" si="14"/>
        <v>0</v>
      </c>
      <c r="K57" s="362">
        <f t="shared" ca="1" si="15"/>
        <v>411400</v>
      </c>
      <c r="L57" s="342"/>
      <c r="M57" s="342"/>
      <c r="N57" s="369"/>
      <c r="O57" s="344"/>
      <c r="P57" s="396"/>
      <c r="Q57" s="344"/>
    </row>
    <row r="58" spans="1:17" s="365" customFormat="1">
      <c r="A58" s="336"/>
      <c r="B58" s="503">
        <v>2</v>
      </c>
      <c r="C58" s="504" t="s">
        <v>152</v>
      </c>
      <c r="D58" s="358" t="str">
        <f ca="1">IF(ISERROR(OFFSET('HARGA SATUAN'!$D$6,MATCH(RAB!C58,'HARGA SATUAN'!$C$7:$C$1492,0),0)),"",OFFSET('HARGA SATUAN'!$D$6,MATCH(RAB!C58,'HARGA SATUAN'!$C$7:$C$1492,0),0))</f>
        <v>HDW</v>
      </c>
      <c r="E58" s="359" t="str">
        <f ca="1">IF(B58="+","Unit",IF(ISERROR(OFFSET('HARGA SATUAN'!$E$6,MATCH(RAB!C58,'HARGA SATUAN'!$C$7:$C$1492,0),0)),"",OFFSET('HARGA SATUAN'!$E$6,MATCH(RAB!C58,'HARGA SATUAN'!$C$7:$C$1492,0),0)))</f>
        <v>Mtr</v>
      </c>
      <c r="F58" s="498">
        <f>F56*2</f>
        <v>2</v>
      </c>
      <c r="G58" s="360">
        <f ca="1">IF(ISERROR(OFFSET('HARGA SATUAN'!$I$6,MATCH(RAB!C58,'HARGA SATUAN'!$C$7:$C$1492,0),0)),0,OFFSET('HARGA SATUAN'!$I$6,MATCH(RAB!C58,'HARGA SATUAN'!$C$7:$C$1492,0),0))</f>
        <v>7789</v>
      </c>
      <c r="H58" s="361">
        <f t="shared" ca="1" si="12"/>
        <v>0</v>
      </c>
      <c r="I58" s="361">
        <f t="shared" ca="1" si="13"/>
        <v>15578</v>
      </c>
      <c r="J58" s="361">
        <f t="shared" ca="1" si="14"/>
        <v>0</v>
      </c>
      <c r="K58" s="362">
        <f t="shared" ca="1" si="15"/>
        <v>15578</v>
      </c>
      <c r="L58" s="342"/>
      <c r="M58" s="342"/>
      <c r="N58" s="369"/>
      <c r="O58" s="344"/>
      <c r="P58" s="396"/>
      <c r="Q58" s="344"/>
    </row>
    <row r="59" spans="1:17" s="365" customFormat="1">
      <c r="A59" s="336"/>
      <c r="B59" s="495">
        <v>3</v>
      </c>
      <c r="C59" s="496" t="s">
        <v>179</v>
      </c>
      <c r="D59" s="358" t="str">
        <f ca="1">IF(ISERROR(OFFSET('HARGA SATUAN'!$D$6,MATCH(RAB!C59,'HARGA SATUAN'!$C$7:$C$1492,0),0)),"",OFFSET('HARGA SATUAN'!$D$6,MATCH(RAB!C59,'HARGA SATUAN'!$C$7:$C$1492,0),0))</f>
        <v>HDW</v>
      </c>
      <c r="E59" s="359" t="str">
        <f ca="1">IF(B59="+","Unit",IF(ISERROR(OFFSET('HARGA SATUAN'!$E$6,MATCH(RAB!C59,'HARGA SATUAN'!$C$7:$C$1492,0),0)),"",OFFSET('HARGA SATUAN'!$E$6,MATCH(RAB!C59,'HARGA SATUAN'!$C$7:$C$1492,0),0)))</f>
        <v>Bh</v>
      </c>
      <c r="F59" s="498">
        <f>F56*2</f>
        <v>2</v>
      </c>
      <c r="G59" s="360">
        <f ca="1">IF(ISERROR(OFFSET('HARGA SATUAN'!$I$6,MATCH(RAB!C59,'HARGA SATUAN'!$C$7:$C$1492,0),0)),0,OFFSET('HARGA SATUAN'!$I$6,MATCH(RAB!C59,'HARGA SATUAN'!$C$7:$C$1492,0),0))</f>
        <v>15500</v>
      </c>
      <c r="H59" s="361">
        <f t="shared" ca="1" si="12"/>
        <v>0</v>
      </c>
      <c r="I59" s="361">
        <f t="shared" ca="1" si="13"/>
        <v>31000</v>
      </c>
      <c r="J59" s="361">
        <f t="shared" ca="1" si="14"/>
        <v>0</v>
      </c>
      <c r="K59" s="362">
        <f t="shared" ca="1" si="15"/>
        <v>31000</v>
      </c>
      <c r="L59" s="342"/>
      <c r="M59" s="342"/>
      <c r="N59" s="369"/>
      <c r="O59" s="344"/>
      <c r="P59" s="396"/>
      <c r="Q59" s="344"/>
    </row>
    <row r="60" spans="1:17" s="365" customFormat="1">
      <c r="A60" s="336"/>
      <c r="B60" s="507">
        <v>4</v>
      </c>
      <c r="C60" s="508" t="s">
        <v>184</v>
      </c>
      <c r="D60" s="358" t="str">
        <f ca="1">IF(ISERROR(OFFSET('HARGA SATUAN'!$D$6,MATCH(RAB!C60,'HARGA SATUAN'!$C$7:$C$1492,0),0)),"",OFFSET('HARGA SATUAN'!$D$6,MATCH(RAB!C60,'HARGA SATUAN'!$C$7:$C$1492,0),0))</f>
        <v>HDW</v>
      </c>
      <c r="E60" s="359" t="str">
        <f ca="1">IF(B60="+","Unit",IF(ISERROR(OFFSET('HARGA SATUAN'!$E$6,MATCH(RAB!C60,'HARGA SATUAN'!$C$7:$C$1492,0),0)),"",OFFSET('HARGA SATUAN'!$E$6,MATCH(RAB!C60,'HARGA SATUAN'!$C$7:$C$1492,0),0)))</f>
        <v>Bh</v>
      </c>
      <c r="F60" s="498">
        <f>F56*2</f>
        <v>2</v>
      </c>
      <c r="G60" s="360">
        <f ca="1">IF(ISERROR(OFFSET('HARGA SATUAN'!$I$6,MATCH(RAB!C60,'HARGA SATUAN'!$C$7:$C$1492,0),0)),0,OFFSET('HARGA SATUAN'!$I$6,MATCH(RAB!C60,'HARGA SATUAN'!$C$7:$C$1492,0),0))</f>
        <v>15900</v>
      </c>
      <c r="H60" s="361">
        <f t="shared" ca="1" si="12"/>
        <v>0</v>
      </c>
      <c r="I60" s="361">
        <f t="shared" ca="1" si="13"/>
        <v>31800</v>
      </c>
      <c r="J60" s="361">
        <f t="shared" ca="1" si="14"/>
        <v>0</v>
      </c>
      <c r="K60" s="362">
        <f t="shared" ca="1" si="15"/>
        <v>31800</v>
      </c>
      <c r="L60" s="342"/>
      <c r="M60" s="342"/>
      <c r="N60" s="369"/>
      <c r="O60" s="344"/>
      <c r="P60" s="396"/>
      <c r="Q60" s="344"/>
    </row>
    <row r="61" spans="1:17" s="365" customFormat="1">
      <c r="A61" s="336"/>
      <c r="B61" s="507">
        <v>5</v>
      </c>
      <c r="C61" s="508" t="s">
        <v>217</v>
      </c>
      <c r="D61" s="358" t="str">
        <f ca="1">IF(ISERROR(OFFSET('HARGA SATUAN'!$D$6,MATCH(RAB!C61,'HARGA SATUAN'!$C$7:$C$1492,0),0)),"",OFFSET('HARGA SATUAN'!$D$6,MATCH(RAB!C61,'HARGA SATUAN'!$C$7:$C$1492,0),0))</f>
        <v>HDW</v>
      </c>
      <c r="E61" s="359" t="str">
        <f ca="1">IF(B61="+","Unit",IF(ISERROR(OFFSET('HARGA SATUAN'!$E$6,MATCH(RAB!C61,'HARGA SATUAN'!$C$7:$C$1492,0),0)),"",OFFSET('HARGA SATUAN'!$E$6,MATCH(RAB!C61,'HARGA SATUAN'!$C$7:$C$1492,0),0)))</f>
        <v>Bh</v>
      </c>
      <c r="F61" s="498">
        <f>F56*2</f>
        <v>2</v>
      </c>
      <c r="G61" s="360">
        <f ca="1">IF(ISERROR(OFFSET('HARGA SATUAN'!$I$6,MATCH(RAB!C61,'HARGA SATUAN'!$C$7:$C$1492,0),0)),0,OFFSET('HARGA SATUAN'!$I$6,MATCH(RAB!C61,'HARGA SATUAN'!$C$7:$C$1492,0),0))</f>
        <v>11400</v>
      </c>
      <c r="H61" s="361">
        <f t="shared" ca="1" si="12"/>
        <v>0</v>
      </c>
      <c r="I61" s="361">
        <f t="shared" ca="1" si="13"/>
        <v>22800</v>
      </c>
      <c r="J61" s="361">
        <f t="shared" ca="1" si="14"/>
        <v>0</v>
      </c>
      <c r="K61" s="362">
        <f t="shared" ca="1" si="15"/>
        <v>22800</v>
      </c>
      <c r="L61" s="342"/>
      <c r="M61" s="342"/>
      <c r="N61" s="369"/>
      <c r="O61" s="344"/>
      <c r="P61" s="396"/>
      <c r="Q61" s="344"/>
    </row>
    <row r="62" spans="1:17" s="365" customFormat="1">
      <c r="A62" s="336"/>
      <c r="B62" s="507">
        <v>6</v>
      </c>
      <c r="C62" s="508" t="s">
        <v>218</v>
      </c>
      <c r="D62" s="358" t="str">
        <f ca="1">IF(ISERROR(OFFSET('HARGA SATUAN'!$D$6,MATCH(RAB!C62,'HARGA SATUAN'!$C$7:$C$1492,0),0)),"",OFFSET('HARGA SATUAN'!$D$6,MATCH(RAB!C62,'HARGA SATUAN'!$C$7:$C$1492,0),0))</f>
        <v>HDW</v>
      </c>
      <c r="E62" s="359" t="str">
        <f ca="1">IF(B62="+","Unit",IF(ISERROR(OFFSET('HARGA SATUAN'!$E$6,MATCH(RAB!C62,'HARGA SATUAN'!$C$7:$C$1492,0),0)),"",OFFSET('HARGA SATUAN'!$E$6,MATCH(RAB!C62,'HARGA SATUAN'!$C$7:$C$1492,0),0)))</f>
        <v>Bh</v>
      </c>
      <c r="F62" s="498">
        <f>F56*4</f>
        <v>4</v>
      </c>
      <c r="G62" s="360">
        <f ca="1">IF(ISERROR(OFFSET('HARGA SATUAN'!$I$6,MATCH(RAB!C62,'HARGA SATUAN'!$C$7:$C$1492,0),0)),0,OFFSET('HARGA SATUAN'!$I$6,MATCH(RAB!C62,'HARGA SATUAN'!$C$7:$C$1492,0),0))</f>
        <v>29600</v>
      </c>
      <c r="H62" s="361">
        <f t="shared" ca="1" si="8"/>
        <v>0</v>
      </c>
      <c r="I62" s="361">
        <f t="shared" ca="1" si="9"/>
        <v>118400</v>
      </c>
      <c r="J62" s="361">
        <f t="shared" ca="1" si="10"/>
        <v>0</v>
      </c>
      <c r="K62" s="362">
        <f t="shared" ca="1" si="11"/>
        <v>118400</v>
      </c>
      <c r="L62" s="342"/>
      <c r="M62" s="342"/>
      <c r="N62" s="369"/>
      <c r="O62" s="344"/>
      <c r="P62" s="396"/>
      <c r="Q62" s="344"/>
    </row>
    <row r="63" spans="1:17" s="365" customFormat="1">
      <c r="A63" s="336"/>
      <c r="B63" s="507">
        <v>7</v>
      </c>
      <c r="C63" s="508" t="s">
        <v>223</v>
      </c>
      <c r="D63" s="358" t="str">
        <f ca="1">IF(ISERROR(OFFSET('HARGA SATUAN'!$D$6,MATCH(RAB!C63,'HARGA SATUAN'!$C$7:$C$1492,0),0)),"",OFFSET('HARGA SATUAN'!$D$6,MATCH(RAB!C63,'HARGA SATUAN'!$C$7:$C$1492,0),0))</f>
        <v>HDW</v>
      </c>
      <c r="E63" s="359" t="str">
        <f ca="1">IF(B63="+","Unit",IF(ISERROR(OFFSET('HARGA SATUAN'!$E$6,MATCH(RAB!C63,'HARGA SATUAN'!$C$7:$C$1492,0),0)),"",OFFSET('HARGA SATUAN'!$E$6,MATCH(RAB!C63,'HARGA SATUAN'!$C$7:$C$1492,0),0)))</f>
        <v>Bh</v>
      </c>
      <c r="F63" s="498">
        <f>F56*2</f>
        <v>2</v>
      </c>
      <c r="G63" s="360">
        <f ca="1">IF(ISERROR(OFFSET('HARGA SATUAN'!$I$6,MATCH(RAB!C63,'HARGA SATUAN'!$C$7:$C$1492,0),0)),0,OFFSET('HARGA SATUAN'!$I$6,MATCH(RAB!C63,'HARGA SATUAN'!$C$7:$C$1492,0),0))</f>
        <v>27815</v>
      </c>
      <c r="H63" s="361">
        <f t="shared" ca="1" si="8"/>
        <v>0</v>
      </c>
      <c r="I63" s="361">
        <f t="shared" ca="1" si="9"/>
        <v>55630</v>
      </c>
      <c r="J63" s="361">
        <f t="shared" ca="1" si="10"/>
        <v>0</v>
      </c>
      <c r="K63" s="362">
        <f t="shared" ca="1" si="11"/>
        <v>55630</v>
      </c>
      <c r="L63" s="342"/>
      <c r="M63" s="342"/>
      <c r="N63" s="369"/>
      <c r="O63" s="344"/>
      <c r="P63" s="396"/>
      <c r="Q63" s="344"/>
    </row>
    <row r="64" spans="1:17" s="365" customFormat="1">
      <c r="A64" s="336"/>
      <c r="B64" s="503">
        <v>8</v>
      </c>
      <c r="C64" s="504" t="s">
        <v>25</v>
      </c>
      <c r="D64" s="358" t="str">
        <f ca="1">IF(ISERROR(OFFSET('HARGA SATUAN'!$D$6,MATCH(RAB!C64,'HARGA SATUAN'!$C$7:$C$1492,0),0)),"",OFFSET('HARGA SATUAN'!$D$6,MATCH(RAB!C64,'HARGA SATUAN'!$C$7:$C$1492,0),0))</f>
        <v>HDW</v>
      </c>
      <c r="E64" s="359" t="str">
        <f ca="1">IF(B64="+","Unit",IF(ISERROR(OFFSET('HARGA SATUAN'!$E$6,MATCH(RAB!C64,'HARGA SATUAN'!$C$7:$C$1492,0),0)),"",OFFSET('HARGA SATUAN'!$E$6,MATCH(RAB!C64,'HARGA SATUAN'!$C$7:$C$1492,0),0)))</f>
        <v>Bh</v>
      </c>
      <c r="F64" s="498">
        <f>F56*2</f>
        <v>2</v>
      </c>
      <c r="G64" s="360">
        <f ca="1">IF(ISERROR(OFFSET('HARGA SATUAN'!$I$6,MATCH(RAB!C64,'HARGA SATUAN'!$C$7:$C$1492,0),0)),0,OFFSET('HARGA SATUAN'!$I$6,MATCH(RAB!C64,'HARGA SATUAN'!$C$7:$C$1492,0),0))</f>
        <v>23936</v>
      </c>
      <c r="H64" s="361">
        <f t="shared" ca="1" si="8"/>
        <v>0</v>
      </c>
      <c r="I64" s="361">
        <f t="shared" ca="1" si="9"/>
        <v>47872</v>
      </c>
      <c r="J64" s="361">
        <f t="shared" ca="1" si="10"/>
        <v>0</v>
      </c>
      <c r="K64" s="362">
        <f t="shared" ca="1" si="11"/>
        <v>47872</v>
      </c>
      <c r="L64" s="342"/>
      <c r="M64" s="342"/>
      <c r="N64" s="369"/>
      <c r="O64" s="344"/>
      <c r="P64" s="396"/>
      <c r="Q64" s="344"/>
    </row>
    <row r="65" spans="1:17" s="365" customFormat="1">
      <c r="A65" s="336"/>
      <c r="B65" s="503">
        <v>9</v>
      </c>
      <c r="C65" s="504" t="s">
        <v>247</v>
      </c>
      <c r="D65" s="358" t="str">
        <f ca="1">IF(ISERROR(OFFSET('HARGA SATUAN'!$D$6,MATCH(RAB!C65,'HARGA SATUAN'!$C$7:$C$1492,0),0)),"",OFFSET('HARGA SATUAN'!$D$6,MATCH(RAB!C65,'HARGA SATUAN'!$C$7:$C$1492,0),0))</f>
        <v>HDW</v>
      </c>
      <c r="E65" s="359" t="str">
        <f ca="1">IF(B65="+","Unit",IF(ISERROR(OFFSET('HARGA SATUAN'!$E$6,MATCH(RAB!C65,'HARGA SATUAN'!$C$7:$C$1492,0),0)),"",OFFSET('HARGA SATUAN'!$E$6,MATCH(RAB!C65,'HARGA SATUAN'!$C$7:$C$1492,0),0)))</f>
        <v>Bh</v>
      </c>
      <c r="F65" s="498">
        <f>F56*2</f>
        <v>2</v>
      </c>
      <c r="G65" s="360">
        <f ca="1">IF(ISERROR(OFFSET('HARGA SATUAN'!$I$6,MATCH(RAB!C65,'HARGA SATUAN'!$C$7:$C$1492,0),0)),0,OFFSET('HARGA SATUAN'!$I$6,MATCH(RAB!C65,'HARGA SATUAN'!$C$7:$C$1492,0),0))</f>
        <v>57690</v>
      </c>
      <c r="H65" s="361">
        <f t="shared" ca="1" si="8"/>
        <v>0</v>
      </c>
      <c r="I65" s="361">
        <f t="shared" ca="1" si="9"/>
        <v>115380</v>
      </c>
      <c r="J65" s="361">
        <f t="shared" ca="1" si="10"/>
        <v>0</v>
      </c>
      <c r="K65" s="362">
        <f t="shared" ca="1" si="11"/>
        <v>115380</v>
      </c>
      <c r="L65" s="342"/>
      <c r="M65" s="342"/>
      <c r="N65" s="369"/>
      <c r="O65" s="344"/>
      <c r="P65" s="396"/>
      <c r="Q65" s="344"/>
    </row>
    <row r="66" spans="1:17" s="365" customFormat="1">
      <c r="A66" s="336"/>
      <c r="B66" s="503">
        <v>10</v>
      </c>
      <c r="C66" s="504" t="s">
        <v>27</v>
      </c>
      <c r="D66" s="358" t="str">
        <f ca="1">IF(ISERROR(OFFSET('HARGA SATUAN'!$D$6,MATCH(RAB!C66,'HARGA SATUAN'!$C$7:$C$1492,0),0)),"",OFFSET('HARGA SATUAN'!$D$6,MATCH(RAB!C66,'HARGA SATUAN'!$C$7:$C$1492,0),0))</f>
        <v>HDW</v>
      </c>
      <c r="E66" s="359" t="str">
        <f ca="1">IF(B66="+","Unit",IF(ISERROR(OFFSET('HARGA SATUAN'!$E$6,MATCH(RAB!C66,'HARGA SATUAN'!$C$7:$C$1492,0),0)),"",OFFSET('HARGA SATUAN'!$E$6,MATCH(RAB!C66,'HARGA SATUAN'!$C$7:$C$1492,0),0)))</f>
        <v>Bh</v>
      </c>
      <c r="F66" s="498">
        <f>F56*2</f>
        <v>2</v>
      </c>
      <c r="G66" s="360">
        <f ca="1">IF(ISERROR(OFFSET('HARGA SATUAN'!$I$6,MATCH(RAB!C66,'HARGA SATUAN'!$C$7:$C$1492,0),0)),0,OFFSET('HARGA SATUAN'!$I$6,MATCH(RAB!C66,'HARGA SATUAN'!$C$7:$C$1492,0),0))</f>
        <v>16000</v>
      </c>
      <c r="H66" s="361">
        <f t="shared" ca="1" si="8"/>
        <v>0</v>
      </c>
      <c r="I66" s="361">
        <f t="shared" ca="1" si="9"/>
        <v>32000</v>
      </c>
      <c r="J66" s="361">
        <f t="shared" ca="1" si="10"/>
        <v>0</v>
      </c>
      <c r="K66" s="362">
        <f t="shared" ca="1" si="11"/>
        <v>32000</v>
      </c>
      <c r="L66" s="342"/>
      <c r="M66" s="342"/>
      <c r="N66" s="369"/>
      <c r="O66" s="344"/>
      <c r="P66" s="396"/>
      <c r="Q66" s="344"/>
    </row>
    <row r="67" spans="1:17" s="365" customFormat="1">
      <c r="A67" s="336"/>
      <c r="B67" s="503">
        <v>11</v>
      </c>
      <c r="C67" s="504" t="s">
        <v>265</v>
      </c>
      <c r="D67" s="358" t="str">
        <f ca="1">IF(ISERROR(OFFSET('HARGA SATUAN'!$D$6,MATCH(RAB!C67,'HARGA SATUAN'!$C$7:$C$1492,0),0)),"",OFFSET('HARGA SATUAN'!$D$6,MATCH(RAB!C67,'HARGA SATUAN'!$C$7:$C$1492,0),0))</f>
        <v>HDW</v>
      </c>
      <c r="E67" s="359" t="str">
        <f ca="1">IF(B67="+","Unit",IF(ISERROR(OFFSET('HARGA SATUAN'!$E$6,MATCH(RAB!C67,'HARGA SATUAN'!$C$7:$C$1492,0),0)),"",OFFSET('HARGA SATUAN'!$E$6,MATCH(RAB!C67,'HARGA SATUAN'!$C$7:$C$1492,0),0)))</f>
        <v>Bh</v>
      </c>
      <c r="F67" s="498">
        <f>F56*2</f>
        <v>2</v>
      </c>
      <c r="G67" s="360">
        <f ca="1">IF(ISERROR(OFFSET('HARGA SATUAN'!$I$6,MATCH(RAB!C67,'HARGA SATUAN'!$C$7:$C$1492,0),0)),0,OFFSET('HARGA SATUAN'!$I$6,MATCH(RAB!C67,'HARGA SATUAN'!$C$7:$C$1492,0),0))</f>
        <v>33501.866666666669</v>
      </c>
      <c r="H67" s="361">
        <f t="shared" ca="1" si="8"/>
        <v>0</v>
      </c>
      <c r="I67" s="361">
        <f t="shared" ca="1" si="9"/>
        <v>67003.733333333337</v>
      </c>
      <c r="J67" s="361">
        <f t="shared" ca="1" si="10"/>
        <v>0</v>
      </c>
      <c r="K67" s="362">
        <f t="shared" ca="1" si="11"/>
        <v>67003.733333333337</v>
      </c>
      <c r="L67" s="342"/>
      <c r="M67" s="342"/>
      <c r="N67" s="369"/>
      <c r="O67" s="344"/>
      <c r="P67" s="396"/>
      <c r="Q67" s="344"/>
    </row>
    <row r="68" spans="1:17" s="365" customFormat="1">
      <c r="A68" s="336"/>
      <c r="B68" s="503">
        <v>12</v>
      </c>
      <c r="C68" s="504" t="s">
        <v>26</v>
      </c>
      <c r="D68" s="358" t="str">
        <f ca="1">IF(ISERROR(OFFSET('HARGA SATUAN'!$D$6,MATCH(RAB!C68,'HARGA SATUAN'!$C$7:$C$1492,0),0)),"",OFFSET('HARGA SATUAN'!$D$6,MATCH(RAB!C68,'HARGA SATUAN'!$C$7:$C$1492,0),0))</f>
        <v>HDW</v>
      </c>
      <c r="E68" s="359" t="str">
        <f ca="1">IF(B68="+","Unit",IF(ISERROR(OFFSET('HARGA SATUAN'!$E$6,MATCH(RAB!C68,'HARGA SATUAN'!$C$7:$C$1492,0),0)),"",OFFSET('HARGA SATUAN'!$E$6,MATCH(RAB!C68,'HARGA SATUAN'!$C$7:$C$1492,0),0)))</f>
        <v>Bh</v>
      </c>
      <c r="F68" s="498">
        <f>F56*2</f>
        <v>2</v>
      </c>
      <c r="G68" s="360">
        <f ca="1">IF(ISERROR(OFFSET('HARGA SATUAN'!$I$6,MATCH(RAB!C68,'HARGA SATUAN'!$C$7:$C$1492,0),0)),0,OFFSET('HARGA SATUAN'!$I$6,MATCH(RAB!C68,'HARGA SATUAN'!$C$7:$C$1492,0),0))</f>
        <v>2500</v>
      </c>
      <c r="H68" s="361">
        <f t="shared" ca="1" si="8"/>
        <v>0</v>
      </c>
      <c r="I68" s="361">
        <f t="shared" ca="1" si="9"/>
        <v>5000</v>
      </c>
      <c r="J68" s="361">
        <f t="shared" ca="1" si="10"/>
        <v>0</v>
      </c>
      <c r="K68" s="362">
        <f t="shared" ca="1" si="11"/>
        <v>5000</v>
      </c>
      <c r="L68" s="342"/>
      <c r="M68" s="342"/>
      <c r="N68" s="369"/>
      <c r="O68" s="344"/>
      <c r="P68" s="396"/>
      <c r="Q68" s="344"/>
    </row>
    <row r="69" spans="1:17" s="365" customFormat="1">
      <c r="A69" s="336"/>
      <c r="B69" s="503">
        <v>13</v>
      </c>
      <c r="C69" s="504" t="s">
        <v>652</v>
      </c>
      <c r="D69" s="358" t="str">
        <f ca="1">IF(ISERROR(OFFSET('HARGA SATUAN'!$D$6,MATCH(RAB!C69,'HARGA SATUAN'!$C$7:$C$1492,0),0)),"",OFFSET('HARGA SATUAN'!$D$6,MATCH(RAB!C69,'HARGA SATUAN'!$C$7:$C$1492,0),0))</f>
        <v>JASA</v>
      </c>
      <c r="E69" s="359" t="str">
        <f ca="1">IF(B69="+","Unit",IF(ISERROR(OFFSET('HARGA SATUAN'!$E$6,MATCH(RAB!C69,'HARGA SATUAN'!$C$7:$C$1492,0),0)),"",OFFSET('HARGA SATUAN'!$E$6,MATCH(RAB!C69,'HARGA SATUAN'!$C$7:$C$1492,0),0)))</f>
        <v>Unit</v>
      </c>
      <c r="F69" s="498">
        <f>F56*1</f>
        <v>1</v>
      </c>
      <c r="G69" s="360">
        <f ca="1">IF(ISERROR(OFFSET('HARGA SATUAN'!$I$6,MATCH(RAB!C69,'HARGA SATUAN'!$C$7:$C$1492,0),0)),0,OFFSET('HARGA SATUAN'!$I$6,MATCH(RAB!C69,'HARGA SATUAN'!$C$7:$C$1492,0),0))</f>
        <v>85800</v>
      </c>
      <c r="H69" s="361">
        <f t="shared" ca="1" si="8"/>
        <v>0</v>
      </c>
      <c r="I69" s="361">
        <f t="shared" ca="1" si="9"/>
        <v>0</v>
      </c>
      <c r="J69" s="361">
        <f t="shared" ca="1" si="10"/>
        <v>85800</v>
      </c>
      <c r="K69" s="362">
        <f t="shared" ca="1" si="11"/>
        <v>85800</v>
      </c>
      <c r="L69" s="342"/>
      <c r="M69" s="342"/>
      <c r="N69" s="369"/>
      <c r="O69" s="344"/>
      <c r="P69" s="396"/>
      <c r="Q69" s="344"/>
    </row>
    <row r="70" spans="1:17" s="365" customFormat="1">
      <c r="A70" s="336"/>
      <c r="B70" s="495"/>
      <c r="C70" s="496"/>
      <c r="D70" s="358" t="str">
        <f ca="1">IF(ISERROR(OFFSET('HARGA SATUAN'!$D$6,MATCH(RAB!C70,'HARGA SATUAN'!$C$7:$C$1492,0),0)),"",OFFSET('HARGA SATUAN'!$D$6,MATCH(RAB!C70,'HARGA SATUAN'!$C$7:$C$1492,0),0))</f>
        <v/>
      </c>
      <c r="E70" s="359" t="str">
        <f ca="1">IF(B70="+","Unit",IF(ISERROR(OFFSET('HARGA SATUAN'!$E$6,MATCH(RAB!C70,'HARGA SATUAN'!$C$7:$C$1492,0),0)),"",OFFSET('HARGA SATUAN'!$E$6,MATCH(RAB!C70,'HARGA SATUAN'!$C$7:$C$1492,0),0)))</f>
        <v/>
      </c>
      <c r="F70" s="498"/>
      <c r="G70" s="360">
        <f ca="1">IF(ISERROR(OFFSET('HARGA SATUAN'!$I$6,MATCH(RAB!C70,'HARGA SATUAN'!$C$7:$C$1492,0),0)),0,OFFSET('HARGA SATUAN'!$I$6,MATCH(RAB!C70,'HARGA SATUAN'!$C$7:$C$1492,0),0))</f>
        <v>0</v>
      </c>
      <c r="H70" s="361">
        <f t="shared" ca="1" si="8"/>
        <v>0</v>
      </c>
      <c r="I70" s="361">
        <f t="shared" ca="1" si="9"/>
        <v>0</v>
      </c>
      <c r="J70" s="361">
        <f t="shared" ca="1" si="10"/>
        <v>0</v>
      </c>
      <c r="K70" s="362">
        <f t="shared" ca="1" si="11"/>
        <v>0</v>
      </c>
      <c r="L70" s="342"/>
      <c r="M70" s="342"/>
      <c r="N70" s="369"/>
      <c r="O70" s="344"/>
      <c r="P70" s="396"/>
      <c r="Q70" s="344"/>
    </row>
    <row r="71" spans="1:17" s="365" customFormat="1">
      <c r="A71" s="336"/>
      <c r="B71" s="507" t="s">
        <v>1035</v>
      </c>
      <c r="C71" s="508" t="s">
        <v>1642</v>
      </c>
      <c r="D71" s="358" t="str">
        <f ca="1">IF(ISERROR(OFFSET('HARGA SATUAN'!$D$6,MATCH(RAB!C71,'HARGA SATUAN'!$C$7:$C$1492,0),0)),"",OFFSET('HARGA SATUAN'!$D$6,MATCH(RAB!C71,'HARGA SATUAN'!$C$7:$C$1492,0),0))</f>
        <v/>
      </c>
      <c r="E71" s="359" t="str">
        <f ca="1">IF(B71="+","Unit",IF(ISERROR(OFFSET('HARGA SATUAN'!$E$6,MATCH(RAB!C71,'HARGA SATUAN'!$C$7:$C$1492,0),0)),"",OFFSET('HARGA SATUAN'!$E$6,MATCH(RAB!C71,'HARGA SATUAN'!$C$7:$C$1492,0),0)))</f>
        <v>Unit</v>
      </c>
      <c r="F71" s="498">
        <v>1</v>
      </c>
      <c r="G71" s="360">
        <f ca="1">IF(ISERROR(OFFSET('HARGA SATUAN'!$I$6,MATCH(RAB!C71,'HARGA SATUAN'!$C$7:$C$1492,0),0)),0,OFFSET('HARGA SATUAN'!$I$6,MATCH(RAB!C71,'HARGA SATUAN'!$C$7:$C$1492,0),0))</f>
        <v>0</v>
      </c>
      <c r="H71" s="361">
        <f t="shared" ca="1" si="8"/>
        <v>0</v>
      </c>
      <c r="I71" s="361">
        <f t="shared" ca="1" si="9"/>
        <v>0</v>
      </c>
      <c r="J71" s="361">
        <f t="shared" ca="1" si="10"/>
        <v>0</v>
      </c>
      <c r="K71" s="362">
        <f t="shared" ca="1" si="11"/>
        <v>0</v>
      </c>
      <c r="L71" s="342"/>
      <c r="M71" s="342"/>
      <c r="N71" s="369"/>
      <c r="O71" s="344"/>
      <c r="P71" s="396"/>
      <c r="Q71" s="344"/>
    </row>
    <row r="72" spans="1:17" s="365" customFormat="1">
      <c r="A72" s="336"/>
      <c r="B72" s="507">
        <v>1</v>
      </c>
      <c r="C72" s="508" t="s">
        <v>593</v>
      </c>
      <c r="D72" s="358" t="str">
        <f ca="1">IF(ISERROR(OFFSET('HARGA SATUAN'!$D$6,MATCH(RAB!C72,'HARGA SATUAN'!$C$7:$C$1492,0),0)),"",OFFSET('HARGA SATUAN'!$D$6,MATCH(RAB!C72,'HARGA SATUAN'!$C$7:$C$1492,0),0))</f>
        <v>HDW</v>
      </c>
      <c r="E72" s="359" t="str">
        <f ca="1">IF(B72="+","Unit",IF(ISERROR(OFFSET('HARGA SATUAN'!$E$6,MATCH(RAB!C72,'HARGA SATUAN'!$C$7:$C$1492,0),0)),"",OFFSET('HARGA SATUAN'!$E$6,MATCH(RAB!C72,'HARGA SATUAN'!$C$7:$C$1492,0),0)))</f>
        <v>Bh</v>
      </c>
      <c r="F72" s="498">
        <f>F71*2</f>
        <v>2</v>
      </c>
      <c r="G72" s="360">
        <f ca="1">IF(ISERROR(OFFSET('HARGA SATUAN'!$I$6,MATCH(RAB!C72,'HARGA SATUAN'!$C$7:$C$1492,0),0)),0,OFFSET('HARGA SATUAN'!$I$6,MATCH(RAB!C72,'HARGA SATUAN'!$C$7:$C$1492,0),0))</f>
        <v>380500</v>
      </c>
      <c r="H72" s="361">
        <f t="shared" ca="1" si="8"/>
        <v>0</v>
      </c>
      <c r="I72" s="361">
        <f t="shared" ca="1" si="9"/>
        <v>761000</v>
      </c>
      <c r="J72" s="361">
        <f t="shared" ca="1" si="10"/>
        <v>0</v>
      </c>
      <c r="K72" s="362">
        <f t="shared" ca="1" si="11"/>
        <v>761000</v>
      </c>
      <c r="L72" s="342"/>
      <c r="M72" s="342"/>
      <c r="N72" s="369"/>
      <c r="O72" s="344"/>
      <c r="P72" s="396"/>
      <c r="Q72" s="344"/>
    </row>
    <row r="73" spans="1:17" s="365" customFormat="1">
      <c r="A73" s="336"/>
      <c r="B73" s="507">
        <v>2</v>
      </c>
      <c r="C73" s="508" t="s">
        <v>28</v>
      </c>
      <c r="D73" s="358" t="str">
        <f ca="1">IF(ISERROR(OFFSET('HARGA SATUAN'!$D$6,MATCH(RAB!C73,'HARGA SATUAN'!$C$7:$C$1492,0),0)),"",OFFSET('HARGA SATUAN'!$D$6,MATCH(RAB!C73,'HARGA SATUAN'!$C$7:$C$1492,0),0))</f>
        <v>HDW</v>
      </c>
      <c r="E73" s="359" t="str">
        <f ca="1">IF(B73="+","Unit",IF(ISERROR(OFFSET('HARGA SATUAN'!$E$6,MATCH(RAB!C73,'HARGA SATUAN'!$C$7:$C$1492,0),0)),"",OFFSET('HARGA SATUAN'!$E$6,MATCH(RAB!C73,'HARGA SATUAN'!$C$7:$C$1492,0),0)))</f>
        <v>Bh</v>
      </c>
      <c r="F73" s="498">
        <f>F71*2</f>
        <v>2</v>
      </c>
      <c r="G73" s="360">
        <f ca="1">IF(ISERROR(OFFSET('HARGA SATUAN'!$I$6,MATCH(RAB!C73,'HARGA SATUAN'!$C$7:$C$1492,0),0)),0,OFFSET('HARGA SATUAN'!$I$6,MATCH(RAB!C73,'HARGA SATUAN'!$C$7:$C$1492,0),0))</f>
        <v>26500</v>
      </c>
      <c r="H73" s="361">
        <f t="shared" ref="H73:H83" ca="1" si="20">IF(OR(D73="MDU",D73="MDU-KD"),(IF($O$3="RAB NON MDU","PLN KD",G73*F73)),0)</f>
        <v>0</v>
      </c>
      <c r="I73" s="361">
        <f t="shared" ref="I73:I83" ca="1" si="21">IF(D73="HDW",G73*F73,0)</f>
        <v>53000</v>
      </c>
      <c r="J73" s="361">
        <f t="shared" ref="J73:J83" ca="1" si="22">IF(D73="JASA",G73*F73,0)</f>
        <v>0</v>
      </c>
      <c r="K73" s="362">
        <f t="shared" ref="K73:K83" ca="1" si="23">SUM(H73:J73)</f>
        <v>53000</v>
      </c>
      <c r="L73" s="342"/>
      <c r="M73" s="342"/>
      <c r="N73" s="369"/>
      <c r="O73" s="344"/>
      <c r="P73" s="396"/>
      <c r="Q73" s="344"/>
    </row>
    <row r="74" spans="1:17" s="365" customFormat="1">
      <c r="A74" s="336"/>
      <c r="B74" s="507">
        <v>3</v>
      </c>
      <c r="C74" s="508" t="s">
        <v>26</v>
      </c>
      <c r="D74" s="358" t="str">
        <f ca="1">IF(ISERROR(OFFSET('HARGA SATUAN'!$D$6,MATCH(RAB!C74,'HARGA SATUAN'!$C$7:$C$1492,0),0)),"",OFFSET('HARGA SATUAN'!$D$6,MATCH(RAB!C74,'HARGA SATUAN'!$C$7:$C$1492,0),0))</f>
        <v>HDW</v>
      </c>
      <c r="E74" s="359" t="str">
        <f ca="1">IF(B74="+","Unit",IF(ISERROR(OFFSET('HARGA SATUAN'!$E$6,MATCH(RAB!C74,'HARGA SATUAN'!$C$7:$C$1492,0),0)),"",OFFSET('HARGA SATUAN'!$E$6,MATCH(RAB!C74,'HARGA SATUAN'!$C$7:$C$1492,0),0)))</f>
        <v>Bh</v>
      </c>
      <c r="F74" s="498">
        <f>F71*2</f>
        <v>2</v>
      </c>
      <c r="G74" s="360">
        <f ca="1">IF(ISERROR(OFFSET('HARGA SATUAN'!$I$6,MATCH(RAB!C74,'HARGA SATUAN'!$C$7:$C$1492,0),0)),0,OFFSET('HARGA SATUAN'!$I$6,MATCH(RAB!C74,'HARGA SATUAN'!$C$7:$C$1492,0),0))</f>
        <v>2500</v>
      </c>
      <c r="H74" s="361">
        <f t="shared" ca="1" si="20"/>
        <v>0</v>
      </c>
      <c r="I74" s="361">
        <f t="shared" ca="1" si="21"/>
        <v>5000</v>
      </c>
      <c r="J74" s="361">
        <f t="shared" ca="1" si="22"/>
        <v>0</v>
      </c>
      <c r="K74" s="362">
        <f t="shared" ca="1" si="23"/>
        <v>5000</v>
      </c>
      <c r="L74" s="342"/>
      <c r="M74" s="342"/>
      <c r="N74" s="369"/>
      <c r="O74" s="344"/>
      <c r="P74" s="396"/>
      <c r="Q74" s="344"/>
    </row>
    <row r="75" spans="1:17" s="365" customFormat="1">
      <c r="A75" s="336"/>
      <c r="B75" s="503">
        <v>4</v>
      </c>
      <c r="C75" s="504" t="s">
        <v>157</v>
      </c>
      <c r="D75" s="358" t="str">
        <f ca="1">IF(ISERROR(OFFSET('HARGA SATUAN'!$D$6,MATCH(RAB!C75,'HARGA SATUAN'!$C$7:$C$1492,0),0)),"",OFFSET('HARGA SATUAN'!$D$6,MATCH(RAB!C75,'HARGA SATUAN'!$C$7:$C$1492,0),0))</f>
        <v>HDW</v>
      </c>
      <c r="E75" s="359" t="str">
        <f ca="1">IF(B75="+","Unit",IF(ISERROR(OFFSET('HARGA SATUAN'!$E$6,MATCH(RAB!C75,'HARGA SATUAN'!$C$7:$C$1492,0),0)),"",OFFSET('HARGA SATUAN'!$E$6,MATCH(RAB!C75,'HARGA SATUAN'!$C$7:$C$1492,0),0)))</f>
        <v>Bh</v>
      </c>
      <c r="F75" s="498">
        <f>F71*2</f>
        <v>2</v>
      </c>
      <c r="G75" s="360">
        <f ca="1">IF(ISERROR(OFFSET('HARGA SATUAN'!$I$6,MATCH(RAB!C75,'HARGA SATUAN'!$C$7:$C$1492,0),0)),0,OFFSET('HARGA SATUAN'!$I$6,MATCH(RAB!C75,'HARGA SATUAN'!$C$7:$C$1492,0),0))</f>
        <v>40000</v>
      </c>
      <c r="H75" s="361">
        <f t="shared" ca="1" si="20"/>
        <v>0</v>
      </c>
      <c r="I75" s="361">
        <f t="shared" ca="1" si="21"/>
        <v>80000</v>
      </c>
      <c r="J75" s="361">
        <f t="shared" ca="1" si="22"/>
        <v>0</v>
      </c>
      <c r="K75" s="362">
        <f t="shared" ca="1" si="23"/>
        <v>80000</v>
      </c>
      <c r="L75" s="342"/>
      <c r="M75" s="342"/>
      <c r="N75" s="369"/>
      <c r="O75" s="344"/>
      <c r="P75" s="396"/>
      <c r="Q75" s="344"/>
    </row>
    <row r="76" spans="1:17" s="365" customFormat="1">
      <c r="A76" s="336"/>
      <c r="B76" s="503">
        <v>5</v>
      </c>
      <c r="C76" s="504" t="s">
        <v>755</v>
      </c>
      <c r="D76" s="358" t="str">
        <f ca="1">IF(ISERROR(OFFSET('HARGA SATUAN'!$D$6,MATCH(RAB!C76,'HARGA SATUAN'!$C$7:$C$1492,0),0)),"",OFFSET('HARGA SATUAN'!$D$6,MATCH(RAB!C76,'HARGA SATUAN'!$C$7:$C$1492,0),0))</f>
        <v>JASA</v>
      </c>
      <c r="E76" s="359" t="str">
        <f ca="1">IF(B76="+","Unit",IF(ISERROR(OFFSET('HARGA SATUAN'!$E$6,MATCH(RAB!C76,'HARGA SATUAN'!$C$7:$C$1492,0),0)),"",OFFSET('HARGA SATUAN'!$E$6,MATCH(RAB!C76,'HARGA SATUAN'!$C$7:$C$1492,0),0)))</f>
        <v>Unit</v>
      </c>
      <c r="F76" s="498">
        <f>F71*1</f>
        <v>1</v>
      </c>
      <c r="G76" s="360">
        <f ca="1">IF(ISERROR(OFFSET('HARGA SATUAN'!$I$6,MATCH(RAB!C76,'HARGA SATUAN'!$C$7:$C$1492,0),0)),0,OFFSET('HARGA SATUAN'!$I$6,MATCH(RAB!C76,'HARGA SATUAN'!$C$7:$C$1492,0),0))</f>
        <v>69000</v>
      </c>
      <c r="H76" s="361">
        <f t="shared" ca="1" si="20"/>
        <v>0</v>
      </c>
      <c r="I76" s="361">
        <f t="shared" ca="1" si="21"/>
        <v>0</v>
      </c>
      <c r="J76" s="361">
        <f t="shared" ca="1" si="22"/>
        <v>69000</v>
      </c>
      <c r="K76" s="362">
        <f t="shared" ca="1" si="23"/>
        <v>69000</v>
      </c>
      <c r="L76" s="342"/>
      <c r="M76" s="342"/>
      <c r="N76" s="369"/>
      <c r="O76" s="344"/>
      <c r="P76" s="396"/>
      <c r="Q76" s="344"/>
    </row>
    <row r="77" spans="1:17" s="365" customFormat="1">
      <c r="A77" s="336"/>
      <c r="B77" s="503"/>
      <c r="C77" s="504"/>
      <c r="D77" s="358" t="str">
        <f ca="1">IF(ISERROR(OFFSET('HARGA SATUAN'!$D$6,MATCH(RAB!C77,'HARGA SATUAN'!$C$7:$C$1492,0),0)),"",OFFSET('HARGA SATUAN'!$D$6,MATCH(RAB!C77,'HARGA SATUAN'!$C$7:$C$1492,0),0))</f>
        <v/>
      </c>
      <c r="E77" s="359" t="str">
        <f ca="1">IF(B77="+","Unit",IF(ISERROR(OFFSET('HARGA SATUAN'!$E$6,MATCH(RAB!C77,'HARGA SATUAN'!$C$7:$C$1492,0),0)),"",OFFSET('HARGA SATUAN'!$E$6,MATCH(RAB!C77,'HARGA SATUAN'!$C$7:$C$1492,0),0)))</f>
        <v/>
      </c>
      <c r="F77" s="498"/>
      <c r="G77" s="360">
        <f ca="1">IF(ISERROR(OFFSET('HARGA SATUAN'!$I$6,MATCH(RAB!C77,'HARGA SATUAN'!$C$7:$C$1492,0),0)),0,OFFSET('HARGA SATUAN'!$I$6,MATCH(RAB!C77,'HARGA SATUAN'!$C$7:$C$1492,0),0))</f>
        <v>0</v>
      </c>
      <c r="H77" s="361">
        <f t="shared" ca="1" si="20"/>
        <v>0</v>
      </c>
      <c r="I77" s="361">
        <f t="shared" ca="1" si="21"/>
        <v>0</v>
      </c>
      <c r="J77" s="361">
        <f t="shared" ca="1" si="22"/>
        <v>0</v>
      </c>
      <c r="K77" s="362">
        <f t="shared" ca="1" si="23"/>
        <v>0</v>
      </c>
      <c r="L77" s="342"/>
      <c r="M77" s="342"/>
      <c r="N77" s="369"/>
      <c r="O77" s="344"/>
      <c r="P77" s="396"/>
      <c r="Q77" s="344"/>
    </row>
    <row r="78" spans="1:17" s="365" customFormat="1">
      <c r="A78" s="336"/>
      <c r="B78" s="503" t="s">
        <v>1035</v>
      </c>
      <c r="C78" s="504" t="s">
        <v>1626</v>
      </c>
      <c r="D78" s="358" t="str">
        <f ca="1">IF(ISERROR(OFFSET('HARGA SATUAN'!$D$6,MATCH(RAB!C78,'HARGA SATUAN'!$C$7:$C$1492,0),0)),"",OFFSET('HARGA SATUAN'!$D$6,MATCH(RAB!C78,'HARGA SATUAN'!$C$7:$C$1492,0),0))</f>
        <v/>
      </c>
      <c r="E78" s="359" t="str">
        <f ca="1">IF(B78="+","Unit",IF(ISERROR(OFFSET('HARGA SATUAN'!$E$6,MATCH(RAB!C78,'HARGA SATUAN'!$C$7:$C$1492,0),0)),"",OFFSET('HARGA SATUAN'!$E$6,MATCH(RAB!C78,'HARGA SATUAN'!$C$7:$C$1492,0),0)))</f>
        <v>Unit</v>
      </c>
      <c r="F78" s="498">
        <v>1</v>
      </c>
      <c r="G78" s="360">
        <f ca="1">IF(ISERROR(OFFSET('HARGA SATUAN'!$I$6,MATCH(RAB!C78,'HARGA SATUAN'!$C$7:$C$1492,0),0)),0,OFFSET('HARGA SATUAN'!$I$6,MATCH(RAB!C78,'HARGA SATUAN'!$C$7:$C$1492,0),0))</f>
        <v>0</v>
      </c>
      <c r="H78" s="361">
        <f t="shared" ca="1" si="20"/>
        <v>0</v>
      </c>
      <c r="I78" s="361">
        <f t="shared" ca="1" si="21"/>
        <v>0</v>
      </c>
      <c r="J78" s="361">
        <f t="shared" ca="1" si="22"/>
        <v>0</v>
      </c>
      <c r="K78" s="362">
        <f t="shared" ca="1" si="23"/>
        <v>0</v>
      </c>
      <c r="L78" s="342"/>
      <c r="M78" s="342"/>
      <c r="N78" s="369"/>
      <c r="O78" s="344"/>
      <c r="P78" s="396"/>
      <c r="Q78" s="344"/>
    </row>
    <row r="79" spans="1:17" s="365" customFormat="1">
      <c r="A79" s="336"/>
      <c r="B79" s="503">
        <v>1</v>
      </c>
      <c r="C79" s="504" t="s">
        <v>28</v>
      </c>
      <c r="D79" s="358" t="str">
        <f ca="1">IF(ISERROR(OFFSET('HARGA SATUAN'!$D$6,MATCH(RAB!C79,'HARGA SATUAN'!$C$7:$C$1492,0),0)),"",OFFSET('HARGA SATUAN'!$D$6,MATCH(RAB!C79,'HARGA SATUAN'!$C$7:$C$1492,0),0))</f>
        <v>HDW</v>
      </c>
      <c r="E79" s="359" t="str">
        <f ca="1">IF(B79="+","Unit",IF(ISERROR(OFFSET('HARGA SATUAN'!$E$6,MATCH(RAB!C79,'HARGA SATUAN'!$C$7:$C$1492,0),0)),"",OFFSET('HARGA SATUAN'!$E$6,MATCH(RAB!C79,'HARGA SATUAN'!$C$7:$C$1492,0),0)))</f>
        <v>Bh</v>
      </c>
      <c r="F79" s="498">
        <f>F78*1</f>
        <v>1</v>
      </c>
      <c r="G79" s="360">
        <f ca="1">IF(ISERROR(OFFSET('HARGA SATUAN'!$I$6,MATCH(RAB!C79,'HARGA SATUAN'!$C$7:$C$1492,0),0)),0,OFFSET('HARGA SATUAN'!$I$6,MATCH(RAB!C79,'HARGA SATUAN'!$C$7:$C$1492,0),0))</f>
        <v>26500</v>
      </c>
      <c r="H79" s="361">
        <f t="shared" ca="1" si="20"/>
        <v>0</v>
      </c>
      <c r="I79" s="361">
        <f t="shared" ca="1" si="21"/>
        <v>26500</v>
      </c>
      <c r="J79" s="361">
        <f t="shared" ca="1" si="22"/>
        <v>0</v>
      </c>
      <c r="K79" s="362">
        <f t="shared" ca="1" si="23"/>
        <v>26500</v>
      </c>
      <c r="L79" s="342"/>
      <c r="M79" s="342"/>
      <c r="N79" s="369"/>
      <c r="O79" s="344"/>
      <c r="P79" s="396"/>
      <c r="Q79" s="344"/>
    </row>
    <row r="80" spans="1:17" s="365" customFormat="1">
      <c r="A80" s="336"/>
      <c r="B80" s="503">
        <v>2</v>
      </c>
      <c r="C80" s="504" t="s">
        <v>203</v>
      </c>
      <c r="D80" s="358" t="str">
        <f ca="1">IF(ISERROR(OFFSET('HARGA SATUAN'!$D$6,MATCH(RAB!C80,'HARGA SATUAN'!$C$7:$C$1492,0),0)),"",OFFSET('HARGA SATUAN'!$D$6,MATCH(RAB!C80,'HARGA SATUAN'!$C$7:$C$1492,0),0))</f>
        <v>HDW</v>
      </c>
      <c r="E80" s="359" t="str">
        <f ca="1">IF(B80="+","Unit",IF(ISERROR(OFFSET('HARGA SATUAN'!$E$6,MATCH(RAB!C80,'HARGA SATUAN'!$C$7:$C$1492,0),0)),"",OFFSET('HARGA SATUAN'!$E$6,MATCH(RAB!C80,'HARGA SATUAN'!$C$7:$C$1492,0),0)))</f>
        <v>Bh</v>
      </c>
      <c r="F80" s="498">
        <f>F78*1</f>
        <v>1</v>
      </c>
      <c r="G80" s="360">
        <f ca="1">IF(ISERROR(OFFSET('HARGA SATUAN'!$I$6,MATCH(RAB!C80,'HARGA SATUAN'!$C$7:$C$1492,0),0)),0,OFFSET('HARGA SATUAN'!$I$6,MATCH(RAB!C80,'HARGA SATUAN'!$C$7:$C$1492,0),0))</f>
        <v>12500</v>
      </c>
      <c r="H80" s="361">
        <f t="shared" ca="1" si="20"/>
        <v>0</v>
      </c>
      <c r="I80" s="361">
        <f t="shared" ca="1" si="21"/>
        <v>12500</v>
      </c>
      <c r="J80" s="361">
        <f t="shared" ca="1" si="22"/>
        <v>0</v>
      </c>
      <c r="K80" s="362">
        <f t="shared" ca="1" si="23"/>
        <v>12500</v>
      </c>
      <c r="L80" s="342"/>
      <c r="M80" s="342"/>
      <c r="N80" s="369"/>
      <c r="O80" s="344"/>
      <c r="P80" s="396"/>
      <c r="Q80" s="344"/>
    </row>
    <row r="81" spans="1:17" s="365" customFormat="1">
      <c r="A81" s="336"/>
      <c r="B81" s="495">
        <v>3</v>
      </c>
      <c r="C81" s="496" t="s">
        <v>206</v>
      </c>
      <c r="D81" s="358" t="str">
        <f ca="1">IF(ISERROR(OFFSET('HARGA SATUAN'!$D$6,MATCH(RAB!C81,'HARGA SATUAN'!$C$7:$C$1492,0),0)),"",OFFSET('HARGA SATUAN'!$D$6,MATCH(RAB!C81,'HARGA SATUAN'!$C$7:$C$1492,0),0))</f>
        <v>HDW</v>
      </c>
      <c r="E81" s="359" t="str">
        <f ca="1">IF(B81="+","Unit",IF(ISERROR(OFFSET('HARGA SATUAN'!$E$6,MATCH(RAB!C81,'HARGA SATUAN'!$C$7:$C$1492,0),0)),"",OFFSET('HARGA SATUAN'!$E$6,MATCH(RAB!C81,'HARGA SATUAN'!$C$7:$C$1492,0),0)))</f>
        <v>Mtr</v>
      </c>
      <c r="F81" s="498">
        <f>F78*12</f>
        <v>12</v>
      </c>
      <c r="G81" s="360">
        <f ca="1">IF(ISERROR(OFFSET('HARGA SATUAN'!$I$6,MATCH(RAB!C81,'HARGA SATUAN'!$C$7:$C$1492,0),0)),0,OFFSET('HARGA SATUAN'!$I$6,MATCH(RAB!C81,'HARGA SATUAN'!$C$7:$C$1492,0),0))</f>
        <v>39204</v>
      </c>
      <c r="H81" s="361">
        <f t="shared" ca="1" si="20"/>
        <v>0</v>
      </c>
      <c r="I81" s="361">
        <f t="shared" ca="1" si="21"/>
        <v>470448</v>
      </c>
      <c r="J81" s="361">
        <f t="shared" ca="1" si="22"/>
        <v>0</v>
      </c>
      <c r="K81" s="362">
        <f t="shared" ca="1" si="23"/>
        <v>470448</v>
      </c>
      <c r="L81" s="342"/>
      <c r="M81" s="342"/>
      <c r="N81" s="369"/>
      <c r="O81" s="344"/>
      <c r="P81" s="396"/>
      <c r="Q81" s="344"/>
    </row>
    <row r="82" spans="1:17" s="365" customFormat="1">
      <c r="A82" s="336"/>
      <c r="B82" s="507">
        <v>4</v>
      </c>
      <c r="C82" s="508" t="s">
        <v>287</v>
      </c>
      <c r="D82" s="358" t="str">
        <f ca="1">IF(ISERROR(OFFSET('HARGA SATUAN'!$D$6,MATCH(RAB!C82,'HARGA SATUAN'!$C$7:$C$1492,0),0)),"",OFFSET('HARGA SATUAN'!$D$6,MATCH(RAB!C82,'HARGA SATUAN'!$C$7:$C$1492,0),0))</f>
        <v>HDW</v>
      </c>
      <c r="E82" s="359" t="str">
        <f ca="1">IF(B82="+","Unit",IF(ISERROR(OFFSET('HARGA SATUAN'!$E$6,MATCH(RAB!C82,'HARGA SATUAN'!$C$7:$C$1492,0),0)),"",OFFSET('HARGA SATUAN'!$E$6,MATCH(RAB!C82,'HARGA SATUAN'!$C$7:$C$1492,0),0)))</f>
        <v>Bh</v>
      </c>
      <c r="F82" s="498">
        <f>F78*2</f>
        <v>2</v>
      </c>
      <c r="G82" s="360">
        <f ca="1">IF(ISERROR(OFFSET('HARGA SATUAN'!$I$6,MATCH(RAB!C82,'HARGA SATUAN'!$C$7:$C$1492,0),0)),0,OFFSET('HARGA SATUAN'!$I$6,MATCH(RAB!C82,'HARGA SATUAN'!$C$7:$C$1492,0),0))</f>
        <v>40000</v>
      </c>
      <c r="H82" s="361">
        <f t="shared" ca="1" si="20"/>
        <v>0</v>
      </c>
      <c r="I82" s="361">
        <f t="shared" ca="1" si="21"/>
        <v>80000</v>
      </c>
      <c r="J82" s="361">
        <f t="shared" ca="1" si="22"/>
        <v>0</v>
      </c>
      <c r="K82" s="362">
        <f t="shared" ca="1" si="23"/>
        <v>80000</v>
      </c>
      <c r="L82" s="342"/>
      <c r="M82" s="342"/>
      <c r="N82" s="369"/>
      <c r="O82" s="344"/>
      <c r="P82" s="396"/>
      <c r="Q82" s="344"/>
    </row>
    <row r="83" spans="1:17" s="365" customFormat="1">
      <c r="A83" s="336"/>
      <c r="B83" s="507">
        <v>5</v>
      </c>
      <c r="C83" s="508" t="s">
        <v>26</v>
      </c>
      <c r="D83" s="358" t="str">
        <f ca="1">IF(ISERROR(OFFSET('HARGA SATUAN'!$D$6,MATCH(RAB!C83,'HARGA SATUAN'!$C$7:$C$1492,0),0)),"",OFFSET('HARGA SATUAN'!$D$6,MATCH(RAB!C83,'HARGA SATUAN'!$C$7:$C$1492,0),0))</f>
        <v>HDW</v>
      </c>
      <c r="E83" s="359" t="str">
        <f ca="1">IF(B83="+","Unit",IF(ISERROR(OFFSET('HARGA SATUAN'!$E$6,MATCH(RAB!C83,'HARGA SATUAN'!$C$7:$C$1492,0),0)),"",OFFSET('HARGA SATUAN'!$E$6,MATCH(RAB!C83,'HARGA SATUAN'!$C$7:$C$1492,0),0)))</f>
        <v>Bh</v>
      </c>
      <c r="F83" s="498">
        <f>F78*1</f>
        <v>1</v>
      </c>
      <c r="G83" s="360">
        <f ca="1">IF(ISERROR(OFFSET('HARGA SATUAN'!$I$6,MATCH(RAB!C83,'HARGA SATUAN'!$C$7:$C$1492,0),0)),0,OFFSET('HARGA SATUAN'!$I$6,MATCH(RAB!C83,'HARGA SATUAN'!$C$7:$C$1492,0),0))</f>
        <v>2500</v>
      </c>
      <c r="H83" s="361">
        <f t="shared" ca="1" si="20"/>
        <v>0</v>
      </c>
      <c r="I83" s="361">
        <f t="shared" ca="1" si="21"/>
        <v>2500</v>
      </c>
      <c r="J83" s="361">
        <f t="shared" ca="1" si="22"/>
        <v>0</v>
      </c>
      <c r="K83" s="362">
        <f t="shared" ca="1" si="23"/>
        <v>2500</v>
      </c>
      <c r="L83" s="342"/>
      <c r="M83" s="342"/>
      <c r="N83" s="369"/>
      <c r="O83" s="344"/>
      <c r="P83" s="396"/>
      <c r="Q83" s="344"/>
    </row>
    <row r="84" spans="1:17" s="365" customFormat="1">
      <c r="A84" s="336"/>
      <c r="B84" s="507">
        <v>6</v>
      </c>
      <c r="C84" s="508" t="s">
        <v>760</v>
      </c>
      <c r="D84" s="358" t="str">
        <f ca="1">IF(ISERROR(OFFSET('HARGA SATUAN'!$D$6,MATCH(RAB!C84,'HARGA SATUAN'!$C$7:$C$1492,0),0)),"",OFFSET('HARGA SATUAN'!$D$6,MATCH(RAB!C84,'HARGA SATUAN'!$C$7:$C$1492,0),0))</f>
        <v>JASA</v>
      </c>
      <c r="E84" s="359" t="str">
        <f ca="1">IF(B84="+","Unit",IF(ISERROR(OFFSET('HARGA SATUAN'!$E$6,MATCH(RAB!C84,'HARGA SATUAN'!$C$7:$C$1492,0),0)),"",OFFSET('HARGA SATUAN'!$E$6,MATCH(RAB!C84,'HARGA SATUAN'!$C$7:$C$1492,0),0)))</f>
        <v>Unit</v>
      </c>
      <c r="F84" s="498">
        <f>F78*1</f>
        <v>1</v>
      </c>
      <c r="G84" s="360">
        <f ca="1">IF(ISERROR(OFFSET('HARGA SATUAN'!$I$6,MATCH(RAB!C84,'HARGA SATUAN'!$C$7:$C$1492,0),0)),0,OFFSET('HARGA SATUAN'!$I$6,MATCH(RAB!C84,'HARGA SATUAN'!$C$7:$C$1492,0),0))</f>
        <v>36600</v>
      </c>
      <c r="H84" s="361">
        <f t="shared" ref="H84:H92" ca="1" si="24">IF(OR(D84="MDU",D84="MDU-KD"),(IF($O$3="RAB NON MDU","PLN KD",G84*F84)),0)</f>
        <v>0</v>
      </c>
      <c r="I84" s="361">
        <f t="shared" ref="I84:I92" ca="1" si="25">IF(D84="HDW",G84*F84,0)</f>
        <v>0</v>
      </c>
      <c r="J84" s="361">
        <f t="shared" ref="J84:J92" ca="1" si="26">IF(D84="JASA",G84*F84,0)</f>
        <v>36600</v>
      </c>
      <c r="K84" s="362">
        <f t="shared" ref="K84:K92" ca="1" si="27">SUM(H84:J84)</f>
        <v>36600</v>
      </c>
      <c r="L84" s="342"/>
      <c r="M84" s="342"/>
      <c r="N84" s="369"/>
      <c r="O84" s="344"/>
      <c r="P84" s="396"/>
      <c r="Q84" s="344"/>
    </row>
    <row r="85" spans="1:17" s="365" customFormat="1">
      <c r="A85" s="336"/>
      <c r="B85" s="507"/>
      <c r="C85" s="508"/>
      <c r="D85" s="358" t="str">
        <f ca="1">IF(ISERROR(OFFSET('HARGA SATUAN'!$D$6,MATCH(RAB!C85,'HARGA SATUAN'!$C$7:$C$1492,0),0)),"",OFFSET('HARGA SATUAN'!$D$6,MATCH(RAB!C85,'HARGA SATUAN'!$C$7:$C$1492,0),0))</f>
        <v/>
      </c>
      <c r="E85" s="359" t="str">
        <f ca="1">IF(B85="+","Unit",IF(ISERROR(OFFSET('HARGA SATUAN'!$E$6,MATCH(RAB!C85,'HARGA SATUAN'!$C$7:$C$1492,0),0)),"",OFFSET('HARGA SATUAN'!$E$6,MATCH(RAB!C85,'HARGA SATUAN'!$C$7:$C$1492,0),0)))</f>
        <v/>
      </c>
      <c r="F85" s="498"/>
      <c r="G85" s="360">
        <f ca="1">IF(ISERROR(OFFSET('HARGA SATUAN'!$I$6,MATCH(RAB!C85,'HARGA SATUAN'!$C$7:$C$1492,0),0)),0,OFFSET('HARGA SATUAN'!$I$6,MATCH(RAB!C85,'HARGA SATUAN'!$C$7:$C$1492,0),0))</f>
        <v>0</v>
      </c>
      <c r="H85" s="361">
        <f t="shared" ca="1" si="24"/>
        <v>0</v>
      </c>
      <c r="I85" s="361">
        <f t="shared" ca="1" si="25"/>
        <v>0</v>
      </c>
      <c r="J85" s="361">
        <f t="shared" ca="1" si="26"/>
        <v>0</v>
      </c>
      <c r="K85" s="362">
        <f t="shared" ca="1" si="27"/>
        <v>0</v>
      </c>
      <c r="L85" s="342"/>
      <c r="M85" s="342"/>
      <c r="N85" s="369"/>
      <c r="O85" s="344"/>
      <c r="P85" s="396"/>
      <c r="Q85" s="344"/>
    </row>
    <row r="86" spans="1:17" s="365" customFormat="1">
      <c r="A86" s="336"/>
      <c r="B86" s="503" t="s">
        <v>1035</v>
      </c>
      <c r="C86" s="504" t="s">
        <v>1627</v>
      </c>
      <c r="D86" s="358" t="str">
        <f ca="1">IF(ISERROR(OFFSET('HARGA SATUAN'!$D$6,MATCH(RAB!C86,'HARGA SATUAN'!$C$7:$C$1492,0),0)),"",OFFSET('HARGA SATUAN'!$D$6,MATCH(RAB!C86,'HARGA SATUAN'!$C$7:$C$1492,0),0))</f>
        <v/>
      </c>
      <c r="E86" s="359" t="str">
        <f ca="1">IF(B86="+","Unit",IF(ISERROR(OFFSET('HARGA SATUAN'!$E$6,MATCH(RAB!C86,'HARGA SATUAN'!$C$7:$C$1492,0),0)),"",OFFSET('HARGA SATUAN'!$E$6,MATCH(RAB!C86,'HARGA SATUAN'!$C$7:$C$1492,0),0)))</f>
        <v>Unit</v>
      </c>
      <c r="F86" s="498">
        <v>1</v>
      </c>
      <c r="G86" s="360">
        <f ca="1">IF(ISERROR(OFFSET('HARGA SATUAN'!$I$6,MATCH(RAB!C86,'HARGA SATUAN'!$C$7:$C$1492,0),0)),0,OFFSET('HARGA SATUAN'!$I$6,MATCH(RAB!C86,'HARGA SATUAN'!$C$7:$C$1492,0),0))</f>
        <v>0</v>
      </c>
      <c r="H86" s="361">
        <f t="shared" ca="1" si="24"/>
        <v>0</v>
      </c>
      <c r="I86" s="361">
        <f t="shared" ca="1" si="25"/>
        <v>0</v>
      </c>
      <c r="J86" s="361">
        <f t="shared" ca="1" si="26"/>
        <v>0</v>
      </c>
      <c r="K86" s="362">
        <f t="shared" ca="1" si="27"/>
        <v>0</v>
      </c>
      <c r="L86" s="342"/>
      <c r="M86" s="342"/>
      <c r="N86" s="369"/>
      <c r="O86" s="344"/>
      <c r="P86" s="396"/>
      <c r="Q86" s="344"/>
    </row>
    <row r="87" spans="1:17" s="365" customFormat="1">
      <c r="A87" s="336"/>
      <c r="B87" s="503">
        <v>1</v>
      </c>
      <c r="C87" s="504" t="s">
        <v>597</v>
      </c>
      <c r="D87" s="358" t="str">
        <f ca="1">IF(ISERROR(OFFSET('HARGA SATUAN'!$D$6,MATCH(RAB!C87,'HARGA SATUAN'!$C$7:$C$1492,0),0)),"",OFFSET('HARGA SATUAN'!$D$6,MATCH(RAB!C87,'HARGA SATUAN'!$C$7:$C$1492,0),0))</f>
        <v>HDW</v>
      </c>
      <c r="E87" s="359" t="str">
        <f ca="1">IF(B87="+","Unit",IF(ISERROR(OFFSET('HARGA SATUAN'!$E$6,MATCH(RAB!C87,'HARGA SATUAN'!$C$7:$C$1492,0),0)),"",OFFSET('HARGA SATUAN'!$E$6,MATCH(RAB!C87,'HARGA SATUAN'!$C$7:$C$1492,0),0)))</f>
        <v>Bh</v>
      </c>
      <c r="F87" s="498">
        <f>F86*1</f>
        <v>1</v>
      </c>
      <c r="G87" s="360">
        <f ca="1">IF(ISERROR(OFFSET('HARGA SATUAN'!$I$6,MATCH(RAB!C87,'HARGA SATUAN'!$C$7:$C$1492,0),0)),0,OFFSET('HARGA SATUAN'!$I$6,MATCH(RAB!C87,'HARGA SATUAN'!$C$7:$C$1492,0),0))</f>
        <v>120900</v>
      </c>
      <c r="H87" s="361">
        <f t="shared" ca="1" si="24"/>
        <v>0</v>
      </c>
      <c r="I87" s="361">
        <f t="shared" ca="1" si="25"/>
        <v>120900</v>
      </c>
      <c r="J87" s="361">
        <f t="shared" ca="1" si="26"/>
        <v>0</v>
      </c>
      <c r="K87" s="362">
        <f t="shared" ca="1" si="27"/>
        <v>120900</v>
      </c>
      <c r="L87" s="342"/>
      <c r="M87" s="342"/>
      <c r="N87" s="369"/>
      <c r="O87" s="344"/>
      <c r="P87" s="396"/>
      <c r="Q87" s="344"/>
    </row>
    <row r="88" spans="1:17" s="365" customFormat="1">
      <c r="A88" s="336"/>
      <c r="B88" s="503">
        <v>2</v>
      </c>
      <c r="C88" s="504" t="s">
        <v>261</v>
      </c>
      <c r="D88" s="358" t="str">
        <f ca="1">IF(ISERROR(OFFSET('HARGA SATUAN'!$D$6,MATCH(RAB!C88,'HARGA SATUAN'!$C$7:$C$1492,0),0)),"",OFFSET('HARGA SATUAN'!$D$6,MATCH(RAB!C88,'HARGA SATUAN'!$C$7:$C$1492,0),0))</f>
        <v>HDW</v>
      </c>
      <c r="E88" s="359" t="str">
        <f ca="1">IF(B88="+","Unit",IF(ISERROR(OFFSET('HARGA SATUAN'!$E$6,MATCH(RAB!C88,'HARGA SATUAN'!$C$7:$C$1492,0),0)),"",OFFSET('HARGA SATUAN'!$E$6,MATCH(RAB!C88,'HARGA SATUAN'!$C$7:$C$1492,0),0)))</f>
        <v>Bh</v>
      </c>
      <c r="F88" s="498">
        <f>F86*1</f>
        <v>1</v>
      </c>
      <c r="G88" s="360">
        <f ca="1">IF(ISERROR(OFFSET('HARGA SATUAN'!$I$6,MATCH(RAB!C88,'HARGA SATUAN'!$C$7:$C$1492,0),0)),0,OFFSET('HARGA SATUAN'!$I$6,MATCH(RAB!C88,'HARGA SATUAN'!$C$7:$C$1492,0),0))</f>
        <v>135800</v>
      </c>
      <c r="H88" s="361">
        <f t="shared" ca="1" si="24"/>
        <v>0</v>
      </c>
      <c r="I88" s="361">
        <f t="shared" ca="1" si="25"/>
        <v>135800</v>
      </c>
      <c r="J88" s="361">
        <f t="shared" ca="1" si="26"/>
        <v>0</v>
      </c>
      <c r="K88" s="362">
        <f t="shared" ca="1" si="27"/>
        <v>135800</v>
      </c>
      <c r="L88" s="342"/>
      <c r="M88" s="342"/>
      <c r="N88" s="369"/>
      <c r="O88" s="344"/>
      <c r="P88" s="396"/>
      <c r="Q88" s="344"/>
    </row>
    <row r="89" spans="1:17" s="365" customFormat="1">
      <c r="A89" s="336"/>
      <c r="B89" s="503">
        <v>3</v>
      </c>
      <c r="C89" s="504" t="s">
        <v>214</v>
      </c>
      <c r="D89" s="358" t="str">
        <f ca="1">IF(ISERROR(OFFSET('HARGA SATUAN'!$D$6,MATCH(RAB!C89,'HARGA SATUAN'!$C$7:$C$1492,0),0)),"",OFFSET('HARGA SATUAN'!$D$6,MATCH(RAB!C89,'HARGA SATUAN'!$C$7:$C$1492,0),0))</f>
        <v>HDW</v>
      </c>
      <c r="E89" s="359" t="str">
        <f ca="1">IF(B89="+","Unit",IF(ISERROR(OFFSET('HARGA SATUAN'!$E$6,MATCH(RAB!C89,'HARGA SATUAN'!$C$7:$C$1492,0),0)),"",OFFSET('HARGA SATUAN'!$E$6,MATCH(RAB!C89,'HARGA SATUAN'!$C$7:$C$1492,0),0)))</f>
        <v>Bh</v>
      </c>
      <c r="F89" s="498">
        <f>F86*1</f>
        <v>1</v>
      </c>
      <c r="G89" s="360">
        <f ca="1">IF(ISERROR(OFFSET('HARGA SATUAN'!$I$6,MATCH(RAB!C89,'HARGA SATUAN'!$C$7:$C$1492,0),0)),0,OFFSET('HARGA SATUAN'!$I$6,MATCH(RAB!C89,'HARGA SATUAN'!$C$7:$C$1492,0),0))</f>
        <v>4500</v>
      </c>
      <c r="H89" s="361">
        <f t="shared" ca="1" si="24"/>
        <v>0</v>
      </c>
      <c r="I89" s="361">
        <f t="shared" ca="1" si="25"/>
        <v>4500</v>
      </c>
      <c r="J89" s="361">
        <f t="shared" ca="1" si="26"/>
        <v>0</v>
      </c>
      <c r="K89" s="362">
        <f t="shared" ca="1" si="27"/>
        <v>4500</v>
      </c>
      <c r="L89" s="342"/>
      <c r="M89" s="342"/>
      <c r="N89" s="369"/>
      <c r="O89" s="344"/>
      <c r="P89" s="396"/>
      <c r="Q89" s="344"/>
    </row>
    <row r="90" spans="1:17" s="365" customFormat="1">
      <c r="A90" s="336"/>
      <c r="B90" s="503">
        <v>4</v>
      </c>
      <c r="C90" s="504" t="s">
        <v>768</v>
      </c>
      <c r="D90" s="358" t="str">
        <f ca="1">IF(ISERROR(OFFSET('HARGA SATUAN'!$D$6,MATCH(RAB!C90,'HARGA SATUAN'!$C$7:$C$1492,0),0)),"",OFFSET('HARGA SATUAN'!$D$6,MATCH(RAB!C90,'HARGA SATUAN'!$C$7:$C$1492,0),0))</f>
        <v>JASA</v>
      </c>
      <c r="E90" s="359" t="str">
        <f ca="1">IF(B90="+","Unit",IF(ISERROR(OFFSET('HARGA SATUAN'!$E$6,MATCH(RAB!C90,'HARGA SATUAN'!$C$7:$C$1492,0),0)),"",OFFSET('HARGA SATUAN'!$E$6,MATCH(RAB!C90,'HARGA SATUAN'!$C$7:$C$1492,0),0)))</f>
        <v>Unit</v>
      </c>
      <c r="F90" s="498">
        <f>F86*1</f>
        <v>1</v>
      </c>
      <c r="G90" s="360">
        <f ca="1">IF(ISERROR(OFFSET('HARGA SATUAN'!$I$6,MATCH(RAB!C90,'HARGA SATUAN'!$C$7:$C$1492,0),0)),0,OFFSET('HARGA SATUAN'!$I$6,MATCH(RAB!C90,'HARGA SATUAN'!$C$7:$C$1492,0),0))</f>
        <v>55500</v>
      </c>
      <c r="H90" s="361">
        <f t="shared" ca="1" si="24"/>
        <v>0</v>
      </c>
      <c r="I90" s="361">
        <f t="shared" ca="1" si="25"/>
        <v>0</v>
      </c>
      <c r="J90" s="361">
        <f t="shared" ca="1" si="26"/>
        <v>55500</v>
      </c>
      <c r="K90" s="362">
        <f t="shared" ca="1" si="27"/>
        <v>55500</v>
      </c>
      <c r="L90" s="342"/>
      <c r="M90" s="342"/>
      <c r="N90" s="369"/>
      <c r="O90" s="344"/>
      <c r="P90" s="396"/>
      <c r="Q90" s="344"/>
    </row>
    <row r="91" spans="1:17" s="365" customFormat="1">
      <c r="A91" s="336"/>
      <c r="B91" s="503"/>
      <c r="C91" s="504"/>
      <c r="D91" s="358" t="str">
        <f ca="1">IF(ISERROR(OFFSET('HARGA SATUAN'!$D$6,MATCH(RAB!C91,'HARGA SATUAN'!$C$7:$C$1492,0),0)),"",OFFSET('HARGA SATUAN'!$D$6,MATCH(RAB!C91,'HARGA SATUAN'!$C$7:$C$1492,0),0))</f>
        <v/>
      </c>
      <c r="E91" s="359" t="str">
        <f ca="1">IF(B91="+","Unit",IF(ISERROR(OFFSET('HARGA SATUAN'!$E$6,MATCH(RAB!C91,'HARGA SATUAN'!$C$7:$C$1492,0),0)),"",OFFSET('HARGA SATUAN'!$E$6,MATCH(RAB!C91,'HARGA SATUAN'!$C$7:$C$1492,0),0)))</f>
        <v/>
      </c>
      <c r="F91" s="498"/>
      <c r="G91" s="360">
        <f ca="1">IF(ISERROR(OFFSET('HARGA SATUAN'!$I$6,MATCH(RAB!C91,'HARGA SATUAN'!$C$7:$C$1492,0),0)),0,OFFSET('HARGA SATUAN'!$I$6,MATCH(RAB!C91,'HARGA SATUAN'!$C$7:$C$1492,0),0))</f>
        <v>0</v>
      </c>
      <c r="H91" s="361">
        <f t="shared" ca="1" si="24"/>
        <v>0</v>
      </c>
      <c r="I91" s="361">
        <f t="shared" ca="1" si="25"/>
        <v>0</v>
      </c>
      <c r="J91" s="361">
        <f t="shared" ca="1" si="26"/>
        <v>0</v>
      </c>
      <c r="K91" s="362">
        <f t="shared" ca="1" si="27"/>
        <v>0</v>
      </c>
      <c r="L91" s="342"/>
      <c r="M91" s="342"/>
      <c r="N91" s="369"/>
      <c r="O91" s="344"/>
      <c r="P91" s="396"/>
      <c r="Q91" s="344"/>
    </row>
    <row r="92" spans="1:17" s="365" customFormat="1">
      <c r="A92" s="336"/>
      <c r="B92" s="495"/>
      <c r="C92" s="496"/>
      <c r="D92" s="358" t="str">
        <f ca="1">IF(ISERROR(OFFSET('HARGA SATUAN'!$D$6,MATCH(RAB!C92,'HARGA SATUAN'!$C$7:$C$1492,0),0)),"",OFFSET('HARGA SATUAN'!$D$6,MATCH(RAB!C92,'HARGA SATUAN'!$C$7:$C$1492,0),0))</f>
        <v/>
      </c>
      <c r="E92" s="359" t="str">
        <f ca="1">IF(B92="+","Unit",IF(ISERROR(OFFSET('HARGA SATUAN'!$E$6,MATCH(RAB!C92,'HARGA SATUAN'!$C$7:$C$1492,0),0)),"",OFFSET('HARGA SATUAN'!$E$6,MATCH(RAB!C92,'HARGA SATUAN'!$C$7:$C$1492,0),0)))</f>
        <v/>
      </c>
      <c r="F92" s="498"/>
      <c r="G92" s="360">
        <f ca="1">IF(ISERROR(OFFSET('HARGA SATUAN'!$I$6,MATCH(RAB!C92,'HARGA SATUAN'!$C$7:$C$1492,0),0)),0,OFFSET('HARGA SATUAN'!$I$6,MATCH(RAB!C92,'HARGA SATUAN'!$C$7:$C$1492,0),0))</f>
        <v>0</v>
      </c>
      <c r="H92" s="361">
        <f t="shared" ca="1" si="24"/>
        <v>0</v>
      </c>
      <c r="I92" s="361">
        <f t="shared" ca="1" si="25"/>
        <v>0</v>
      </c>
      <c r="J92" s="361">
        <f t="shared" ca="1" si="26"/>
        <v>0</v>
      </c>
      <c r="K92" s="362">
        <f t="shared" ca="1" si="27"/>
        <v>0</v>
      </c>
      <c r="L92" s="342"/>
      <c r="M92" s="342"/>
      <c r="N92" s="369"/>
      <c r="O92" s="344"/>
      <c r="P92" s="396"/>
      <c r="Q92" s="344"/>
    </row>
    <row r="93" spans="1:17" s="365" customFormat="1">
      <c r="A93" s="336"/>
      <c r="B93" s="495">
        <v>1</v>
      </c>
      <c r="C93" s="109" t="s">
        <v>65</v>
      </c>
      <c r="D93" s="358" t="str">
        <f ca="1">IF(ISERROR(OFFSET('HARGA SATUAN'!$D$6,MATCH(RAB!C93,'HARGA SATUAN'!$C$7:$C$1492,0),0)),"",OFFSET('HARGA SATUAN'!$D$6,MATCH(RAB!C93,'HARGA SATUAN'!$C$7:$C$1492,0),0))</f>
        <v>MDU-KD</v>
      </c>
      <c r="E93" s="359" t="str">
        <f ca="1">IF(B93="+","Unit",IF(ISERROR(OFFSET('HARGA SATUAN'!$E$6,MATCH(RAB!C93,'HARGA SATUAN'!$C$7:$C$1492,0),0)),"",OFFSET('HARGA SATUAN'!$E$6,MATCH(RAB!C93,'HARGA SATUAN'!$C$7:$C$1492,0),0)))</f>
        <v>Mtr</v>
      </c>
      <c r="F93" s="498">
        <f>180*2</f>
        <v>360</v>
      </c>
      <c r="G93" s="360">
        <f ca="1">IF(ISERROR(OFFSET('HARGA SATUAN'!$I$6,MATCH(RAB!C93,'HARGA SATUAN'!$C$7:$C$1492,0),0)),0,OFFSET('HARGA SATUAN'!$I$6,MATCH(RAB!C93,'HARGA SATUAN'!$C$7:$C$1492,0),0))</f>
        <v>14200</v>
      </c>
      <c r="H93" s="361">
        <f t="shared" ref="H93:H95" ca="1" si="28">IF(OR(D93="MDU",D93="MDU-KD"),(IF($O$3="RAB NON MDU","PLN KD",G93*F93)),0)</f>
        <v>5112000</v>
      </c>
      <c r="I93" s="361">
        <f t="shared" ref="I93:I95" ca="1" si="29">IF(D93="HDW",G93*F93,0)</f>
        <v>0</v>
      </c>
      <c r="J93" s="361">
        <f t="shared" ref="J93:J95" ca="1" si="30">IF(D93="JASA",G93*F93,0)</f>
        <v>0</v>
      </c>
      <c r="K93" s="362">
        <f t="shared" ref="K93:K95" ca="1" si="31">SUM(H93:J93)</f>
        <v>5112000</v>
      </c>
      <c r="L93" s="342"/>
      <c r="M93" s="342"/>
      <c r="N93" s="369"/>
      <c r="O93" s="344"/>
      <c r="P93" s="396"/>
      <c r="Q93" s="344"/>
    </row>
    <row r="94" spans="1:17" s="365" customFormat="1">
      <c r="A94" s="336"/>
      <c r="B94" s="495">
        <v>2</v>
      </c>
      <c r="C94" s="109" t="s">
        <v>476</v>
      </c>
      <c r="D94" s="358" t="str">
        <f ca="1">IF(ISERROR(OFFSET('HARGA SATUAN'!$D$6,MATCH(RAB!C94,'HARGA SATUAN'!$C$7:$C$1492,0),0)),"",OFFSET('HARGA SATUAN'!$D$6,MATCH(RAB!C94,'HARGA SATUAN'!$C$7:$C$1492,0),0))</f>
        <v>JASA</v>
      </c>
      <c r="E94" s="359" t="str">
        <f ca="1">IF(B94="+","Unit",IF(ISERROR(OFFSET('HARGA SATUAN'!$E$6,MATCH(RAB!C94,'HARGA SATUAN'!$C$7:$C$1492,0),0)),"",OFFSET('HARGA SATUAN'!$E$6,MATCH(RAB!C94,'HARGA SATUAN'!$C$7:$C$1492,0),0)))</f>
        <v>Per 50 m</v>
      </c>
      <c r="F94" s="498">
        <v>3.6</v>
      </c>
      <c r="G94" s="360">
        <f ca="1">IF(ISERROR(OFFSET('HARGA SATUAN'!$I$6,MATCH(RAB!C94,'HARGA SATUAN'!$C$7:$C$1492,0),0)),0,OFFSET('HARGA SATUAN'!$I$6,MATCH(RAB!C94,'HARGA SATUAN'!$C$7:$C$1492,0),0))</f>
        <v>115200</v>
      </c>
      <c r="H94" s="361">
        <f t="shared" ref="H94" ca="1" si="32">IF(OR(D94="MDU",D94="MDU-KD"),(IF($O$3="RAB NON MDU","PLN KD",G94*F94)),0)</f>
        <v>0</v>
      </c>
      <c r="I94" s="361">
        <f t="shared" ref="I94" ca="1" si="33">IF(D94="HDW",G94*F94,0)</f>
        <v>0</v>
      </c>
      <c r="J94" s="361">
        <f t="shared" ref="J94" ca="1" si="34">IF(D94="JASA",G94*F94,0)</f>
        <v>414720</v>
      </c>
      <c r="K94" s="362">
        <f t="shared" ref="K94" ca="1" si="35">SUM(H94:J94)</f>
        <v>414720</v>
      </c>
      <c r="L94" s="342"/>
      <c r="M94" s="342"/>
      <c r="N94" s="369"/>
      <c r="O94" s="344"/>
      <c r="P94" s="396"/>
      <c r="Q94" s="344"/>
    </row>
    <row r="95" spans="1:17" s="365" customFormat="1">
      <c r="A95" s="336"/>
      <c r="B95" s="495"/>
      <c r="C95" s="496"/>
      <c r="D95" s="358" t="str">
        <f ca="1">IF(ISERROR(OFFSET('HARGA SATUAN'!$D$6,MATCH(RAB!C95,'HARGA SATUAN'!$C$7:$C$1492,0),0)),"",OFFSET('HARGA SATUAN'!$D$6,MATCH(RAB!C95,'HARGA SATUAN'!$C$7:$C$1492,0),0))</f>
        <v/>
      </c>
      <c r="E95" s="359" t="str">
        <f ca="1">IF(B95="+","Unit",IF(ISERROR(OFFSET('HARGA SATUAN'!$E$6,MATCH(RAB!C95,'HARGA SATUAN'!$C$7:$C$1492,0),0)),"",OFFSET('HARGA SATUAN'!$E$6,MATCH(RAB!C95,'HARGA SATUAN'!$C$7:$C$1492,0),0)))</f>
        <v/>
      </c>
      <c r="F95" s="498"/>
      <c r="G95" s="360">
        <f ca="1">IF(ISERROR(OFFSET('HARGA SATUAN'!$I$6,MATCH(RAB!C95,'HARGA SATUAN'!$C$7:$C$1492,0),0)),0,OFFSET('HARGA SATUAN'!$I$6,MATCH(RAB!C95,'HARGA SATUAN'!$C$7:$C$1492,0),0))</f>
        <v>0</v>
      </c>
      <c r="H95" s="361">
        <f t="shared" ca="1" si="28"/>
        <v>0</v>
      </c>
      <c r="I95" s="361">
        <f t="shared" ca="1" si="29"/>
        <v>0</v>
      </c>
      <c r="J95" s="361">
        <f t="shared" ca="1" si="30"/>
        <v>0</v>
      </c>
      <c r="K95" s="362">
        <f t="shared" ca="1" si="31"/>
        <v>0</v>
      </c>
      <c r="L95" s="342"/>
      <c r="M95" s="342"/>
      <c r="N95" s="369"/>
      <c r="O95" s="344"/>
      <c r="P95" s="396"/>
      <c r="Q95" s="344"/>
    </row>
    <row r="96" spans="1:17" s="365" customFormat="1">
      <c r="A96" s="336"/>
      <c r="B96" s="495"/>
      <c r="C96" s="496"/>
      <c r="D96" s="358" t="str">
        <f ca="1">IF(ISERROR(OFFSET('HARGA SATUAN'!$D$6,MATCH(RAB!C96,'HARGA SATUAN'!$C$7:$C$1492,0),0)),"",OFFSET('HARGA SATUAN'!$D$6,MATCH(RAB!C96,'HARGA SATUAN'!$C$7:$C$1492,0),0))</f>
        <v/>
      </c>
      <c r="E96" s="359" t="str">
        <f ca="1">IF(B96="+","Unit",IF(ISERROR(OFFSET('HARGA SATUAN'!$E$6,MATCH(RAB!C96,'HARGA SATUAN'!$C$7:$C$1492,0),0)),"",OFFSET('HARGA SATUAN'!$E$6,MATCH(RAB!C96,'HARGA SATUAN'!$C$7:$C$1492,0),0)))</f>
        <v/>
      </c>
      <c r="F96" s="498"/>
      <c r="G96" s="360">
        <f ca="1">IF(ISERROR(OFFSET('HARGA SATUAN'!$I$6,MATCH(RAB!C96,'HARGA SATUAN'!$C$7:$C$1492,0),0)),0,OFFSET('HARGA SATUAN'!$I$6,MATCH(RAB!C96,'HARGA SATUAN'!$C$7:$C$1492,0),0))</f>
        <v>0</v>
      </c>
      <c r="H96" s="361">
        <f t="shared" ref="H96:H97" ca="1" si="36">IF(OR(D96="MDU",D96="MDU-KD"),(IF($O$3="RAB NON MDU","PLN KD",G96*F96)),0)</f>
        <v>0</v>
      </c>
      <c r="I96" s="361">
        <f t="shared" ref="I96:I97" ca="1" si="37">IF(D96="HDW",G96*F96,0)</f>
        <v>0</v>
      </c>
      <c r="J96" s="361">
        <f t="shared" ref="J96:J97" ca="1" si="38">IF(D96="JASA",G96*F96,0)</f>
        <v>0</v>
      </c>
      <c r="K96" s="362">
        <f t="shared" ref="K96:K97" ca="1" si="39">SUM(H96:J96)</f>
        <v>0</v>
      </c>
      <c r="L96" s="342"/>
      <c r="M96" s="342"/>
      <c r="N96" s="369"/>
      <c r="O96" s="344"/>
      <c r="P96" s="396"/>
      <c r="Q96" s="344"/>
    </row>
    <row r="97" spans="2:11">
      <c r="B97" s="366" t="s">
        <v>1614</v>
      </c>
      <c r="C97" s="367" t="s">
        <v>1616</v>
      </c>
      <c r="D97" s="358" t="str">
        <f ca="1">IF(ISERROR(OFFSET('HARGA SATUAN'!$D$6,MATCH(RAB!C97,'HARGA SATUAN'!$C$7:$C$1492,0),0)),"",OFFSET('HARGA SATUAN'!$D$6,MATCH(RAB!C97,'HARGA SATUAN'!$C$7:$C$1492,0),0))</f>
        <v/>
      </c>
      <c r="E97" s="359" t="str">
        <f ca="1">IF(B97="+","Unit",IF(ISERROR(OFFSET('HARGA SATUAN'!$E$6,MATCH(RAB!C97,'HARGA SATUAN'!$C$7:$C$1492,0),0)),"",OFFSET('HARGA SATUAN'!$E$6,MATCH(RAB!C97,'HARGA SATUAN'!$C$7:$C$1492,0),0)))</f>
        <v/>
      </c>
      <c r="F97" s="498"/>
      <c r="G97" s="360">
        <f ca="1">IF(ISERROR(OFFSET('HARGA SATUAN'!$I$6,MATCH(RAB!C97,'HARGA SATUAN'!$C$7:$C$1492,0),0)),0,OFFSET('HARGA SATUAN'!$I$6,MATCH(RAB!C97,'HARGA SATUAN'!$C$7:$C$1492,0),0))</f>
        <v>0</v>
      </c>
      <c r="H97" s="361">
        <f t="shared" ca="1" si="36"/>
        <v>0</v>
      </c>
      <c r="I97" s="361">
        <f t="shared" ca="1" si="37"/>
        <v>0</v>
      </c>
      <c r="J97" s="361">
        <f t="shared" ca="1" si="38"/>
        <v>0</v>
      </c>
      <c r="K97" s="362">
        <f t="shared" ca="1" si="39"/>
        <v>0</v>
      </c>
    </row>
    <row r="98" spans="2:11">
      <c r="B98" s="491"/>
      <c r="C98" s="494"/>
      <c r="D98" s="358" t="str">
        <f ca="1">IF(ISERROR(OFFSET('HARGA SATUAN'!$D$6,MATCH(RAB!C98,'HARGA SATUAN'!$C$7:$C$1492,0),0)),"",OFFSET('HARGA SATUAN'!$D$6,MATCH(RAB!C98,'HARGA SATUAN'!$C$7:$C$1492,0),0))</f>
        <v/>
      </c>
      <c r="E98" s="359" t="str">
        <f ca="1">IF(B98="+","Unit",IF(ISERROR(OFFSET('HARGA SATUAN'!$E$6,MATCH(RAB!C98,'HARGA SATUAN'!$C$7:$C$1492,0),0)),"",OFFSET('HARGA SATUAN'!$E$6,MATCH(RAB!C98,'HARGA SATUAN'!$C$7:$C$1492,0),0)))</f>
        <v/>
      </c>
      <c r="F98" s="498"/>
      <c r="G98" s="360">
        <f ca="1">IF(ISERROR(OFFSET('HARGA SATUAN'!$I$6,MATCH(RAB!C98,'HARGA SATUAN'!$C$7:$C$1492,0),0)),0,OFFSET('HARGA SATUAN'!$I$6,MATCH(RAB!C98,'HARGA SATUAN'!$C$7:$C$1492,0),0))</f>
        <v>0</v>
      </c>
      <c r="H98" s="361">
        <f t="shared" ref="H98:H121" ca="1" si="40">IF(OR(D98="MDU",D98="MDU-KD"),(IF($O$3="RAB NON MDU","PLN KD",G98*F98)),0)</f>
        <v>0</v>
      </c>
      <c r="I98" s="361">
        <f t="shared" ref="I98:I121" ca="1" si="41">IF(D98="HDW",G98*F98,0)</f>
        <v>0</v>
      </c>
      <c r="J98" s="361">
        <f t="shared" ref="J98:J121" ca="1" si="42">IF(D98="JASA",G98*F98,0)</f>
        <v>0</v>
      </c>
      <c r="K98" s="362">
        <f t="shared" ref="K98:K121" ca="1" si="43">SUM(H98:J98)</f>
        <v>0</v>
      </c>
    </row>
    <row r="99" spans="2:11">
      <c r="B99" s="509" t="s">
        <v>1035</v>
      </c>
      <c r="C99" s="510" t="s">
        <v>1621</v>
      </c>
      <c r="D99" s="358" t="str">
        <f ca="1">IF(ISERROR(OFFSET('HARGA SATUAN'!$D$6,MATCH(RAB!C99,'HARGA SATUAN'!$C$7:$C$1492,0),0)),"",OFFSET('HARGA SATUAN'!$D$6,MATCH(RAB!C99,'HARGA SATUAN'!$C$7:$C$1492,0),0))</f>
        <v/>
      </c>
      <c r="E99" s="359" t="str">
        <f ca="1">IF(B99="+","Unit",IF(ISERROR(OFFSET('HARGA SATUAN'!$E$6,MATCH(RAB!C99,'HARGA SATUAN'!$C$7:$C$1492,0),0)),"",OFFSET('HARGA SATUAN'!$E$6,MATCH(RAB!C99,'HARGA SATUAN'!$C$7:$C$1492,0),0)))</f>
        <v>Unit</v>
      </c>
      <c r="F99" s="23">
        <v>1</v>
      </c>
      <c r="G99" s="360">
        <f ca="1">IF(ISERROR(OFFSET('HARGA SATUAN'!$I$6,MATCH(RAB!C99,'HARGA SATUAN'!$C$7:$C$1492,0),0)),0,OFFSET('HARGA SATUAN'!$I$6,MATCH(RAB!C99,'HARGA SATUAN'!$C$7:$C$1492,0),0))</f>
        <v>0</v>
      </c>
      <c r="H99" s="361">
        <f t="shared" ca="1" si="40"/>
        <v>0</v>
      </c>
      <c r="I99" s="361">
        <f t="shared" ca="1" si="41"/>
        <v>0</v>
      </c>
      <c r="J99" s="361">
        <f t="shared" ca="1" si="42"/>
        <v>0</v>
      </c>
      <c r="K99" s="362">
        <f t="shared" ca="1" si="43"/>
        <v>0</v>
      </c>
    </row>
    <row r="100" spans="2:11">
      <c r="B100" s="509">
        <v>1</v>
      </c>
      <c r="C100" s="511" t="s">
        <v>532</v>
      </c>
      <c r="D100" s="358" t="str">
        <f ca="1">IF(ISERROR(OFFSET('HARGA SATUAN'!$D$6,MATCH(RAB!C100,'HARGA SATUAN'!$C$7:$C$1492,0),0)),"",OFFSET('HARGA SATUAN'!$D$6,MATCH(RAB!C100,'HARGA SATUAN'!$C$7:$C$1492,0),0))</f>
        <v>MDU-KD</v>
      </c>
      <c r="E100" s="359" t="str">
        <f ca="1">IF(B100="+","Unit",IF(ISERROR(OFFSET('HARGA SATUAN'!$E$6,MATCH(RAB!C100,'HARGA SATUAN'!$C$7:$C$1492,0),0)),"",OFFSET('HARGA SATUAN'!$E$6,MATCH(RAB!C100,'HARGA SATUAN'!$C$7:$C$1492,0),0)))</f>
        <v>Bh</v>
      </c>
      <c r="F100" s="512">
        <f>F99*1</f>
        <v>1</v>
      </c>
      <c r="G100" s="360">
        <f ca="1">IF(ISERROR(OFFSET('HARGA SATUAN'!$I$6,MATCH(RAB!C100,'HARGA SATUAN'!$C$7:$C$1492,0),0)),0,OFFSET('HARGA SATUAN'!$I$6,MATCH(RAB!C100,'HARGA SATUAN'!$C$7:$C$1492,0),0))</f>
        <v>27845400</v>
      </c>
      <c r="H100" s="361">
        <f t="shared" ca="1" si="40"/>
        <v>27845400</v>
      </c>
      <c r="I100" s="361">
        <f t="shared" ca="1" si="41"/>
        <v>0</v>
      </c>
      <c r="J100" s="361">
        <f t="shared" ca="1" si="42"/>
        <v>0</v>
      </c>
      <c r="K100" s="362">
        <f t="shared" ca="1" si="43"/>
        <v>27845400</v>
      </c>
    </row>
    <row r="101" spans="2:11">
      <c r="B101" s="499">
        <v>2</v>
      </c>
      <c r="C101" s="511" t="s">
        <v>1622</v>
      </c>
      <c r="D101" s="358" t="str">
        <f ca="1">IF(ISERROR(OFFSET('HARGA SATUAN'!$D$6,MATCH(RAB!C101,'HARGA SATUAN'!$C$7:$C$1492,0),0)),"",OFFSET('HARGA SATUAN'!$D$6,MATCH(RAB!C101,'HARGA SATUAN'!$C$7:$C$1492,0),0))</f>
        <v/>
      </c>
      <c r="E101" s="359" t="str">
        <f ca="1">IF(B101="+","Unit",IF(ISERROR(OFFSET('HARGA SATUAN'!$E$6,MATCH(RAB!C101,'HARGA SATUAN'!$C$7:$C$1492,0),0)),"",OFFSET('HARGA SATUAN'!$E$6,MATCH(RAB!C101,'HARGA SATUAN'!$C$7:$C$1492,0),0)))</f>
        <v/>
      </c>
      <c r="F101" s="512"/>
      <c r="G101" s="360">
        <f ca="1">IF(ISERROR(OFFSET('HARGA SATUAN'!$I$6,MATCH(RAB!C101,'HARGA SATUAN'!$C$7:$C$1492,0),0)),0,OFFSET('HARGA SATUAN'!$I$6,MATCH(RAB!C101,'HARGA SATUAN'!$C$7:$C$1492,0),0))</f>
        <v>0</v>
      </c>
      <c r="H101" s="361">
        <f t="shared" ca="1" si="40"/>
        <v>0</v>
      </c>
      <c r="I101" s="361">
        <f t="shared" ca="1" si="41"/>
        <v>0</v>
      </c>
      <c r="J101" s="361">
        <f t="shared" ca="1" si="42"/>
        <v>0</v>
      </c>
      <c r="K101" s="362">
        <f t="shared" ca="1" si="43"/>
        <v>0</v>
      </c>
    </row>
    <row r="102" spans="2:11">
      <c r="B102" s="499"/>
      <c r="C102" s="511" t="s">
        <v>65</v>
      </c>
      <c r="D102" s="358" t="str">
        <f ca="1">IF(ISERROR(OFFSET('HARGA SATUAN'!$D$6,MATCH(RAB!C102,'HARGA SATUAN'!$C$7:$C$1492,0),0)),"",OFFSET('HARGA SATUAN'!$D$6,MATCH(RAB!C102,'HARGA SATUAN'!$C$7:$C$1492,0),0))</f>
        <v>MDU-KD</v>
      </c>
      <c r="E102" s="359" t="str">
        <f ca="1">IF(B102="+","Unit",IF(ISERROR(OFFSET('HARGA SATUAN'!$E$6,MATCH(RAB!C102,'HARGA SATUAN'!$C$7:$C$1492,0),0)),"",OFFSET('HARGA SATUAN'!$E$6,MATCH(RAB!C102,'HARGA SATUAN'!$C$7:$C$1492,0),0)))</f>
        <v>Mtr</v>
      </c>
      <c r="F102" s="512">
        <f>F99*2</f>
        <v>2</v>
      </c>
      <c r="G102" s="360">
        <f ca="1">IF(ISERROR(OFFSET('HARGA SATUAN'!$I$6,MATCH(RAB!C102,'HARGA SATUAN'!$C$7:$C$1492,0),0)),0,OFFSET('HARGA SATUAN'!$I$6,MATCH(RAB!C102,'HARGA SATUAN'!$C$7:$C$1492,0),0))</f>
        <v>14200</v>
      </c>
      <c r="H102" s="361">
        <f t="shared" ca="1" si="40"/>
        <v>28400</v>
      </c>
      <c r="I102" s="361">
        <f t="shared" ca="1" si="41"/>
        <v>0</v>
      </c>
      <c r="J102" s="361">
        <f t="shared" ca="1" si="42"/>
        <v>0</v>
      </c>
      <c r="K102" s="362">
        <f t="shared" ca="1" si="43"/>
        <v>28400</v>
      </c>
    </row>
    <row r="103" spans="2:11">
      <c r="B103" s="509"/>
      <c r="C103" s="109" t="s">
        <v>1402</v>
      </c>
      <c r="D103" s="358" t="str">
        <f ca="1">IF(ISERROR(OFFSET('HARGA SATUAN'!$D$6,MATCH(RAB!C103,'HARGA SATUAN'!$C$7:$C$1492,0),0)),"",OFFSET('HARGA SATUAN'!$D$6,MATCH(RAB!C103,'HARGA SATUAN'!$C$7:$C$1492,0),0))</f>
        <v>MDU-KD</v>
      </c>
      <c r="E103" s="359" t="str">
        <f ca="1">IF(B103="+","Unit",IF(ISERROR(OFFSET('HARGA SATUAN'!$E$6,MATCH(RAB!C103,'HARGA SATUAN'!$C$7:$C$1492,0),0)),"",OFFSET('HARGA SATUAN'!$E$6,MATCH(RAB!C103,'HARGA SATUAN'!$C$7:$C$1492,0),0)))</f>
        <v>Mtr</v>
      </c>
      <c r="F103" s="512">
        <f>F99*2</f>
        <v>2</v>
      </c>
      <c r="G103" s="360">
        <f ca="1">IF(ISERROR(OFFSET('HARGA SATUAN'!$I$6,MATCH(RAB!C103,'HARGA SATUAN'!$C$7:$C$1492,0),0)),0,OFFSET('HARGA SATUAN'!$I$6,MATCH(RAB!C103,'HARGA SATUAN'!$C$7:$C$1492,0),0))</f>
        <v>53300</v>
      </c>
      <c r="H103" s="361">
        <f t="shared" ca="1" si="40"/>
        <v>106600</v>
      </c>
      <c r="I103" s="361">
        <f t="shared" ca="1" si="41"/>
        <v>0</v>
      </c>
      <c r="J103" s="361">
        <f t="shared" ca="1" si="42"/>
        <v>0</v>
      </c>
      <c r="K103" s="362">
        <f t="shared" ca="1" si="43"/>
        <v>106600</v>
      </c>
    </row>
    <row r="104" spans="2:11">
      <c r="B104" s="509">
        <v>3</v>
      </c>
      <c r="C104" s="511" t="s">
        <v>207</v>
      </c>
      <c r="D104" s="358" t="str">
        <f ca="1">IF(ISERROR(OFFSET('HARGA SATUAN'!$D$6,MATCH(RAB!C104,'HARGA SATUAN'!$C$7:$C$1492,0),0)),"",OFFSET('HARGA SATUAN'!$D$6,MATCH(RAB!C104,'HARGA SATUAN'!$C$7:$C$1492,0),0))</f>
        <v>HDW</v>
      </c>
      <c r="E104" s="359" t="str">
        <f ca="1">IF(B104="+","Unit",IF(ISERROR(OFFSET('HARGA SATUAN'!$E$6,MATCH(RAB!C104,'HARGA SATUAN'!$C$7:$C$1492,0),0)),"",OFFSET('HARGA SATUAN'!$E$6,MATCH(RAB!C104,'HARGA SATUAN'!$C$7:$C$1492,0),0)))</f>
        <v>Bh</v>
      </c>
      <c r="F104" s="512">
        <f>F99*1</f>
        <v>1</v>
      </c>
      <c r="G104" s="360">
        <f ca="1">IF(ISERROR(OFFSET('HARGA SATUAN'!$I$6,MATCH(RAB!C104,'HARGA SATUAN'!$C$7:$C$1492,0),0)),0,OFFSET('HARGA SATUAN'!$I$6,MATCH(RAB!C104,'HARGA SATUAN'!$C$7:$C$1492,0),0))</f>
        <v>87000</v>
      </c>
      <c r="H104" s="361">
        <f t="shared" ca="1" si="40"/>
        <v>0</v>
      </c>
      <c r="I104" s="361">
        <f t="shared" ca="1" si="41"/>
        <v>87000</v>
      </c>
      <c r="J104" s="361">
        <f t="shared" ca="1" si="42"/>
        <v>0</v>
      </c>
      <c r="K104" s="362">
        <f t="shared" ca="1" si="43"/>
        <v>87000</v>
      </c>
    </row>
    <row r="105" spans="2:11">
      <c r="B105" s="509">
        <v>4</v>
      </c>
      <c r="C105" s="511" t="s">
        <v>176</v>
      </c>
      <c r="D105" s="358" t="str">
        <f ca="1">IF(ISERROR(OFFSET('HARGA SATUAN'!$D$6,MATCH(RAB!C105,'HARGA SATUAN'!$C$7:$C$1492,0),0)),"",OFFSET('HARGA SATUAN'!$D$6,MATCH(RAB!C105,'HARGA SATUAN'!$C$7:$C$1492,0),0))</f>
        <v>HDW</v>
      </c>
      <c r="E105" s="359" t="str">
        <f ca="1">IF(B105="+","Unit",IF(ISERROR(OFFSET('HARGA SATUAN'!$E$6,MATCH(RAB!C105,'HARGA SATUAN'!$C$7:$C$1492,0),0)),"",OFFSET('HARGA SATUAN'!$E$6,MATCH(RAB!C105,'HARGA SATUAN'!$C$7:$C$1492,0),0)))</f>
        <v>Bh</v>
      </c>
      <c r="F105" s="512">
        <f>F99*2</f>
        <v>2</v>
      </c>
      <c r="G105" s="360">
        <f ca="1">IF(ISERROR(OFFSET('HARGA SATUAN'!$I$6,MATCH(RAB!C105,'HARGA SATUAN'!$C$7:$C$1492,0),0)),0,OFFSET('HARGA SATUAN'!$I$6,MATCH(RAB!C105,'HARGA SATUAN'!$C$7:$C$1492,0),0))</f>
        <v>404600</v>
      </c>
      <c r="H105" s="361">
        <f t="shared" ca="1" si="40"/>
        <v>0</v>
      </c>
      <c r="I105" s="361">
        <f t="shared" ca="1" si="41"/>
        <v>809200</v>
      </c>
      <c r="J105" s="361">
        <f t="shared" ca="1" si="42"/>
        <v>0</v>
      </c>
      <c r="K105" s="362">
        <f t="shared" ca="1" si="43"/>
        <v>809200</v>
      </c>
    </row>
    <row r="106" spans="2:11">
      <c r="B106" s="509">
        <v>5</v>
      </c>
      <c r="C106" s="511" t="s">
        <v>184</v>
      </c>
      <c r="D106" s="358" t="str">
        <f ca="1">IF(ISERROR(OFFSET('HARGA SATUAN'!$D$6,MATCH(RAB!C106,'HARGA SATUAN'!$C$7:$C$1492,0),0)),"",OFFSET('HARGA SATUAN'!$D$6,MATCH(RAB!C106,'HARGA SATUAN'!$C$7:$C$1492,0),0))</f>
        <v>HDW</v>
      </c>
      <c r="E106" s="359" t="str">
        <f ca="1">IF(B106="+","Unit",IF(ISERROR(OFFSET('HARGA SATUAN'!$E$6,MATCH(RAB!C106,'HARGA SATUAN'!$C$7:$C$1492,0),0)),"",OFFSET('HARGA SATUAN'!$E$6,MATCH(RAB!C106,'HARGA SATUAN'!$C$7:$C$1492,0),0)))</f>
        <v>Bh</v>
      </c>
      <c r="F106" s="512">
        <f>F99*3</f>
        <v>3</v>
      </c>
      <c r="G106" s="360">
        <f ca="1">IF(ISERROR(OFFSET('HARGA SATUAN'!$I$6,MATCH(RAB!C106,'HARGA SATUAN'!$C$7:$C$1492,0),0)),0,OFFSET('HARGA SATUAN'!$I$6,MATCH(RAB!C106,'HARGA SATUAN'!$C$7:$C$1492,0),0))</f>
        <v>15900</v>
      </c>
      <c r="H106" s="361">
        <f t="shared" ca="1" si="40"/>
        <v>0</v>
      </c>
      <c r="I106" s="361">
        <f t="shared" ca="1" si="41"/>
        <v>47700</v>
      </c>
      <c r="J106" s="361">
        <f t="shared" ca="1" si="42"/>
        <v>0</v>
      </c>
      <c r="K106" s="362">
        <f t="shared" ca="1" si="43"/>
        <v>47700</v>
      </c>
    </row>
    <row r="107" spans="2:11">
      <c r="B107" s="509">
        <v>6</v>
      </c>
      <c r="C107" s="511" t="s">
        <v>187</v>
      </c>
      <c r="D107" s="358" t="str">
        <f ca="1">IF(ISERROR(OFFSET('HARGA SATUAN'!$D$6,MATCH(RAB!C107,'HARGA SATUAN'!$C$7:$C$1492,0),0)),"",OFFSET('HARGA SATUAN'!$D$6,MATCH(RAB!C107,'HARGA SATUAN'!$C$7:$C$1492,0),0))</f>
        <v>HDW</v>
      </c>
      <c r="E107" s="359" t="str">
        <f ca="1">IF(B107="+","Unit",IF(ISERROR(OFFSET('HARGA SATUAN'!$E$6,MATCH(RAB!C107,'HARGA SATUAN'!$C$7:$C$1492,0),0)),"",OFFSET('HARGA SATUAN'!$E$6,MATCH(RAB!C107,'HARGA SATUAN'!$C$7:$C$1492,0),0)))</f>
        <v>Bh</v>
      </c>
      <c r="F107" s="512">
        <f>F99*2</f>
        <v>2</v>
      </c>
      <c r="G107" s="360">
        <f ca="1">IF(ISERROR(OFFSET('HARGA SATUAN'!$I$6,MATCH(RAB!C107,'HARGA SATUAN'!$C$7:$C$1492,0),0)),0,OFFSET('HARGA SATUAN'!$I$6,MATCH(RAB!C107,'HARGA SATUAN'!$C$7:$C$1492,0),0))</f>
        <v>17100</v>
      </c>
      <c r="H107" s="361">
        <f t="shared" ca="1" si="40"/>
        <v>0</v>
      </c>
      <c r="I107" s="361">
        <f t="shared" ca="1" si="41"/>
        <v>34200</v>
      </c>
      <c r="J107" s="361">
        <f t="shared" ca="1" si="42"/>
        <v>0</v>
      </c>
      <c r="K107" s="362">
        <f t="shared" ca="1" si="43"/>
        <v>34200</v>
      </c>
    </row>
    <row r="108" spans="2:11">
      <c r="B108" s="509">
        <v>7</v>
      </c>
      <c r="C108" s="109" t="s">
        <v>1569</v>
      </c>
      <c r="D108" s="358" t="str">
        <f ca="1">IF(ISERROR(OFFSET('HARGA SATUAN'!$D$6,MATCH(RAB!C108,'HARGA SATUAN'!$C$7:$C$1492,0),0)),"",OFFSET('HARGA SATUAN'!$D$6,MATCH(RAB!C108,'HARGA SATUAN'!$C$7:$C$1492,0),0))</f>
        <v>HDW</v>
      </c>
      <c r="E108" s="359" t="str">
        <f ca="1">IF(B108="+","Unit",IF(ISERROR(OFFSET('HARGA SATUAN'!$E$6,MATCH(RAB!C108,'HARGA SATUAN'!$C$7:$C$1492,0),0)),"",OFFSET('HARGA SATUAN'!$E$6,MATCH(RAB!C108,'HARGA SATUAN'!$C$7:$C$1492,0),0)))</f>
        <v>Bh</v>
      </c>
      <c r="F108" s="512">
        <f>F99*4</f>
        <v>4</v>
      </c>
      <c r="G108" s="360">
        <f ca="1">IF(ISERROR(OFFSET('HARGA SATUAN'!$I$6,MATCH(RAB!C108,'HARGA SATUAN'!$C$7:$C$1492,0),0)),0,OFFSET('HARGA SATUAN'!$I$6,MATCH(RAB!C108,'HARGA SATUAN'!$C$7:$C$1492,0),0))</f>
        <v>49000</v>
      </c>
      <c r="H108" s="361">
        <f t="shared" ca="1" si="40"/>
        <v>0</v>
      </c>
      <c r="I108" s="361">
        <f t="shared" ca="1" si="41"/>
        <v>196000</v>
      </c>
      <c r="J108" s="361">
        <f t="shared" ca="1" si="42"/>
        <v>0</v>
      </c>
      <c r="K108" s="362">
        <f t="shared" ca="1" si="43"/>
        <v>196000</v>
      </c>
    </row>
    <row r="109" spans="2:11">
      <c r="B109" s="509">
        <v>8</v>
      </c>
      <c r="C109" s="511" t="s">
        <v>149</v>
      </c>
      <c r="D109" s="358" t="str">
        <f ca="1">IF(ISERROR(OFFSET('HARGA SATUAN'!$D$6,MATCH(RAB!C109,'HARGA SATUAN'!$C$7:$C$1492,0),0)),"",OFFSET('HARGA SATUAN'!$D$6,MATCH(RAB!C109,'HARGA SATUAN'!$C$7:$C$1492,0),0))</f>
        <v>HDW</v>
      </c>
      <c r="E109" s="359" t="str">
        <f ca="1">IF(B109="+","Unit",IF(ISERROR(OFFSET('HARGA SATUAN'!$E$6,MATCH(RAB!C109,'HARGA SATUAN'!$C$7:$C$1492,0),0)),"",OFFSET('HARGA SATUAN'!$E$6,MATCH(RAB!C109,'HARGA SATUAN'!$C$7:$C$1492,0),0)))</f>
        <v>Set</v>
      </c>
      <c r="F109" s="512">
        <f>F99*1</f>
        <v>1</v>
      </c>
      <c r="G109" s="360">
        <f ca="1">IF(ISERROR(OFFSET('HARGA SATUAN'!$I$6,MATCH(RAB!C109,'HARGA SATUAN'!$C$7:$C$1492,0),0)),0,OFFSET('HARGA SATUAN'!$I$6,MATCH(RAB!C109,'HARGA SATUAN'!$C$7:$C$1492,0),0))</f>
        <v>67800</v>
      </c>
      <c r="H109" s="361">
        <f t="shared" ca="1" si="40"/>
        <v>0</v>
      </c>
      <c r="I109" s="361">
        <f t="shared" ca="1" si="41"/>
        <v>67800</v>
      </c>
      <c r="J109" s="361">
        <f t="shared" ca="1" si="42"/>
        <v>0</v>
      </c>
      <c r="K109" s="362">
        <f t="shared" ca="1" si="43"/>
        <v>67800</v>
      </c>
    </row>
    <row r="110" spans="2:11">
      <c r="B110" s="509">
        <v>9</v>
      </c>
      <c r="C110" s="511" t="s">
        <v>32</v>
      </c>
      <c r="D110" s="358" t="str">
        <f ca="1">IF(ISERROR(OFFSET('HARGA SATUAN'!$D$6,MATCH(RAB!C110,'HARGA SATUAN'!$C$7:$C$1492,0),0)),"",OFFSET('HARGA SATUAN'!$D$6,MATCH(RAB!C110,'HARGA SATUAN'!$C$7:$C$1492,0),0))</f>
        <v>HDW</v>
      </c>
      <c r="E110" s="359" t="str">
        <f ca="1">IF(B110="+","Unit",IF(ISERROR(OFFSET('HARGA SATUAN'!$E$6,MATCH(RAB!C110,'HARGA SATUAN'!$C$7:$C$1492,0),0)),"",OFFSET('HARGA SATUAN'!$E$6,MATCH(RAB!C110,'HARGA SATUAN'!$C$7:$C$1492,0),0)))</f>
        <v>Mtr</v>
      </c>
      <c r="F110" s="512">
        <f>F99*2</f>
        <v>2</v>
      </c>
      <c r="G110" s="360">
        <f ca="1">IF(ISERROR(OFFSET('HARGA SATUAN'!$I$6,MATCH(RAB!C110,'HARGA SATUAN'!$C$7:$C$1492,0),0)),0,OFFSET('HARGA SATUAN'!$I$6,MATCH(RAB!C110,'HARGA SATUAN'!$C$7:$C$1492,0),0))</f>
        <v>30000</v>
      </c>
      <c r="H110" s="361">
        <f t="shared" ca="1" si="40"/>
        <v>0</v>
      </c>
      <c r="I110" s="361">
        <f t="shared" ca="1" si="41"/>
        <v>60000</v>
      </c>
      <c r="J110" s="361">
        <f t="shared" ca="1" si="42"/>
        <v>0</v>
      </c>
      <c r="K110" s="362">
        <f t="shared" ca="1" si="43"/>
        <v>60000</v>
      </c>
    </row>
    <row r="111" spans="2:11">
      <c r="B111" s="509">
        <v>10</v>
      </c>
      <c r="C111" s="511" t="s">
        <v>781</v>
      </c>
      <c r="D111" s="358" t="str">
        <f ca="1">IF(ISERROR(OFFSET('HARGA SATUAN'!$D$6,MATCH(RAB!C111,'HARGA SATUAN'!$C$7:$C$1492,0),0)),"",OFFSET('HARGA SATUAN'!$D$6,MATCH(RAB!C111,'HARGA SATUAN'!$C$7:$C$1492,0),0))</f>
        <v>JASA</v>
      </c>
      <c r="E111" s="359" t="str">
        <f ca="1">IF(B111="+","Unit",IF(ISERROR(OFFSET('HARGA SATUAN'!$E$6,MATCH(RAB!C111,'HARGA SATUAN'!$C$7:$C$1492,0),0)),"",OFFSET('HARGA SATUAN'!$E$6,MATCH(RAB!C111,'HARGA SATUAN'!$C$7:$C$1492,0),0)))</f>
        <v>Unit</v>
      </c>
      <c r="F111" s="512">
        <f>F99*1</f>
        <v>1</v>
      </c>
      <c r="G111" s="360">
        <f ca="1">IF(ISERROR(OFFSET('HARGA SATUAN'!$I$6,MATCH(RAB!C111,'HARGA SATUAN'!$C$7:$C$1492,0),0)),0,OFFSET('HARGA SATUAN'!$I$6,MATCH(RAB!C111,'HARGA SATUAN'!$C$7:$C$1492,0),0))</f>
        <v>346400</v>
      </c>
      <c r="H111" s="361">
        <f t="shared" ca="1" si="40"/>
        <v>0</v>
      </c>
      <c r="I111" s="361">
        <f t="shared" ca="1" si="41"/>
        <v>0</v>
      </c>
      <c r="J111" s="361">
        <f t="shared" ca="1" si="42"/>
        <v>346400</v>
      </c>
      <c r="K111" s="362">
        <f t="shared" ca="1" si="43"/>
        <v>346400</v>
      </c>
    </row>
    <row r="112" spans="2:11">
      <c r="B112" s="491"/>
      <c r="C112" s="494"/>
      <c r="D112" s="358" t="str">
        <f ca="1">IF(ISERROR(OFFSET('HARGA SATUAN'!$D$6,MATCH(RAB!C112,'HARGA SATUAN'!$C$7:$C$1492,0),0)),"",OFFSET('HARGA SATUAN'!$D$6,MATCH(RAB!C112,'HARGA SATUAN'!$C$7:$C$1492,0),0))</f>
        <v/>
      </c>
      <c r="E112" s="359" t="str">
        <f ca="1">IF(B112="+","Unit",IF(ISERROR(OFFSET('HARGA SATUAN'!$E$6,MATCH(RAB!C112,'HARGA SATUAN'!$C$7:$C$1492,0),0)),"",OFFSET('HARGA SATUAN'!$E$6,MATCH(RAB!C112,'HARGA SATUAN'!$C$7:$C$1492,0),0)))</f>
        <v/>
      </c>
      <c r="F112" s="498"/>
      <c r="G112" s="360">
        <f ca="1">IF(ISERROR(OFFSET('HARGA SATUAN'!$I$6,MATCH(RAB!C112,'HARGA SATUAN'!$C$7:$C$1492,0),0)),0,OFFSET('HARGA SATUAN'!$I$6,MATCH(RAB!C112,'HARGA SATUAN'!$C$7:$C$1492,0),0))</f>
        <v>0</v>
      </c>
      <c r="H112" s="361">
        <f t="shared" ca="1" si="40"/>
        <v>0</v>
      </c>
      <c r="I112" s="361">
        <f t="shared" ca="1" si="41"/>
        <v>0</v>
      </c>
      <c r="J112" s="361">
        <f t="shared" ca="1" si="42"/>
        <v>0</v>
      </c>
      <c r="K112" s="362">
        <f t="shared" ca="1" si="43"/>
        <v>0</v>
      </c>
    </row>
    <row r="113" spans="2:11">
      <c r="B113" s="499" t="s">
        <v>1035</v>
      </c>
      <c r="C113" s="500" t="s">
        <v>1620</v>
      </c>
      <c r="D113" s="358" t="str">
        <f ca="1">IF(ISERROR(OFFSET('HARGA SATUAN'!$D$6,MATCH(RAB!C113,'HARGA SATUAN'!$C$7:$C$1492,0),0)),"",OFFSET('HARGA SATUAN'!$D$6,MATCH(RAB!C113,'HARGA SATUAN'!$C$7:$C$1492,0),0))</f>
        <v/>
      </c>
      <c r="E113" s="359" t="str">
        <f ca="1">IF(B113="+","Unit",IF(ISERROR(OFFSET('HARGA SATUAN'!$E$6,MATCH(RAB!C113,'HARGA SATUAN'!$C$7:$C$1492,0),0)),"",OFFSET('HARGA SATUAN'!$E$6,MATCH(RAB!C113,'HARGA SATUAN'!$C$7:$C$1492,0),0)))</f>
        <v>Unit</v>
      </c>
      <c r="F113" s="498">
        <v>2</v>
      </c>
      <c r="G113" s="360">
        <f ca="1">IF(ISERROR(OFFSET('HARGA SATUAN'!$I$6,MATCH(RAB!C113,'HARGA SATUAN'!$C$7:$C$1492,0),0)),0,OFFSET('HARGA SATUAN'!$I$6,MATCH(RAB!C113,'HARGA SATUAN'!$C$7:$C$1492,0),0))</f>
        <v>0</v>
      </c>
      <c r="H113" s="361">
        <f t="shared" ca="1" si="40"/>
        <v>0</v>
      </c>
      <c r="I113" s="361">
        <f t="shared" ca="1" si="41"/>
        <v>0</v>
      </c>
      <c r="J113" s="361">
        <f t="shared" ca="1" si="42"/>
        <v>0</v>
      </c>
      <c r="K113" s="362">
        <f t="shared" ca="1" si="43"/>
        <v>0</v>
      </c>
    </row>
    <row r="114" spans="2:11">
      <c r="B114" s="499">
        <v>1</v>
      </c>
      <c r="C114" s="501" t="s">
        <v>29</v>
      </c>
      <c r="D114" s="358" t="str">
        <f ca="1">IF(ISERROR(OFFSET('HARGA SATUAN'!$D$6,MATCH(RAB!C114,'HARGA SATUAN'!$C$7:$C$1492,0),0)),"",OFFSET('HARGA SATUAN'!$D$6,MATCH(RAB!C114,'HARGA SATUAN'!$C$7:$C$1492,0),0))</f>
        <v>HDW</v>
      </c>
      <c r="E114" s="359" t="str">
        <f ca="1">IF(B114="+","Unit",IF(ISERROR(OFFSET('HARGA SATUAN'!$E$6,MATCH(RAB!C114,'HARGA SATUAN'!$C$7:$C$1492,0),0)),"",OFFSET('HARGA SATUAN'!$E$6,MATCH(RAB!C114,'HARGA SATUAN'!$C$7:$C$1492,0),0)))</f>
        <v>Bh</v>
      </c>
      <c r="F114" s="498">
        <f>F113*1</f>
        <v>2</v>
      </c>
      <c r="G114" s="360">
        <f ca="1">IF(ISERROR(OFFSET('HARGA SATUAN'!$I$6,MATCH(RAB!C114,'HARGA SATUAN'!$C$7:$C$1492,0),0)),0,OFFSET('HARGA SATUAN'!$I$6,MATCH(RAB!C114,'HARGA SATUAN'!$C$7:$C$1492,0),0))</f>
        <v>185200</v>
      </c>
      <c r="H114" s="361">
        <f t="shared" ca="1" si="40"/>
        <v>0</v>
      </c>
      <c r="I114" s="361">
        <f t="shared" ca="1" si="41"/>
        <v>370400</v>
      </c>
      <c r="J114" s="361">
        <f t="shared" ca="1" si="42"/>
        <v>0</v>
      </c>
      <c r="K114" s="362">
        <f t="shared" ca="1" si="43"/>
        <v>370400</v>
      </c>
    </row>
    <row r="115" spans="2:11">
      <c r="B115" s="509">
        <v>2</v>
      </c>
      <c r="C115" s="510" t="s">
        <v>30</v>
      </c>
      <c r="D115" s="358" t="str">
        <f ca="1">IF(ISERROR(OFFSET('HARGA SATUAN'!$D$6,MATCH(RAB!C115,'HARGA SATUAN'!$C$7:$C$1492,0),0)),"",OFFSET('HARGA SATUAN'!$D$6,MATCH(RAB!C115,'HARGA SATUAN'!$C$7:$C$1492,0),0))</f>
        <v>HDW</v>
      </c>
      <c r="E115" s="359" t="str">
        <f ca="1">IF(B115="+","Unit",IF(ISERROR(OFFSET('HARGA SATUAN'!$E$6,MATCH(RAB!C115,'HARGA SATUAN'!$C$7:$C$1492,0),0)),"",OFFSET('HARGA SATUAN'!$E$6,MATCH(RAB!C115,'HARGA SATUAN'!$C$7:$C$1492,0),0)))</f>
        <v>Bh</v>
      </c>
      <c r="F115" s="498">
        <f>F113*1</f>
        <v>2</v>
      </c>
      <c r="G115" s="360">
        <f ca="1">IF(ISERROR(OFFSET('HARGA SATUAN'!$I$6,MATCH(RAB!C115,'HARGA SATUAN'!$C$7:$C$1492,0),0)),0,OFFSET('HARGA SATUAN'!$I$6,MATCH(RAB!C115,'HARGA SATUAN'!$C$7:$C$1492,0),0))</f>
        <v>47459</v>
      </c>
      <c r="H115" s="361">
        <f t="shared" ca="1" si="40"/>
        <v>0</v>
      </c>
      <c r="I115" s="361">
        <f t="shared" ca="1" si="41"/>
        <v>94918</v>
      </c>
      <c r="J115" s="361">
        <f t="shared" ca="1" si="42"/>
        <v>0</v>
      </c>
      <c r="K115" s="362">
        <f t="shared" ca="1" si="43"/>
        <v>94918</v>
      </c>
    </row>
    <row r="116" spans="2:11">
      <c r="B116" s="509">
        <v>3</v>
      </c>
      <c r="C116" s="510" t="s">
        <v>31</v>
      </c>
      <c r="D116" s="358" t="str">
        <f ca="1">IF(ISERROR(OFFSET('HARGA SATUAN'!$D$6,MATCH(RAB!C116,'HARGA SATUAN'!$C$7:$C$1492,0),0)),"",OFFSET('HARGA SATUAN'!$D$6,MATCH(RAB!C116,'HARGA SATUAN'!$C$7:$C$1492,0),0))</f>
        <v>HDW</v>
      </c>
      <c r="E116" s="359" t="str">
        <f ca="1">IF(B116="+","Unit",IF(ISERROR(OFFSET('HARGA SATUAN'!$E$6,MATCH(RAB!C116,'HARGA SATUAN'!$C$7:$C$1492,0),0)),"",OFFSET('HARGA SATUAN'!$E$6,MATCH(RAB!C116,'HARGA SATUAN'!$C$7:$C$1492,0),0)))</f>
        <v>Bh</v>
      </c>
      <c r="F116" s="498">
        <f>F113*1</f>
        <v>2</v>
      </c>
      <c r="G116" s="360">
        <f ca="1">IF(ISERROR(OFFSET('HARGA SATUAN'!$I$6,MATCH(RAB!C116,'HARGA SATUAN'!$C$7:$C$1492,0),0)),0,OFFSET('HARGA SATUAN'!$I$6,MATCH(RAB!C116,'HARGA SATUAN'!$C$7:$C$1492,0),0))</f>
        <v>4880</v>
      </c>
      <c r="H116" s="361">
        <f t="shared" ca="1" si="40"/>
        <v>0</v>
      </c>
      <c r="I116" s="361">
        <f t="shared" ca="1" si="41"/>
        <v>9760</v>
      </c>
      <c r="J116" s="361">
        <f t="shared" ca="1" si="42"/>
        <v>0</v>
      </c>
      <c r="K116" s="362">
        <f t="shared" ca="1" si="43"/>
        <v>9760</v>
      </c>
    </row>
    <row r="117" spans="2:11">
      <c r="B117" s="509">
        <v>4</v>
      </c>
      <c r="C117" s="510" t="s">
        <v>32</v>
      </c>
      <c r="D117" s="358" t="str">
        <f ca="1">IF(ISERROR(OFFSET('HARGA SATUAN'!$D$6,MATCH(RAB!C117,'HARGA SATUAN'!$C$7:$C$1492,0),0)),"",OFFSET('HARGA SATUAN'!$D$6,MATCH(RAB!C117,'HARGA SATUAN'!$C$7:$C$1492,0),0))</f>
        <v>HDW</v>
      </c>
      <c r="E117" s="359" t="str">
        <f ca="1">IF(B117="+","Unit",IF(ISERROR(OFFSET('HARGA SATUAN'!$E$6,MATCH(RAB!C117,'HARGA SATUAN'!$C$7:$C$1492,0),0)),"",OFFSET('HARGA SATUAN'!$E$6,MATCH(RAB!C117,'HARGA SATUAN'!$C$7:$C$1492,0),0)))</f>
        <v>Mtr</v>
      </c>
      <c r="F117" s="498">
        <f>F113*10</f>
        <v>20</v>
      </c>
      <c r="G117" s="360">
        <f ca="1">IF(ISERROR(OFFSET('HARGA SATUAN'!$I$6,MATCH(RAB!C117,'HARGA SATUAN'!$C$7:$C$1492,0),0)),0,OFFSET('HARGA SATUAN'!$I$6,MATCH(RAB!C117,'HARGA SATUAN'!$C$7:$C$1492,0),0))</f>
        <v>30000</v>
      </c>
      <c r="H117" s="361">
        <f t="shared" ca="1" si="40"/>
        <v>0</v>
      </c>
      <c r="I117" s="361">
        <f t="shared" ca="1" si="41"/>
        <v>600000</v>
      </c>
      <c r="J117" s="361">
        <f t="shared" ca="1" si="42"/>
        <v>0</v>
      </c>
      <c r="K117" s="362">
        <f t="shared" ca="1" si="43"/>
        <v>600000</v>
      </c>
    </row>
    <row r="118" spans="2:11">
      <c r="B118" s="509">
        <v>5</v>
      </c>
      <c r="C118" s="510" t="s">
        <v>33</v>
      </c>
      <c r="D118" s="358" t="str">
        <f ca="1">IF(ISERROR(OFFSET('HARGA SATUAN'!$D$6,MATCH(RAB!C118,'HARGA SATUAN'!$C$7:$C$1492,0),0)),"",OFFSET('HARGA SATUAN'!$D$6,MATCH(RAB!C118,'HARGA SATUAN'!$C$7:$C$1492,0),0))</f>
        <v>HDW</v>
      </c>
      <c r="E118" s="359" t="str">
        <f ca="1">IF(B118="+","Unit",IF(ISERROR(OFFSET('HARGA SATUAN'!$E$6,MATCH(RAB!C118,'HARGA SATUAN'!$C$7:$C$1492,0),0)),"",OFFSET('HARGA SATUAN'!$E$6,MATCH(RAB!C118,'HARGA SATUAN'!$C$7:$C$1492,0),0)))</f>
        <v>Bh</v>
      </c>
      <c r="F118" s="498">
        <f>F113*2</f>
        <v>4</v>
      </c>
      <c r="G118" s="360">
        <f ca="1">IF(ISERROR(OFFSET('HARGA SATUAN'!$I$6,MATCH(RAB!C118,'HARGA SATUAN'!$C$7:$C$1492,0),0)),0,OFFSET('HARGA SATUAN'!$I$6,MATCH(RAB!C118,'HARGA SATUAN'!$C$7:$C$1492,0),0))</f>
        <v>9500</v>
      </c>
      <c r="H118" s="361">
        <f t="shared" ca="1" si="40"/>
        <v>0</v>
      </c>
      <c r="I118" s="361">
        <f t="shared" ca="1" si="41"/>
        <v>38000</v>
      </c>
      <c r="J118" s="361">
        <f t="shared" ca="1" si="42"/>
        <v>0</v>
      </c>
      <c r="K118" s="362">
        <f t="shared" ca="1" si="43"/>
        <v>38000</v>
      </c>
    </row>
    <row r="119" spans="2:11">
      <c r="B119" s="509">
        <v>6</v>
      </c>
      <c r="C119" s="510" t="s">
        <v>34</v>
      </c>
      <c r="D119" s="358" t="str">
        <f ca="1">IF(ISERROR(OFFSET('HARGA SATUAN'!$D$6,MATCH(RAB!C119,'HARGA SATUAN'!$C$7:$C$1492,0),0)),"",OFFSET('HARGA SATUAN'!$D$6,MATCH(RAB!C119,'HARGA SATUAN'!$C$7:$C$1492,0),0))</f>
        <v>HDW</v>
      </c>
      <c r="E119" s="359" t="str">
        <f ca="1">IF(B119="+","Unit",IF(ISERROR(OFFSET('HARGA SATUAN'!$E$6,MATCH(RAB!C119,'HARGA SATUAN'!$C$7:$C$1492,0),0)),"",OFFSET('HARGA SATUAN'!$E$6,MATCH(RAB!C119,'HARGA SATUAN'!$C$7:$C$1492,0),0)))</f>
        <v>Bh</v>
      </c>
      <c r="F119" s="498">
        <f>F113*5.5</f>
        <v>11</v>
      </c>
      <c r="G119" s="360">
        <f ca="1">IF(ISERROR(OFFSET('HARGA SATUAN'!$I$6,MATCH(RAB!C119,'HARGA SATUAN'!$C$7:$C$1492,0),0)),0,OFFSET('HARGA SATUAN'!$I$6,MATCH(RAB!C119,'HARGA SATUAN'!$C$7:$C$1492,0),0))</f>
        <v>6100</v>
      </c>
      <c r="H119" s="361">
        <f t="shared" ca="1" si="40"/>
        <v>0</v>
      </c>
      <c r="I119" s="361">
        <f t="shared" ca="1" si="41"/>
        <v>67100</v>
      </c>
      <c r="J119" s="361">
        <f t="shared" ca="1" si="42"/>
        <v>0</v>
      </c>
      <c r="K119" s="362">
        <f t="shared" ca="1" si="43"/>
        <v>67100</v>
      </c>
    </row>
    <row r="120" spans="2:11">
      <c r="B120" s="509">
        <v>7</v>
      </c>
      <c r="C120" s="510" t="s">
        <v>35</v>
      </c>
      <c r="D120" s="358" t="str">
        <f ca="1">IF(ISERROR(OFFSET('HARGA SATUAN'!$D$6,MATCH(RAB!C120,'HARGA SATUAN'!$C$7:$C$1492,0),0)),"",OFFSET('HARGA SATUAN'!$D$6,MATCH(RAB!C120,'HARGA SATUAN'!$C$7:$C$1492,0),0))</f>
        <v>HDW</v>
      </c>
      <c r="E120" s="359" t="str">
        <f ca="1">IF(B120="+","Unit",IF(ISERROR(OFFSET('HARGA SATUAN'!$E$6,MATCH(RAB!C120,'HARGA SATUAN'!$C$7:$C$1492,0),0)),"",OFFSET('HARGA SATUAN'!$E$6,MATCH(RAB!C120,'HARGA SATUAN'!$C$7:$C$1492,0),0)))</f>
        <v>Bh</v>
      </c>
      <c r="F120" s="498">
        <f>F113*6</f>
        <v>12</v>
      </c>
      <c r="G120" s="360">
        <f ca="1">IF(ISERROR(OFFSET('HARGA SATUAN'!$I$6,MATCH(RAB!C120,'HARGA SATUAN'!$C$7:$C$1492,0),0)),0,OFFSET('HARGA SATUAN'!$I$6,MATCH(RAB!C120,'HARGA SATUAN'!$C$7:$C$1492,0),0))</f>
        <v>2300</v>
      </c>
      <c r="H120" s="361">
        <f t="shared" ca="1" si="40"/>
        <v>0</v>
      </c>
      <c r="I120" s="361">
        <f t="shared" ca="1" si="41"/>
        <v>27600</v>
      </c>
      <c r="J120" s="361">
        <f t="shared" ca="1" si="42"/>
        <v>0</v>
      </c>
      <c r="K120" s="362">
        <f t="shared" ca="1" si="43"/>
        <v>27600</v>
      </c>
    </row>
    <row r="121" spans="2:11">
      <c r="B121" s="509">
        <v>8</v>
      </c>
      <c r="C121" s="510" t="s">
        <v>1623</v>
      </c>
      <c r="D121" s="358" t="str">
        <f ca="1">IF(ISERROR(OFFSET('HARGA SATUAN'!$D$6,MATCH(RAB!C121,'HARGA SATUAN'!$C$7:$C$1492,0),0)),"",OFFSET('HARGA SATUAN'!$D$6,MATCH(RAB!C121,'HARGA SATUAN'!$C$7:$C$1492,0),0))</f>
        <v>HDW</v>
      </c>
      <c r="E121" s="359" t="str">
        <f ca="1">IF(B121="+","Unit",IF(ISERROR(OFFSET('HARGA SATUAN'!$E$6,MATCH(RAB!C121,'HARGA SATUAN'!$C$7:$C$1492,0),0)),"",OFFSET('HARGA SATUAN'!$E$6,MATCH(RAB!C121,'HARGA SATUAN'!$C$7:$C$1492,0),0)))</f>
        <v>Mtr</v>
      </c>
      <c r="F121" s="498">
        <f>F113*4.8</f>
        <v>9.6</v>
      </c>
      <c r="G121" s="360">
        <f ca="1">IF(ISERROR(OFFSET('HARGA SATUAN'!$I$6,MATCH(RAB!C121,'HARGA SATUAN'!$C$7:$C$1492,0),0)),0,OFFSET('HARGA SATUAN'!$I$6,MATCH(RAB!C121,'HARGA SATUAN'!$C$7:$C$1492,0),0))</f>
        <v>23310</v>
      </c>
      <c r="H121" s="361">
        <f t="shared" ca="1" si="40"/>
        <v>0</v>
      </c>
      <c r="I121" s="361">
        <f t="shared" ca="1" si="41"/>
        <v>223776</v>
      </c>
      <c r="J121" s="361">
        <f t="shared" ca="1" si="42"/>
        <v>0</v>
      </c>
      <c r="K121" s="362">
        <f t="shared" ca="1" si="43"/>
        <v>223776</v>
      </c>
    </row>
    <row r="122" spans="2:11">
      <c r="B122" s="509">
        <v>9</v>
      </c>
      <c r="C122" s="510" t="s">
        <v>736</v>
      </c>
      <c r="D122" s="358" t="str">
        <f ca="1">IF(ISERROR(OFFSET('HARGA SATUAN'!$D$6,MATCH(RAB!C122,'HARGA SATUAN'!$C$7:$C$1492,0),0)),"",OFFSET('HARGA SATUAN'!$D$6,MATCH(RAB!C122,'HARGA SATUAN'!$C$7:$C$1492,0),0))</f>
        <v>JASA</v>
      </c>
      <c r="E122" s="359" t="str">
        <f ca="1">IF(B122="+","Unit",IF(ISERROR(OFFSET('HARGA SATUAN'!$E$6,MATCH(RAB!C122,'HARGA SATUAN'!$C$7:$C$1492,0),0)),"",OFFSET('HARGA SATUAN'!$E$6,MATCH(RAB!C122,'HARGA SATUAN'!$C$7:$C$1492,0),0)))</f>
        <v>Unit</v>
      </c>
      <c r="F122" s="498">
        <f>F113*1</f>
        <v>2</v>
      </c>
      <c r="G122" s="360">
        <f ca="1">IF(ISERROR(OFFSET('HARGA SATUAN'!$I$6,MATCH(RAB!C122,'HARGA SATUAN'!$C$7:$C$1492,0),0)),0,OFFSET('HARGA SATUAN'!$I$6,MATCH(RAB!C122,'HARGA SATUAN'!$C$7:$C$1492,0),0))</f>
        <v>65400</v>
      </c>
      <c r="H122" s="361">
        <f t="shared" ref="H122:H128" ca="1" si="44">IF(OR(D122="MDU",D122="MDU-KD"),(IF($O$3="RAB NON MDU","PLN KD",G122*F122)),0)</f>
        <v>0</v>
      </c>
      <c r="I122" s="361">
        <f t="shared" ref="I122:I128" ca="1" si="45">IF(D122="HDW",G122*F122,0)</f>
        <v>0</v>
      </c>
      <c r="J122" s="361">
        <f t="shared" ref="J122:J128" ca="1" si="46">IF(D122="JASA",G122*F122,0)</f>
        <v>130800</v>
      </c>
      <c r="K122" s="362">
        <f t="shared" ref="K122:K128" ca="1" si="47">SUM(H122:J122)</f>
        <v>130800</v>
      </c>
    </row>
    <row r="123" spans="2:11">
      <c r="B123" s="491"/>
      <c r="C123" s="494"/>
      <c r="D123" s="358" t="str">
        <f ca="1">IF(ISERROR(OFFSET('HARGA SATUAN'!$D$6,MATCH(RAB!C123,'HARGA SATUAN'!$C$7:$C$1492,0),0)),"",OFFSET('HARGA SATUAN'!$D$6,MATCH(RAB!C123,'HARGA SATUAN'!$C$7:$C$1492,0),0))</f>
        <v/>
      </c>
      <c r="E123" s="359" t="str">
        <f ca="1">IF(B123="+","Unit",IF(ISERROR(OFFSET('HARGA SATUAN'!$E$6,MATCH(RAB!C123,'HARGA SATUAN'!$C$7:$C$1492,0),0)),"",OFFSET('HARGA SATUAN'!$E$6,MATCH(RAB!C123,'HARGA SATUAN'!$C$7:$C$1492,0),0)))</f>
        <v/>
      </c>
      <c r="F123" s="498"/>
      <c r="G123" s="360">
        <f ca="1">IF(ISERROR(OFFSET('HARGA SATUAN'!$I$6,MATCH(RAB!C123,'HARGA SATUAN'!$C$7:$C$1492,0),0)),0,OFFSET('HARGA SATUAN'!$I$6,MATCH(RAB!C123,'HARGA SATUAN'!$C$7:$C$1492,0),0))</f>
        <v>0</v>
      </c>
      <c r="H123" s="361">
        <f t="shared" ca="1" si="44"/>
        <v>0</v>
      </c>
      <c r="I123" s="361">
        <f t="shared" ca="1" si="45"/>
        <v>0</v>
      </c>
      <c r="J123" s="361">
        <f t="shared" ca="1" si="46"/>
        <v>0</v>
      </c>
      <c r="K123" s="362">
        <f t="shared" ca="1" si="47"/>
        <v>0</v>
      </c>
    </row>
    <row r="124" spans="2:11">
      <c r="B124" s="509" t="s">
        <v>1035</v>
      </c>
      <c r="C124" s="510" t="s">
        <v>1624</v>
      </c>
      <c r="D124" s="358" t="str">
        <f ca="1">IF(ISERROR(OFFSET('HARGA SATUAN'!$D$6,MATCH(RAB!C124,'HARGA SATUAN'!$C$7:$C$1492,0),0)),"",OFFSET('HARGA SATUAN'!$D$6,MATCH(RAB!C124,'HARGA SATUAN'!$C$7:$C$1492,0),0))</f>
        <v/>
      </c>
      <c r="E124" s="359" t="str">
        <f ca="1">IF(B124="+","Unit",IF(ISERROR(OFFSET('HARGA SATUAN'!$E$6,MATCH(RAB!C124,'HARGA SATUAN'!$C$7:$C$1492,0),0)),"",OFFSET('HARGA SATUAN'!$E$6,MATCH(RAB!C124,'HARGA SATUAN'!$C$7:$C$1492,0),0)))</f>
        <v>Unit</v>
      </c>
      <c r="F124" s="513">
        <v>1</v>
      </c>
      <c r="G124" s="360">
        <f ca="1">IF(ISERROR(OFFSET('HARGA SATUAN'!$I$6,MATCH(RAB!C124,'HARGA SATUAN'!$C$7:$C$1492,0),0)),0,OFFSET('HARGA SATUAN'!$I$6,MATCH(RAB!C124,'HARGA SATUAN'!$C$7:$C$1492,0),0))</f>
        <v>0</v>
      </c>
      <c r="H124" s="361">
        <f t="shared" ca="1" si="44"/>
        <v>0</v>
      </c>
      <c r="I124" s="361">
        <f t="shared" ca="1" si="45"/>
        <v>0</v>
      </c>
      <c r="J124" s="361">
        <f t="shared" ca="1" si="46"/>
        <v>0</v>
      </c>
      <c r="K124" s="362">
        <f t="shared" ca="1" si="47"/>
        <v>0</v>
      </c>
    </row>
    <row r="125" spans="2:11">
      <c r="B125" s="509">
        <v>1</v>
      </c>
      <c r="C125" s="510" t="s">
        <v>535</v>
      </c>
      <c r="D125" s="358" t="str">
        <f ca="1">IF(ISERROR(OFFSET('HARGA SATUAN'!$D$6,MATCH(RAB!C125,'HARGA SATUAN'!$C$7:$C$1492,0),0)),"",OFFSET('HARGA SATUAN'!$D$6,MATCH(RAB!C125,'HARGA SATUAN'!$C$7:$C$1492,0),0))</f>
        <v>MDU-KD</v>
      </c>
      <c r="E125" s="359" t="str">
        <f ca="1">IF(B125="+","Unit",IF(ISERROR(OFFSET('HARGA SATUAN'!$E$6,MATCH(RAB!C125,'HARGA SATUAN'!$C$7:$C$1492,0),0)),"",OFFSET('HARGA SATUAN'!$E$6,MATCH(RAB!C125,'HARGA SATUAN'!$C$7:$C$1492,0),0)))</f>
        <v>Bh</v>
      </c>
      <c r="F125" s="513">
        <f>F124*1</f>
        <v>1</v>
      </c>
      <c r="G125" s="360">
        <f ca="1">IF(ISERROR(OFFSET('HARGA SATUAN'!$I$6,MATCH(RAB!C125,'HARGA SATUAN'!$C$7:$C$1492,0),0)),0,OFFSET('HARGA SATUAN'!$I$6,MATCH(RAB!C125,'HARGA SATUAN'!$C$7:$C$1492,0),0))</f>
        <v>848250</v>
      </c>
      <c r="H125" s="361">
        <f t="shared" ca="1" si="44"/>
        <v>848250</v>
      </c>
      <c r="I125" s="361">
        <f t="shared" ca="1" si="45"/>
        <v>0</v>
      </c>
      <c r="J125" s="361">
        <f t="shared" ca="1" si="46"/>
        <v>0</v>
      </c>
      <c r="K125" s="362">
        <f t="shared" ca="1" si="47"/>
        <v>848250</v>
      </c>
    </row>
    <row r="126" spans="2:11">
      <c r="B126" s="509">
        <v>2</v>
      </c>
      <c r="C126" s="109" t="s">
        <v>62</v>
      </c>
      <c r="D126" s="358" t="str">
        <f ca="1">IF(ISERROR(OFFSET('HARGA SATUAN'!$D$6,MATCH(RAB!C126,'HARGA SATUAN'!$C$7:$C$1492,0),0)),"",OFFSET('HARGA SATUAN'!$D$6,MATCH(RAB!C126,'HARGA SATUAN'!$C$7:$C$1492,0),0))</f>
        <v>HDW</v>
      </c>
      <c r="E126" s="359" t="str">
        <f ca="1">IF(B126="+","Unit",IF(ISERROR(OFFSET('HARGA SATUAN'!$E$6,MATCH(RAB!C126,'HARGA SATUAN'!$C$7:$C$1492,0),0)),"",OFFSET('HARGA SATUAN'!$E$6,MATCH(RAB!C126,'HARGA SATUAN'!$C$7:$C$1492,0),0)))</f>
        <v>Bh</v>
      </c>
      <c r="F126" s="513">
        <f>F124*1</f>
        <v>1</v>
      </c>
      <c r="G126" s="360">
        <f ca="1">IF(ISERROR(OFFSET('HARGA SATUAN'!$I$6,MATCH(RAB!C126,'HARGA SATUAN'!$C$7:$C$1492,0),0)),0,OFFSET('HARGA SATUAN'!$I$6,MATCH(RAB!C126,'HARGA SATUAN'!$C$7:$C$1492,0),0))</f>
        <v>32500</v>
      </c>
      <c r="H126" s="361">
        <f t="shared" ca="1" si="44"/>
        <v>0</v>
      </c>
      <c r="I126" s="361">
        <f t="shared" ca="1" si="45"/>
        <v>32500</v>
      </c>
      <c r="J126" s="361">
        <f t="shared" ca="1" si="46"/>
        <v>0</v>
      </c>
      <c r="K126" s="362">
        <f t="shared" ca="1" si="47"/>
        <v>32500</v>
      </c>
    </row>
    <row r="127" spans="2:11">
      <c r="B127" s="509">
        <v>3</v>
      </c>
      <c r="C127" s="510" t="s">
        <v>187</v>
      </c>
      <c r="D127" s="358" t="str">
        <f ca="1">IF(ISERROR(OFFSET('HARGA SATUAN'!$D$6,MATCH(RAB!C127,'HARGA SATUAN'!$C$7:$C$1492,0),0)),"",OFFSET('HARGA SATUAN'!$D$6,MATCH(RAB!C127,'HARGA SATUAN'!$C$7:$C$1492,0),0))</f>
        <v>HDW</v>
      </c>
      <c r="E127" s="359" t="str">
        <f ca="1">IF(B127="+","Unit",IF(ISERROR(OFFSET('HARGA SATUAN'!$E$6,MATCH(RAB!C127,'HARGA SATUAN'!$C$7:$C$1492,0),0)),"",OFFSET('HARGA SATUAN'!$E$6,MATCH(RAB!C127,'HARGA SATUAN'!$C$7:$C$1492,0),0)))</f>
        <v>Bh</v>
      </c>
      <c r="F127" s="513">
        <f>F124*1</f>
        <v>1</v>
      </c>
      <c r="G127" s="360">
        <f ca="1">IF(ISERROR(OFFSET('HARGA SATUAN'!$I$6,MATCH(RAB!C127,'HARGA SATUAN'!$C$7:$C$1492,0),0)),0,OFFSET('HARGA SATUAN'!$I$6,MATCH(RAB!C127,'HARGA SATUAN'!$C$7:$C$1492,0),0))</f>
        <v>17100</v>
      </c>
      <c r="H127" s="361">
        <f t="shared" ca="1" si="44"/>
        <v>0</v>
      </c>
      <c r="I127" s="361">
        <f t="shared" ca="1" si="45"/>
        <v>17100</v>
      </c>
      <c r="J127" s="361">
        <f t="shared" ca="1" si="46"/>
        <v>0</v>
      </c>
      <c r="K127" s="362">
        <f t="shared" ca="1" si="47"/>
        <v>17100</v>
      </c>
    </row>
    <row r="128" spans="2:11">
      <c r="B128" s="509">
        <v>4</v>
      </c>
      <c r="C128" s="109" t="s">
        <v>174</v>
      </c>
      <c r="D128" s="358" t="str">
        <f ca="1">IF(ISERROR(OFFSET('HARGA SATUAN'!$D$6,MATCH(RAB!C128,'HARGA SATUAN'!$C$7:$C$1492,0),0)),"",OFFSET('HARGA SATUAN'!$D$6,MATCH(RAB!C128,'HARGA SATUAN'!$C$7:$C$1492,0),0))</f>
        <v>HDW</v>
      </c>
      <c r="E128" s="359" t="str">
        <f ca="1">IF(B128="+","Unit",IF(ISERROR(OFFSET('HARGA SATUAN'!$E$6,MATCH(RAB!C128,'HARGA SATUAN'!$C$7:$C$1492,0),0)),"",OFFSET('HARGA SATUAN'!$E$6,MATCH(RAB!C128,'HARGA SATUAN'!$C$7:$C$1492,0),0)))</f>
        <v>Bh</v>
      </c>
      <c r="F128" s="513">
        <f>F124*1</f>
        <v>1</v>
      </c>
      <c r="G128" s="360">
        <f ca="1">IF(ISERROR(OFFSET('HARGA SATUAN'!$I$6,MATCH(RAB!C128,'HARGA SATUAN'!$C$7:$C$1492,0),0)),0,OFFSET('HARGA SATUAN'!$I$6,MATCH(RAB!C128,'HARGA SATUAN'!$C$7:$C$1492,0),0))</f>
        <v>67700</v>
      </c>
      <c r="H128" s="361">
        <f t="shared" ca="1" si="44"/>
        <v>0</v>
      </c>
      <c r="I128" s="361">
        <f t="shared" ca="1" si="45"/>
        <v>67700</v>
      </c>
      <c r="J128" s="361">
        <f t="shared" ca="1" si="46"/>
        <v>0</v>
      </c>
      <c r="K128" s="362">
        <f t="shared" ca="1" si="47"/>
        <v>67700</v>
      </c>
    </row>
    <row r="129" spans="2:11">
      <c r="B129" s="509">
        <v>5</v>
      </c>
      <c r="C129" s="510" t="s">
        <v>747</v>
      </c>
      <c r="D129" s="358" t="str">
        <f ca="1">IF(ISERROR(OFFSET('HARGA SATUAN'!$D$6,MATCH(RAB!C129,'HARGA SATUAN'!$C$7:$C$1492,0),0)),"",OFFSET('HARGA SATUAN'!$D$6,MATCH(RAB!C129,'HARGA SATUAN'!$C$7:$C$1492,0),0))</f>
        <v>JASA</v>
      </c>
      <c r="E129" s="359" t="str">
        <f ca="1">IF(B129="+","Unit",IF(ISERROR(OFFSET('HARGA SATUAN'!$E$6,MATCH(RAB!C129,'HARGA SATUAN'!$C$7:$C$1492,0),0)),"",OFFSET('HARGA SATUAN'!$E$6,MATCH(RAB!C129,'HARGA SATUAN'!$C$7:$C$1492,0),0)))</f>
        <v>Unit</v>
      </c>
      <c r="F129" s="513">
        <f>F124*1</f>
        <v>1</v>
      </c>
      <c r="G129" s="360">
        <f ca="1">IF(ISERROR(OFFSET('HARGA SATUAN'!$I$6,MATCH(RAB!C129,'HARGA SATUAN'!$C$7:$C$1492,0),0)),0,OFFSET('HARGA SATUAN'!$I$6,MATCH(RAB!C129,'HARGA SATUAN'!$C$7:$C$1492,0),0))</f>
        <v>58400</v>
      </c>
      <c r="H129" s="361">
        <f t="shared" ref="H129:H132" ca="1" si="48">IF(OR(D129="MDU",D129="MDU-KD"),(IF($O$3="RAB NON MDU","PLN KD",G129*F129)),0)</f>
        <v>0</v>
      </c>
      <c r="I129" s="361">
        <f t="shared" ref="I129:I132" ca="1" si="49">IF(D129="HDW",G129*F129,0)</f>
        <v>0</v>
      </c>
      <c r="J129" s="361">
        <f t="shared" ref="J129:J132" ca="1" si="50">IF(D129="JASA",G129*F129,0)</f>
        <v>58400</v>
      </c>
      <c r="K129" s="362">
        <f t="shared" ref="K129:K132" ca="1" si="51">SUM(H129:J129)</f>
        <v>58400</v>
      </c>
    </row>
    <row r="130" spans="2:11">
      <c r="B130" s="491"/>
      <c r="C130" s="494"/>
      <c r="D130" s="358" t="str">
        <f ca="1">IF(ISERROR(OFFSET('HARGA SATUAN'!$D$6,MATCH(RAB!C130,'HARGA SATUAN'!$C$7:$C$1492,0),0)),"",OFFSET('HARGA SATUAN'!$D$6,MATCH(RAB!C130,'HARGA SATUAN'!$C$7:$C$1492,0),0))</f>
        <v/>
      </c>
      <c r="E130" s="359" t="str">
        <f ca="1">IF(B130="+","Unit",IF(ISERROR(OFFSET('HARGA SATUAN'!$E$6,MATCH(RAB!C130,'HARGA SATUAN'!$C$7:$C$1492,0),0)),"",OFFSET('HARGA SATUAN'!$E$6,MATCH(RAB!C130,'HARGA SATUAN'!$C$7:$C$1492,0),0)))</f>
        <v/>
      </c>
      <c r="F130" s="498"/>
      <c r="G130" s="360">
        <f ca="1">IF(ISERROR(OFFSET('HARGA SATUAN'!$I$6,MATCH(RAB!C130,'HARGA SATUAN'!$C$7:$C$1492,0),0)),0,OFFSET('HARGA SATUAN'!$I$6,MATCH(RAB!C130,'HARGA SATUAN'!$C$7:$C$1492,0),0))</f>
        <v>0</v>
      </c>
      <c r="H130" s="361">
        <f t="shared" ca="1" si="48"/>
        <v>0</v>
      </c>
      <c r="I130" s="361">
        <f t="shared" ca="1" si="49"/>
        <v>0</v>
      </c>
      <c r="J130" s="361">
        <f t="shared" ca="1" si="50"/>
        <v>0</v>
      </c>
      <c r="K130" s="362">
        <f t="shared" ca="1" si="51"/>
        <v>0</v>
      </c>
    </row>
    <row r="131" spans="2:11">
      <c r="B131" s="492" t="s">
        <v>1615</v>
      </c>
      <c r="C131" s="497" t="s">
        <v>1617</v>
      </c>
      <c r="D131" s="358" t="str">
        <f ca="1">IF(ISERROR(OFFSET('HARGA SATUAN'!$D$6,MATCH(RAB!C131,'HARGA SATUAN'!$C$7:$C$1492,0),0)),"",OFFSET('HARGA SATUAN'!$D$6,MATCH(RAB!C131,'HARGA SATUAN'!$C$7:$C$1492,0),0))</f>
        <v/>
      </c>
      <c r="E131" s="359" t="str">
        <f ca="1">IF(B131="+","Unit",IF(ISERROR(OFFSET('HARGA SATUAN'!$E$6,MATCH(RAB!C131,'HARGA SATUAN'!$C$7:$C$1492,0),0)),"",OFFSET('HARGA SATUAN'!$E$6,MATCH(RAB!C131,'HARGA SATUAN'!$C$7:$C$1492,0),0)))</f>
        <v/>
      </c>
      <c r="F131" s="498"/>
      <c r="G131" s="360">
        <f ca="1">IF(ISERROR(OFFSET('HARGA SATUAN'!$I$6,MATCH(RAB!C131,'HARGA SATUAN'!$C$7:$C$1492,0),0)),0,OFFSET('HARGA SATUAN'!$I$6,MATCH(RAB!C131,'HARGA SATUAN'!$C$7:$C$1492,0),0))</f>
        <v>0</v>
      </c>
      <c r="H131" s="361">
        <f t="shared" ca="1" si="48"/>
        <v>0</v>
      </c>
      <c r="I131" s="361">
        <f t="shared" ca="1" si="49"/>
        <v>0</v>
      </c>
      <c r="J131" s="361">
        <f t="shared" ca="1" si="50"/>
        <v>0</v>
      </c>
      <c r="K131" s="362">
        <f t="shared" ca="1" si="51"/>
        <v>0</v>
      </c>
    </row>
    <row r="132" spans="2:11">
      <c r="B132" s="492"/>
      <c r="C132" s="493"/>
      <c r="D132" s="358" t="str">
        <f ca="1">IF(ISERROR(OFFSET('HARGA SATUAN'!$D$6,MATCH(RAB!C132,'HARGA SATUAN'!$C$7:$C$1492,0),0)),"",OFFSET('HARGA SATUAN'!$D$6,MATCH(RAB!C132,'HARGA SATUAN'!$C$7:$C$1492,0),0))</f>
        <v/>
      </c>
      <c r="E132" s="359" t="str">
        <f ca="1">IF(B132="+","Unit",IF(ISERROR(OFFSET('HARGA SATUAN'!$E$6,MATCH(RAB!C132,'HARGA SATUAN'!$C$7:$C$1492,0),0)),"",OFFSET('HARGA SATUAN'!$E$6,MATCH(RAB!C132,'HARGA SATUAN'!$C$7:$C$1492,0),0)))</f>
        <v/>
      </c>
      <c r="F132" s="498"/>
      <c r="G132" s="360">
        <f ca="1">IF(ISERROR(OFFSET('HARGA SATUAN'!$I$6,MATCH(RAB!C132,'HARGA SATUAN'!$C$7:$C$1492,0),0)),0,OFFSET('HARGA SATUAN'!$I$6,MATCH(RAB!C132,'HARGA SATUAN'!$C$7:$C$1492,0),0))</f>
        <v>0</v>
      </c>
      <c r="H132" s="361">
        <f t="shared" ca="1" si="48"/>
        <v>0</v>
      </c>
      <c r="I132" s="361">
        <f t="shared" ca="1" si="49"/>
        <v>0</v>
      </c>
      <c r="J132" s="361">
        <f t="shared" ca="1" si="50"/>
        <v>0</v>
      </c>
      <c r="K132" s="362">
        <f t="shared" ca="1" si="51"/>
        <v>0</v>
      </c>
    </row>
    <row r="133" spans="2:11">
      <c r="B133" s="492" t="s">
        <v>1035</v>
      </c>
      <c r="C133" s="493" t="s">
        <v>1632</v>
      </c>
      <c r="D133" s="358" t="str">
        <f ca="1">IF(ISERROR(OFFSET('HARGA SATUAN'!$D$6,MATCH(RAB!C133,'HARGA SATUAN'!$C$7:$C$1492,0),0)),"",OFFSET('HARGA SATUAN'!$D$6,MATCH(RAB!C133,'HARGA SATUAN'!$C$7:$C$1492,0),0))</f>
        <v/>
      </c>
      <c r="E133" s="359" t="str">
        <f ca="1">IF(B133="+","Unit",IF(ISERROR(OFFSET('HARGA SATUAN'!$E$6,MATCH(RAB!C133,'HARGA SATUAN'!$C$7:$C$1492,0),0)),"",OFFSET('HARGA SATUAN'!$E$6,MATCH(RAB!C133,'HARGA SATUAN'!$C$7:$C$1492,0),0)))</f>
        <v>Unit</v>
      </c>
      <c r="F133" s="506">
        <v>2</v>
      </c>
      <c r="G133" s="360">
        <f ca="1">IF(ISERROR(OFFSET('HARGA SATUAN'!$I$6,MATCH(RAB!C133,'HARGA SATUAN'!$C$7:$C$1492,0),0)),0,OFFSET('HARGA SATUAN'!$I$6,MATCH(RAB!C133,'HARGA SATUAN'!$C$7:$C$1492,0),0))</f>
        <v>0</v>
      </c>
      <c r="H133" s="361">
        <f t="shared" ref="H133:H137" ca="1" si="52">IF(OR(D133="MDU",D133="MDU-KD"),(IF($O$3="RAB NON MDU","PLN KD",G133*F133)),0)</f>
        <v>0</v>
      </c>
      <c r="I133" s="361">
        <f t="shared" ref="I133:I137" ca="1" si="53">IF(D133="HDW",G133*F133,0)</f>
        <v>0</v>
      </c>
      <c r="J133" s="361">
        <f t="shared" ref="J133:J137" ca="1" si="54">IF(D133="JASA",G133*F133,0)</f>
        <v>0</v>
      </c>
      <c r="K133" s="362">
        <f t="shared" ref="K133:K137" ca="1" si="55">SUM(H133:J133)</f>
        <v>0</v>
      </c>
    </row>
    <row r="134" spans="2:11">
      <c r="B134" s="509">
        <v>1</v>
      </c>
      <c r="C134" s="109" t="s">
        <v>482</v>
      </c>
      <c r="D134" s="358" t="str">
        <f ca="1">IF(ISERROR(OFFSET('HARGA SATUAN'!$D$6,MATCH(RAB!C134,'HARGA SATUAN'!$C$7:$C$1492,0),0)),"",OFFSET('HARGA SATUAN'!$D$6,MATCH(RAB!C134,'HARGA SATUAN'!$C$7:$C$1492,0),0))</f>
        <v>MDU-KD</v>
      </c>
      <c r="E134" s="359" t="str">
        <f ca="1">IF(B134="+","Unit",IF(ISERROR(OFFSET('HARGA SATUAN'!$E$6,MATCH(RAB!C134,'HARGA SATUAN'!$C$7:$C$1492,0),0)),"",OFFSET('HARGA SATUAN'!$E$6,MATCH(RAB!C134,'HARGA SATUAN'!$C$7:$C$1492,0),0)))</f>
        <v>Bh</v>
      </c>
      <c r="F134" s="506">
        <f>F133*1</f>
        <v>2</v>
      </c>
      <c r="G134" s="360">
        <f ca="1">IF(ISERROR(OFFSET('HARGA SATUAN'!$I$6,MATCH(RAB!C134,'HARGA SATUAN'!$C$7:$C$1492,0),0)),0,OFFSET('HARGA SATUAN'!$I$6,MATCH(RAB!C134,'HARGA SATUAN'!$C$7:$C$1492,0),0))</f>
        <v>327600</v>
      </c>
      <c r="H134" s="361">
        <f t="shared" ca="1" si="52"/>
        <v>655200</v>
      </c>
      <c r="I134" s="361">
        <f t="shared" ca="1" si="53"/>
        <v>0</v>
      </c>
      <c r="J134" s="361">
        <f t="shared" ca="1" si="54"/>
        <v>0</v>
      </c>
      <c r="K134" s="362">
        <f t="shared" ca="1" si="55"/>
        <v>655200</v>
      </c>
    </row>
    <row r="135" spans="2:11">
      <c r="B135" s="509">
        <v>2</v>
      </c>
      <c r="C135" s="514" t="s">
        <v>493</v>
      </c>
      <c r="D135" s="358" t="str">
        <f ca="1">IF(ISERROR(OFFSET('HARGA SATUAN'!$D$6,MATCH(RAB!C135,'HARGA SATUAN'!$C$7:$C$1492,0),0)),"",OFFSET('HARGA SATUAN'!$D$6,MATCH(RAB!C135,'HARGA SATUAN'!$C$7:$C$1492,0),0))</f>
        <v>MDU-KD</v>
      </c>
      <c r="E135" s="359" t="str">
        <f ca="1">IF(B135="+","Unit",IF(ISERROR(OFFSET('HARGA SATUAN'!$E$6,MATCH(RAB!C135,'HARGA SATUAN'!$C$7:$C$1492,0),0)),"",OFFSET('HARGA SATUAN'!$E$6,MATCH(RAB!C135,'HARGA SATUAN'!$C$7:$C$1492,0),0)))</f>
        <v>Bh</v>
      </c>
      <c r="F135" s="506">
        <f>F133*1</f>
        <v>2</v>
      </c>
      <c r="G135" s="360">
        <f ca="1">IF(ISERROR(OFFSET('HARGA SATUAN'!$I$6,MATCH(RAB!C135,'HARGA SATUAN'!$C$7:$C$1492,0),0)),0,OFFSET('HARGA SATUAN'!$I$6,MATCH(RAB!C135,'HARGA SATUAN'!$C$7:$C$1492,0),0))</f>
        <v>39000</v>
      </c>
      <c r="H135" s="361">
        <f t="shared" ca="1" si="52"/>
        <v>78000</v>
      </c>
      <c r="I135" s="361">
        <f t="shared" ca="1" si="53"/>
        <v>0</v>
      </c>
      <c r="J135" s="361">
        <f t="shared" ca="1" si="54"/>
        <v>0</v>
      </c>
      <c r="K135" s="362">
        <f t="shared" ca="1" si="55"/>
        <v>78000</v>
      </c>
    </row>
    <row r="136" spans="2:11">
      <c r="B136" s="509">
        <v>3</v>
      </c>
      <c r="C136" s="514" t="s">
        <v>74</v>
      </c>
      <c r="D136" s="358" t="str">
        <f ca="1">IF(ISERROR(OFFSET('HARGA SATUAN'!$D$6,MATCH(RAB!C136,'HARGA SATUAN'!$C$7:$C$1492,0),0)),"",OFFSET('HARGA SATUAN'!$D$6,MATCH(RAB!C136,'HARGA SATUAN'!$C$7:$C$1492,0),0))</f>
        <v>MDU-KD</v>
      </c>
      <c r="E136" s="359" t="str">
        <f ca="1">IF(B136="+","Unit",IF(ISERROR(OFFSET('HARGA SATUAN'!$E$6,MATCH(RAB!C136,'HARGA SATUAN'!$C$7:$C$1492,0),0)),"",OFFSET('HARGA SATUAN'!$E$6,MATCH(RAB!C136,'HARGA SATUAN'!$C$7:$C$1492,0),0)))</f>
        <v>Mtr</v>
      </c>
      <c r="F136" s="506">
        <f>F133*20</f>
        <v>40</v>
      </c>
      <c r="G136" s="360">
        <f ca="1">IF(ISERROR(OFFSET('HARGA SATUAN'!$I$6,MATCH(RAB!C136,'HARGA SATUAN'!$C$7:$C$1492,0),0)),0,OFFSET('HARGA SATUAN'!$I$6,MATCH(RAB!C136,'HARGA SATUAN'!$C$7:$C$1492,0),0))</f>
        <v>6600</v>
      </c>
      <c r="H136" s="361">
        <f t="shared" ca="1" si="52"/>
        <v>264000</v>
      </c>
      <c r="I136" s="361">
        <f t="shared" ca="1" si="53"/>
        <v>0</v>
      </c>
      <c r="J136" s="361">
        <f t="shared" ca="1" si="54"/>
        <v>0</v>
      </c>
      <c r="K136" s="362">
        <f t="shared" ca="1" si="55"/>
        <v>264000</v>
      </c>
    </row>
    <row r="137" spans="2:11">
      <c r="B137" s="509">
        <v>4</v>
      </c>
      <c r="C137" s="514" t="s">
        <v>798</v>
      </c>
      <c r="D137" s="358" t="str">
        <f ca="1">IF(ISERROR(OFFSET('HARGA SATUAN'!$D$6,MATCH(RAB!C137,'HARGA SATUAN'!$C$7:$C$1492,0),0)),"",OFFSET('HARGA SATUAN'!$D$6,MATCH(RAB!C137,'HARGA SATUAN'!$C$7:$C$1492,0),0))</f>
        <v>JASA</v>
      </c>
      <c r="E137" s="359" t="str">
        <f ca="1">IF(B137="+","Unit",IF(ISERROR(OFFSET('HARGA SATUAN'!$E$6,MATCH(RAB!C137,'HARGA SATUAN'!$C$7:$C$1492,0),0)),"",OFFSET('HARGA SATUAN'!$E$6,MATCH(RAB!C137,'HARGA SATUAN'!$C$7:$C$1492,0),0)))</f>
        <v>Unit</v>
      </c>
      <c r="F137" s="506">
        <f>F133*1</f>
        <v>2</v>
      </c>
      <c r="G137" s="360">
        <f ca="1">IF(ISERROR(OFFSET('HARGA SATUAN'!$I$6,MATCH(RAB!C137,'HARGA SATUAN'!$C$7:$C$1492,0),0)),0,OFFSET('HARGA SATUAN'!$I$6,MATCH(RAB!C137,'HARGA SATUAN'!$C$7:$C$1492,0),0))</f>
        <v>54400</v>
      </c>
      <c r="H137" s="361">
        <f t="shared" ca="1" si="52"/>
        <v>0</v>
      </c>
      <c r="I137" s="361">
        <f t="shared" ca="1" si="53"/>
        <v>0</v>
      </c>
      <c r="J137" s="361">
        <f t="shared" ca="1" si="54"/>
        <v>108800</v>
      </c>
      <c r="K137" s="362">
        <f t="shared" ca="1" si="55"/>
        <v>108800</v>
      </c>
    </row>
    <row r="138" spans="2:11">
      <c r="B138" s="373"/>
      <c r="C138" s="502"/>
      <c r="D138" s="358" t="str">
        <f ca="1">IF(ISERROR(OFFSET('HARGA SATUAN'!$D$6,MATCH(RAB!C138,'HARGA SATUAN'!$C$7:$C$1492,0),0)),"",OFFSET('HARGA SATUAN'!$D$6,MATCH(RAB!C138,'HARGA SATUAN'!$C$7:$C$1492,0),0))</f>
        <v/>
      </c>
      <c r="E138" s="359" t="str">
        <f ca="1">IF(B138="+","Unit",IF(ISERROR(OFFSET('HARGA SATUAN'!$E$6,MATCH(RAB!C138,'HARGA SATUAN'!$C$7:$C$1492,0),0)),"",OFFSET('HARGA SATUAN'!$E$6,MATCH(RAB!C138,'HARGA SATUAN'!$C$7:$C$1492,0),0)))</f>
        <v/>
      </c>
      <c r="F138" s="368"/>
      <c r="G138" s="360">
        <f ca="1">IF(ISERROR(OFFSET('HARGA SATUAN'!$I$6,MATCH(RAB!C138,'HARGA SATUAN'!$C$7:$C$1492,0),0)),0,OFFSET('HARGA SATUAN'!$I$6,MATCH(RAB!C138,'HARGA SATUAN'!$C$7:$C$1492,0),0))</f>
        <v>0</v>
      </c>
      <c r="H138" s="361">
        <f t="shared" ref="H138:H150" ca="1" si="56">IF(OR(D138="MDU",D138="MDU-KD"),(IF($O$3="RAB NON MDU","PLN KD",G138*F138)),0)</f>
        <v>0</v>
      </c>
      <c r="I138" s="361">
        <f t="shared" ref="I138:I150" ca="1" si="57">IF(D138="HDW",G138*F138,0)</f>
        <v>0</v>
      </c>
      <c r="J138" s="361">
        <f t="shared" ref="J138:J150" ca="1" si="58">IF(D138="JASA",G138*F138,0)</f>
        <v>0</v>
      </c>
      <c r="K138" s="362">
        <f t="shared" ref="K138:K150" ca="1" si="59">SUM(H138:J138)</f>
        <v>0</v>
      </c>
    </row>
    <row r="139" spans="2:11">
      <c r="B139" s="503" t="s">
        <v>1035</v>
      </c>
      <c r="C139" s="505" t="s">
        <v>1619</v>
      </c>
      <c r="D139" s="358" t="str">
        <f ca="1">IF(ISERROR(OFFSET('HARGA SATUAN'!$D$6,MATCH(RAB!C139,'HARGA SATUAN'!$C$7:$C$1492,0),0)),"",OFFSET('HARGA SATUAN'!$D$6,MATCH(RAB!C139,'HARGA SATUAN'!$C$7:$C$1492,0),0))</f>
        <v/>
      </c>
      <c r="E139" s="359" t="str">
        <f ca="1">IF(B139="+","Unit",IF(ISERROR(OFFSET('HARGA SATUAN'!$E$6,MATCH(RAB!C139,'HARGA SATUAN'!$C$7:$C$1492,0),0)),"",OFFSET('HARGA SATUAN'!$E$6,MATCH(RAB!C139,'HARGA SATUAN'!$C$7:$C$1492,0),0)))</f>
        <v>Unit</v>
      </c>
      <c r="F139" s="506">
        <v>2</v>
      </c>
      <c r="G139" s="360">
        <f ca="1">IF(ISERROR(OFFSET('HARGA SATUAN'!$I$6,MATCH(RAB!C139,'HARGA SATUAN'!$C$7:$C$1492,0),0)),0,OFFSET('HARGA SATUAN'!$I$6,MATCH(RAB!C139,'HARGA SATUAN'!$C$7:$C$1492,0),0))</f>
        <v>0</v>
      </c>
      <c r="H139" s="361">
        <f t="shared" ca="1" si="56"/>
        <v>0</v>
      </c>
      <c r="I139" s="361">
        <f t="shared" ca="1" si="57"/>
        <v>0</v>
      </c>
      <c r="J139" s="361">
        <f t="shared" ca="1" si="58"/>
        <v>0</v>
      </c>
      <c r="K139" s="362">
        <f t="shared" ca="1" si="59"/>
        <v>0</v>
      </c>
    </row>
    <row r="140" spans="2:11">
      <c r="B140" s="503">
        <v>1</v>
      </c>
      <c r="C140" s="505" t="s">
        <v>115</v>
      </c>
      <c r="D140" s="358" t="str">
        <f ca="1">IF(ISERROR(OFFSET('HARGA SATUAN'!$D$6,MATCH(RAB!C140,'HARGA SATUAN'!$C$7:$C$1492,0),0)),"",OFFSET('HARGA SATUAN'!$D$6,MATCH(RAB!C140,'HARGA SATUAN'!$C$7:$C$1492,0),0))</f>
        <v>HDW</v>
      </c>
      <c r="E140" s="359" t="str">
        <f ca="1">IF(B140="+","Unit",IF(ISERROR(OFFSET('HARGA SATUAN'!$E$6,MATCH(RAB!C140,'HARGA SATUAN'!$C$7:$C$1492,0),0)),"",OFFSET('HARGA SATUAN'!$E$6,MATCH(RAB!C140,'HARGA SATUAN'!$C$7:$C$1492,0),0)))</f>
        <v>Set</v>
      </c>
      <c r="F140" s="506">
        <f>F139*1</f>
        <v>2</v>
      </c>
      <c r="G140" s="360">
        <f ca="1">IF(ISERROR(OFFSET('HARGA SATUAN'!$I$6,MATCH(RAB!C140,'HARGA SATUAN'!$C$7:$C$1492,0),0)),0,OFFSET('HARGA SATUAN'!$I$6,MATCH(RAB!C140,'HARGA SATUAN'!$C$7:$C$1492,0),0))</f>
        <v>11500</v>
      </c>
      <c r="H140" s="361">
        <f t="shared" ca="1" si="56"/>
        <v>0</v>
      </c>
      <c r="I140" s="361">
        <f t="shared" ca="1" si="57"/>
        <v>23000</v>
      </c>
      <c r="J140" s="361">
        <f t="shared" ca="1" si="58"/>
        <v>0</v>
      </c>
      <c r="K140" s="362">
        <f t="shared" ca="1" si="59"/>
        <v>23000</v>
      </c>
    </row>
    <row r="141" spans="2:11">
      <c r="B141" s="503">
        <v>2</v>
      </c>
      <c r="C141" s="505" t="s">
        <v>145</v>
      </c>
      <c r="D141" s="358" t="str">
        <f ca="1">IF(ISERROR(OFFSET('HARGA SATUAN'!$D$6,MATCH(RAB!C141,'HARGA SATUAN'!$C$7:$C$1492,0),0)),"",OFFSET('HARGA SATUAN'!$D$6,MATCH(RAB!C141,'HARGA SATUAN'!$C$7:$C$1492,0),0))</f>
        <v>HDW</v>
      </c>
      <c r="E141" s="359" t="str">
        <f ca="1">IF(B141="+","Unit",IF(ISERROR(OFFSET('HARGA SATUAN'!$E$6,MATCH(RAB!C141,'HARGA SATUAN'!$C$7:$C$1492,0),0)),"",OFFSET('HARGA SATUAN'!$E$6,MATCH(RAB!C141,'HARGA SATUAN'!$C$7:$C$1492,0),0)))</f>
        <v>Set</v>
      </c>
      <c r="F141" s="506">
        <f>F139*1</f>
        <v>2</v>
      </c>
      <c r="G141" s="360">
        <f ca="1">IF(ISERROR(OFFSET('HARGA SATUAN'!$I$6,MATCH(RAB!C141,'HARGA SATUAN'!$C$7:$C$1492,0),0)),0,OFFSET('HARGA SATUAN'!$I$6,MATCH(RAB!C141,'HARGA SATUAN'!$C$7:$C$1492,0),0))</f>
        <v>6200</v>
      </c>
      <c r="H141" s="361">
        <f t="shared" ca="1" si="56"/>
        <v>0</v>
      </c>
      <c r="I141" s="361">
        <f t="shared" ca="1" si="57"/>
        <v>12400</v>
      </c>
      <c r="J141" s="361">
        <f t="shared" ca="1" si="58"/>
        <v>0</v>
      </c>
      <c r="K141" s="362">
        <f t="shared" ca="1" si="59"/>
        <v>12400</v>
      </c>
    </row>
    <row r="142" spans="2:11">
      <c r="B142" s="503">
        <v>3</v>
      </c>
      <c r="C142" s="505" t="s">
        <v>587</v>
      </c>
      <c r="D142" s="358" t="str">
        <f ca="1">IF(ISERROR(OFFSET('HARGA SATUAN'!$D$6,MATCH(RAB!C142,'HARGA SATUAN'!$C$7:$C$1492,0),0)),"",OFFSET('HARGA SATUAN'!$D$6,MATCH(RAB!C142,'HARGA SATUAN'!$C$7:$C$1492,0),0))</f>
        <v>HDW</v>
      </c>
      <c r="E142" s="359" t="str">
        <f ca="1">IF(B142="+","Unit",IF(ISERROR(OFFSET('HARGA SATUAN'!$E$6,MATCH(RAB!C142,'HARGA SATUAN'!$C$7:$C$1492,0),0)),"",OFFSET('HARGA SATUAN'!$E$6,MATCH(RAB!C142,'HARGA SATUAN'!$C$7:$C$1492,0),0)))</f>
        <v>Btg</v>
      </c>
      <c r="F142" s="506">
        <f>F139*1</f>
        <v>2</v>
      </c>
      <c r="G142" s="360">
        <f ca="1">IF(ISERROR(OFFSET('HARGA SATUAN'!$I$6,MATCH(RAB!C142,'HARGA SATUAN'!$C$7:$C$1492,0),0)),0,OFFSET('HARGA SATUAN'!$I$6,MATCH(RAB!C142,'HARGA SATUAN'!$C$7:$C$1492,0),0))</f>
        <v>45796</v>
      </c>
      <c r="H142" s="361">
        <f t="shared" ca="1" si="56"/>
        <v>0</v>
      </c>
      <c r="I142" s="361">
        <f t="shared" ca="1" si="57"/>
        <v>91592</v>
      </c>
      <c r="J142" s="361">
        <f t="shared" ca="1" si="58"/>
        <v>0</v>
      </c>
      <c r="K142" s="362">
        <f t="shared" ca="1" si="59"/>
        <v>91592</v>
      </c>
    </row>
    <row r="143" spans="2:11">
      <c r="B143" s="503">
        <v>4</v>
      </c>
      <c r="C143" s="505" t="s">
        <v>118</v>
      </c>
      <c r="D143" s="358" t="str">
        <f ca="1">IF(ISERROR(OFFSET('HARGA SATUAN'!$D$6,MATCH(RAB!C143,'HARGA SATUAN'!$C$7:$C$1492,0),0)),"",OFFSET('HARGA SATUAN'!$D$6,MATCH(RAB!C143,'HARGA SATUAN'!$C$7:$C$1492,0),0))</f>
        <v>HDW</v>
      </c>
      <c r="E143" s="359" t="str">
        <f ca="1">IF(B143="+","Unit",IF(ISERROR(OFFSET('HARGA SATUAN'!$E$6,MATCH(RAB!C143,'HARGA SATUAN'!$C$7:$C$1492,0),0)),"",OFFSET('HARGA SATUAN'!$E$6,MATCH(RAB!C143,'HARGA SATUAN'!$C$7:$C$1492,0),0)))</f>
        <v>Set</v>
      </c>
      <c r="F143" s="506">
        <f>F139*1</f>
        <v>2</v>
      </c>
      <c r="G143" s="360">
        <f ca="1">IF(ISERROR(OFFSET('HARGA SATUAN'!$I$6,MATCH(RAB!C143,'HARGA SATUAN'!$C$7:$C$1492,0),0)),0,OFFSET('HARGA SATUAN'!$I$6,MATCH(RAB!C143,'HARGA SATUAN'!$C$7:$C$1492,0),0))</f>
        <v>5300</v>
      </c>
      <c r="H143" s="361">
        <f t="shared" ca="1" si="56"/>
        <v>0</v>
      </c>
      <c r="I143" s="361">
        <f t="shared" ca="1" si="57"/>
        <v>10600</v>
      </c>
      <c r="J143" s="361">
        <f t="shared" ca="1" si="58"/>
        <v>0</v>
      </c>
      <c r="K143" s="362">
        <f t="shared" ca="1" si="59"/>
        <v>10600</v>
      </c>
    </row>
    <row r="144" spans="2:11">
      <c r="B144" s="503">
        <v>5</v>
      </c>
      <c r="C144" s="505" t="s">
        <v>117</v>
      </c>
      <c r="D144" s="358" t="str">
        <f ca="1">IF(ISERROR(OFFSET('HARGA SATUAN'!$D$6,MATCH(RAB!C144,'HARGA SATUAN'!$C$7:$C$1492,0),0)),"",OFFSET('HARGA SATUAN'!$D$6,MATCH(RAB!C144,'HARGA SATUAN'!$C$7:$C$1492,0),0))</f>
        <v>HDW</v>
      </c>
      <c r="E144" s="359" t="str">
        <f ca="1">IF(B144="+","Unit",IF(ISERROR(OFFSET('HARGA SATUAN'!$E$6,MATCH(RAB!C144,'HARGA SATUAN'!$C$7:$C$1492,0),0)),"",OFFSET('HARGA SATUAN'!$E$6,MATCH(RAB!C144,'HARGA SATUAN'!$C$7:$C$1492,0),0)))</f>
        <v>Bh</v>
      </c>
      <c r="F144" s="506">
        <f>F139*1</f>
        <v>2</v>
      </c>
      <c r="G144" s="360">
        <f ca="1">IF(ISERROR(OFFSET('HARGA SATUAN'!$I$6,MATCH(RAB!C144,'HARGA SATUAN'!$C$7:$C$1492,0),0)),0,OFFSET('HARGA SATUAN'!$I$6,MATCH(RAB!C144,'HARGA SATUAN'!$C$7:$C$1492,0),0))</f>
        <v>58600</v>
      </c>
      <c r="H144" s="361">
        <f t="shared" ca="1" si="56"/>
        <v>0</v>
      </c>
      <c r="I144" s="361">
        <f t="shared" ca="1" si="57"/>
        <v>117200</v>
      </c>
      <c r="J144" s="361">
        <f t="shared" ca="1" si="58"/>
        <v>0</v>
      </c>
      <c r="K144" s="362">
        <f t="shared" ca="1" si="59"/>
        <v>117200</v>
      </c>
    </row>
    <row r="145" spans="2:13">
      <c r="B145" s="503">
        <v>6</v>
      </c>
      <c r="C145" s="109" t="s">
        <v>1154</v>
      </c>
      <c r="D145" s="358" t="str">
        <f ca="1">IF(ISERROR(OFFSET('HARGA SATUAN'!$D$6,MATCH(RAB!C145,'HARGA SATUAN'!$C$7:$C$1492,0),0)),"",OFFSET('HARGA SATUAN'!$D$6,MATCH(RAB!C145,'HARGA SATUAN'!$C$7:$C$1492,0),0))</f>
        <v>HDW</v>
      </c>
      <c r="E145" s="359" t="str">
        <f ca="1">IF(B145="+","Unit",IF(ISERROR(OFFSET('HARGA SATUAN'!$E$6,MATCH(RAB!C145,'HARGA SATUAN'!$C$7:$C$1492,0),0)),"",OFFSET('HARGA SATUAN'!$E$6,MATCH(RAB!C145,'HARGA SATUAN'!$C$7:$C$1492,0),0)))</f>
        <v>Set</v>
      </c>
      <c r="F145" s="506">
        <f>F139*1</f>
        <v>2</v>
      </c>
      <c r="G145" s="360">
        <f ca="1">IF(ISERROR(OFFSET('HARGA SATUAN'!$I$6,MATCH(RAB!C145,'HARGA SATUAN'!$C$7:$C$1492,0),0)),0,OFFSET('HARGA SATUAN'!$I$6,MATCH(RAB!C145,'HARGA SATUAN'!$C$7:$C$1492,0),0))</f>
        <v>3888</v>
      </c>
      <c r="H145" s="361">
        <f t="shared" ca="1" si="56"/>
        <v>0</v>
      </c>
      <c r="I145" s="361">
        <f t="shared" ca="1" si="57"/>
        <v>7776</v>
      </c>
      <c r="J145" s="361">
        <f t="shared" ca="1" si="58"/>
        <v>0</v>
      </c>
      <c r="K145" s="362">
        <f t="shared" ca="1" si="59"/>
        <v>7776</v>
      </c>
    </row>
    <row r="146" spans="2:13">
      <c r="B146" s="503">
        <v>7</v>
      </c>
      <c r="C146" s="505" t="s">
        <v>119</v>
      </c>
      <c r="D146" s="358" t="str">
        <f ca="1">IF(ISERROR(OFFSET('HARGA SATUAN'!$D$6,MATCH(RAB!C146,'HARGA SATUAN'!$C$7:$C$1492,0),0)),"",OFFSET('HARGA SATUAN'!$D$6,MATCH(RAB!C146,'HARGA SATUAN'!$C$7:$C$1492,0),0))</f>
        <v>HDW</v>
      </c>
      <c r="E146" s="359" t="str">
        <f ca="1">IF(B146="+","Unit",IF(ISERROR(OFFSET('HARGA SATUAN'!$E$6,MATCH(RAB!C146,'HARGA SATUAN'!$C$7:$C$1492,0),0)),"",OFFSET('HARGA SATUAN'!$E$6,MATCH(RAB!C146,'HARGA SATUAN'!$C$7:$C$1492,0),0)))</f>
        <v>Set</v>
      </c>
      <c r="F146" s="506">
        <f>F139*2</f>
        <v>4</v>
      </c>
      <c r="G146" s="360">
        <f ca="1">IF(ISERROR(OFFSET('HARGA SATUAN'!$I$6,MATCH(RAB!C146,'HARGA SATUAN'!$C$7:$C$1492,0),0)),0,OFFSET('HARGA SATUAN'!$I$6,MATCH(RAB!C146,'HARGA SATUAN'!$C$7:$C$1492,0),0))</f>
        <v>8900</v>
      </c>
      <c r="H146" s="361">
        <f t="shared" ca="1" si="56"/>
        <v>0</v>
      </c>
      <c r="I146" s="361">
        <f t="shared" ca="1" si="57"/>
        <v>35600</v>
      </c>
      <c r="J146" s="361">
        <f t="shared" ca="1" si="58"/>
        <v>0</v>
      </c>
      <c r="K146" s="362">
        <f t="shared" ca="1" si="59"/>
        <v>35600</v>
      </c>
    </row>
    <row r="147" spans="2:13">
      <c r="B147" s="373"/>
      <c r="C147" s="502"/>
      <c r="D147" s="358" t="str">
        <f ca="1">IF(ISERROR(OFFSET('HARGA SATUAN'!$D$6,MATCH(RAB!C147,'HARGA SATUAN'!$C$7:$C$1492,0),0)),"",OFFSET('HARGA SATUAN'!$D$6,MATCH(RAB!C147,'HARGA SATUAN'!$C$7:$C$1492,0),0))</f>
        <v/>
      </c>
      <c r="E147" s="359" t="str">
        <f ca="1">IF(B147="+","Unit",IF(ISERROR(OFFSET('HARGA SATUAN'!$E$6,MATCH(RAB!C147,'HARGA SATUAN'!$C$7:$C$1492,0),0)),"",OFFSET('HARGA SATUAN'!$E$6,MATCH(RAB!C147,'HARGA SATUAN'!$C$7:$C$1492,0),0)))</f>
        <v/>
      </c>
      <c r="F147" s="368"/>
      <c r="G147" s="360">
        <f ca="1">IF(ISERROR(OFFSET('HARGA SATUAN'!$I$6,MATCH(RAB!C147,'HARGA SATUAN'!$C$7:$C$1492,0),0)),0,OFFSET('HARGA SATUAN'!$I$6,MATCH(RAB!C147,'HARGA SATUAN'!$C$7:$C$1492,0),0))</f>
        <v>0</v>
      </c>
      <c r="H147" s="361">
        <f t="shared" ca="1" si="56"/>
        <v>0</v>
      </c>
      <c r="I147" s="361">
        <f t="shared" ca="1" si="57"/>
        <v>0</v>
      </c>
      <c r="J147" s="361">
        <f t="shared" ca="1" si="58"/>
        <v>0</v>
      </c>
      <c r="K147" s="362">
        <f t="shared" ca="1" si="59"/>
        <v>0</v>
      </c>
    </row>
    <row r="148" spans="2:13">
      <c r="B148" s="366" t="s">
        <v>22</v>
      </c>
      <c r="C148" s="367" t="s">
        <v>1631</v>
      </c>
      <c r="D148" s="358" t="str">
        <f ca="1">IF(ISERROR(OFFSET('HARGA SATUAN'!$D$6,MATCH(RAB!C148,'HARGA SATUAN'!$C$7:$C$1492,0),0)),"",OFFSET('HARGA SATUAN'!$D$6,MATCH(RAB!C148,'HARGA SATUAN'!$C$7:$C$1492,0),0))</f>
        <v/>
      </c>
      <c r="E148" s="359" t="str">
        <f ca="1">IF(B148="+","Unit",IF(ISERROR(OFFSET('HARGA SATUAN'!$E$6,MATCH(RAB!C148,'HARGA SATUAN'!$C$7:$C$1492,0),0)),"",OFFSET('HARGA SATUAN'!$E$6,MATCH(RAB!C148,'HARGA SATUAN'!$C$7:$C$1492,0),0)))</f>
        <v/>
      </c>
      <c r="F148" s="368"/>
      <c r="G148" s="360">
        <f ca="1">IF(ISERROR(OFFSET('HARGA SATUAN'!$I$6,MATCH(RAB!C148,'HARGA SATUAN'!$C$7:$C$1492,0),0)),0,OFFSET('HARGA SATUAN'!$I$6,MATCH(RAB!C148,'HARGA SATUAN'!$C$7:$C$1492,0),0))</f>
        <v>0</v>
      </c>
      <c r="H148" s="361">
        <f t="shared" ca="1" si="56"/>
        <v>0</v>
      </c>
      <c r="I148" s="361">
        <f t="shared" ca="1" si="57"/>
        <v>0</v>
      </c>
      <c r="J148" s="361">
        <f t="shared" ca="1" si="58"/>
        <v>0</v>
      </c>
      <c r="K148" s="362">
        <f t="shared" ca="1" si="59"/>
        <v>0</v>
      </c>
    </row>
    <row r="149" spans="2:13">
      <c r="B149" s="373"/>
      <c r="C149" s="372"/>
      <c r="D149" s="358" t="str">
        <f ca="1">IF(ISERROR(OFFSET('HARGA SATUAN'!$D$6,MATCH(RAB!C149,'HARGA SATUAN'!$C$7:$C$1492,0),0)),"",OFFSET('HARGA SATUAN'!$D$6,MATCH(RAB!C149,'HARGA SATUAN'!$C$7:$C$1492,0),0))</f>
        <v/>
      </c>
      <c r="E149" s="359" t="str">
        <f ca="1">IF(B149="+","Unit",IF(ISERROR(OFFSET('HARGA SATUAN'!$E$6,MATCH(RAB!C149,'HARGA SATUAN'!$C$7:$C$1492,0),0)),"",OFFSET('HARGA SATUAN'!$E$6,MATCH(RAB!C149,'HARGA SATUAN'!$C$7:$C$1492,0),0)))</f>
        <v/>
      </c>
      <c r="F149" s="368"/>
      <c r="G149" s="360">
        <f ca="1">IF(ISERROR(OFFSET('HARGA SATUAN'!$I$6,MATCH(RAB!C149,'HARGA SATUAN'!$C$7:$C$1492,0),0)),0,OFFSET('HARGA SATUAN'!$I$6,MATCH(RAB!C149,'HARGA SATUAN'!$C$7:$C$1492,0),0))</f>
        <v>0</v>
      </c>
      <c r="H149" s="361">
        <f t="shared" ca="1" si="56"/>
        <v>0</v>
      </c>
      <c r="I149" s="361">
        <f t="shared" ca="1" si="57"/>
        <v>0</v>
      </c>
      <c r="J149" s="361">
        <f t="shared" ca="1" si="58"/>
        <v>0</v>
      </c>
      <c r="K149" s="362">
        <f t="shared" ca="1" si="59"/>
        <v>0</v>
      </c>
    </row>
    <row r="150" spans="2:13">
      <c r="B150" s="374"/>
      <c r="C150" s="375" t="s">
        <v>475</v>
      </c>
      <c r="D150" s="358" t="str">
        <f ca="1">IF(ISERROR(OFFSET('HARGA SATUAN'!$D$6,MATCH(RAB!C150,'HARGA SATUAN'!$C$7:$C$1492,0),0)),"",OFFSET('HARGA SATUAN'!$D$6,MATCH(RAB!C150,'HARGA SATUAN'!$C$7:$C$1492,0),0))</f>
        <v/>
      </c>
      <c r="E150" s="359" t="str">
        <f ca="1">IF(B150="+","Unit",IF(ISERROR(OFFSET('HARGA SATUAN'!$E$6,MATCH(RAB!C150,'HARGA SATUAN'!$C$7:$C$1492,0),0)),"",OFFSET('HARGA SATUAN'!$E$6,MATCH(RAB!C150,'HARGA SATUAN'!$C$7:$C$1492,0),0)))</f>
        <v/>
      </c>
      <c r="F150" s="368"/>
      <c r="G150" s="360">
        <f ca="1">IF(ISERROR(OFFSET('HARGA SATUAN'!$I$6,MATCH(RAB!C150,'HARGA SATUAN'!$C$7:$C$1492,0),0)),0,OFFSET('HARGA SATUAN'!$I$6,MATCH(RAB!C150,'HARGA SATUAN'!$C$7:$C$1492,0),0))</f>
        <v>0</v>
      </c>
      <c r="H150" s="361">
        <f t="shared" ca="1" si="56"/>
        <v>0</v>
      </c>
      <c r="I150" s="361">
        <f t="shared" ca="1" si="57"/>
        <v>0</v>
      </c>
      <c r="J150" s="361">
        <f t="shared" ca="1" si="58"/>
        <v>0</v>
      </c>
      <c r="K150" s="362">
        <f t="shared" ca="1" si="59"/>
        <v>0</v>
      </c>
    </row>
    <row r="151" spans="2:13">
      <c r="B151" s="377">
        <v>1</v>
      </c>
      <c r="C151" s="378" t="s">
        <v>1091</v>
      </c>
      <c r="D151" s="379" t="str">
        <f ca="1">IF(ISERROR(OFFSET('HARGA SATUAN'!$D$6,MATCH(RAB!C151,'HARGA SATUAN'!$C$7:$C$1492,0),0)),"",OFFSET('HARGA SATUAN'!$D$6,MATCH(RAB!C151,'HARGA SATUAN'!$C$7:$C$1492,0),0))</f>
        <v>JASA</v>
      </c>
      <c r="E151" s="380" t="str">
        <f ca="1">IF(ISERROR(OFFSET('HARGA SATUAN'!$E$6,MATCH(RAB!C151,'HARGA SATUAN'!$C$7:$C$1492,0),0)),"",OFFSET('HARGA SATUAN'!$E$6,MATCH(RAB!C151,'HARGA SATUAN'!$C$7:$C$1492,0),0))</f>
        <v>Lot</v>
      </c>
      <c r="F151" s="381">
        <v>1</v>
      </c>
      <c r="G151" s="382">
        <f ca="1">IF(ISERROR(OFFSET('HARGA SATUAN'!$I$6,MATCH(RAB!C151,'HARGA SATUAN'!$C$7:$C$1492,0),0)),0,OFFSET('HARGA SATUAN'!$I$6,MATCH(RAB!C151,'HARGA SATUAN'!$C$7:$C$1492,0),0))</f>
        <v>2.5000000000000001E-2</v>
      </c>
      <c r="H151" s="383"/>
      <c r="I151" s="383"/>
      <c r="J151" s="383">
        <f ca="1">SUM(K15:K17)*G151</f>
        <v>0</v>
      </c>
      <c r="K151" s="384">
        <f ca="1">SUM(H151:J151)</f>
        <v>0</v>
      </c>
    </row>
    <row r="152" spans="2:13">
      <c r="B152" s="385"/>
      <c r="C152" s="386"/>
      <c r="D152" s="358" t="str">
        <f ca="1">IF(ISERROR(OFFSET('HARGA SATUAN'!$D$6,MATCH(RAB!C152,'HARGA SATUAN'!$C$7:$C$1492,0),0)),"",OFFSET('HARGA SATUAN'!$D$6,MATCH(RAB!C152,'HARGA SATUAN'!$C$7:$C$1492,0),0))</f>
        <v/>
      </c>
      <c r="E152" s="359" t="str">
        <f ca="1">IF(ISERROR(OFFSET('HARGA SATUAN'!$E$6,MATCH(RAB!C152,'HARGA SATUAN'!$C$7:$C$1492,0),0)),"",OFFSET('HARGA SATUAN'!$E$6,MATCH(RAB!C152,'HARGA SATUAN'!$C$7:$C$1492,0),0))</f>
        <v/>
      </c>
      <c r="F152" s="376"/>
      <c r="G152" s="360" t="str">
        <f ca="1">IF(ISERROR(OFFSET('HARGA SATUAN'!$I$6,MATCH(RAB!C152,'HARGA SATUAN'!$C$7:$C$1492,0),0)),"",OFFSET('HARGA SATUAN'!$I$6,MATCH(RAB!C152,'HARGA SATUAN'!$C$7:$C$1492,0),0))</f>
        <v/>
      </c>
      <c r="H152" s="361">
        <f ca="1">IF(OR(D152="MDU",D152="MDU-KD"),IF(G152="PLN",0,G152*F152),0)</f>
        <v>0</v>
      </c>
      <c r="I152" s="361">
        <f ca="1">IF(D152="HDW",IF(G152="PLN",0,G152*F152),0)</f>
        <v>0</v>
      </c>
      <c r="J152" s="361">
        <f ca="1">IF(D152="JASA",IF(G152="PLN",0,G152*F152),0)</f>
        <v>0</v>
      </c>
      <c r="K152" s="362">
        <f ca="1">SUM(H152:J152)</f>
        <v>0</v>
      </c>
    </row>
    <row r="153" spans="2:13" ht="15.75" thickBot="1">
      <c r="B153" s="387"/>
      <c r="C153" s="388"/>
      <c r="D153" s="389"/>
      <c r="E153" s="390"/>
      <c r="F153" s="390"/>
      <c r="G153" s="390"/>
      <c r="H153" s="391"/>
      <c r="I153" s="391"/>
      <c r="J153" s="391"/>
      <c r="K153" s="392"/>
    </row>
    <row r="154" spans="2:13">
      <c r="B154" s="393"/>
      <c r="C154" s="621" t="s">
        <v>1008</v>
      </c>
      <c r="D154" s="621"/>
      <c r="E154" s="621"/>
      <c r="F154" s="621"/>
      <c r="G154" s="394" t="s">
        <v>9</v>
      </c>
      <c r="H154" s="395">
        <f ca="1">SUM(H14:H152)</f>
        <v>36232450</v>
      </c>
      <c r="I154" s="395">
        <f ca="1">SUM(I14:I152)</f>
        <v>6484346.4666666668</v>
      </c>
      <c r="J154" s="395">
        <f ca="1">SUM(J14:J152)</f>
        <v>1516320</v>
      </c>
      <c r="K154" s="395">
        <f ca="1">SUM(K14:K152)</f>
        <v>44233116.466666669</v>
      </c>
    </row>
    <row r="155" spans="2:13">
      <c r="B155" s="397"/>
      <c r="C155" s="637" t="s">
        <v>1457</v>
      </c>
      <c r="D155" s="637"/>
      <c r="E155" s="637"/>
      <c r="F155" s="637"/>
      <c r="G155" s="398" t="s">
        <v>9</v>
      </c>
      <c r="H155" s="399">
        <f ca="1">H154*0.11</f>
        <v>3985569.5</v>
      </c>
      <c r="I155" s="399">
        <f ca="1">I154*0.11</f>
        <v>713278.11133333331</v>
      </c>
      <c r="J155" s="399">
        <f ca="1">J154*0.11</f>
        <v>166795.20000000001</v>
      </c>
      <c r="K155" s="399">
        <f ca="1">K154*0.11</f>
        <v>4865642.8113333331</v>
      </c>
    </row>
    <row r="156" spans="2:13" ht="15.75" thickBot="1">
      <c r="B156" s="397"/>
      <c r="C156" s="635" t="s">
        <v>463</v>
      </c>
      <c r="D156" s="635"/>
      <c r="E156" s="635"/>
      <c r="F156" s="635"/>
      <c r="G156" s="400" t="s">
        <v>9</v>
      </c>
      <c r="H156" s="401">
        <f ca="1">SUM(H154:H155)</f>
        <v>40218019.5</v>
      </c>
      <c r="I156" s="401">
        <f ca="1">SUM(I154:I155)</f>
        <v>7197624.5779999997</v>
      </c>
      <c r="J156" s="400">
        <f ca="1">SUM(J154:J155)</f>
        <v>1683115.2</v>
      </c>
      <c r="K156" s="400">
        <f ca="1">SUM(K154:K155)</f>
        <v>49098759.278000005</v>
      </c>
      <c r="M156" s="482"/>
    </row>
    <row r="157" spans="2:13">
      <c r="B157" s="638" t="str">
        <f ca="1">"Terbilang : "&amp;PROPER(IF(K156=0,"nol",IF(K156&lt;0,"minus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IF(--MID(TEXT(ABS(K156),"000000000000000"),1,3)=0,"",MID(TEXT(ABS(K156),"000000000000000"),1,1)&amp;" ratus "&amp;MID(TEXT(ABS(K156),"000000000000000"),2,1)&amp;" puluh "&amp;MID(TEXT(ABS(K156),"000000000000000"),3,1)&amp;" trilyun ")&amp; IF(--MID(TEXT(ABS(K156),"000000000000000"),4,3)=0,"",MID(TEXT(ABS(K156),"000000000000000"),4,1)&amp;" ratus "&amp;MID(TEXT(ABS(K156),"000000000000000"),5,1)&amp;" puluh "&amp;MID(TEXT(ABS(K156),"000000000000000"),6,1)&amp;" milyar ")&amp; IF(--MID(TEXT(ABS(K156),"000000000000000"),7,3)=0,"",MID(TEXT(ABS(K156),"000000000000000"),7,1)&amp;" ratus "&amp;MID(TEXT(ABS(K156),"000000000000000"),8,1)&amp;" puluh "&amp;MID(TEXT(ABS(K156),"000000000000000"),9,1)&amp;" juta ")&amp; IF(--MID(TEXT(ABS(K156),"000000000000000"),10,3)=0,"",IF(--MID(TEXT(ABS(K156),"000000000000000"),10,3)=1,"*",MID(TEXT(ABS(K156),"000000000000000"),10,1)&amp;" ratus "&amp;MID(TEXT(ABS(K156),"000000000000000"),11,1)&amp;" puluh ")&amp;MID(TEXT(ABS(K156),"000000000000000"),12,1)&amp;" ribu ")&amp; IF(--MID(TEXT(ABS(K156),"000000000000000"),13,3)=0,"",MID(TEXT(ABS(K156),"000000000000000"),13,1)&amp;" ratus "&amp;MID(TEXT(ABS(K156),"000000000000000"),14,1)&amp;" puluh "&amp;MID(TEXT(ABS(K156),"000000000000000"),15,1)),1,"satu"),2,"dua"),3,"tiga"),4,"empat"),5,"lima"),6,"enam"),7,"tujuh"),8,"delapan"),9,"sembilan"),"0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Empat Puluh Sembilan Juta Sembilan Puluh Delapan Ribu Tujuh Ratus Lima Puluh Sembilan Rupiah</v>
      </c>
      <c r="C157" s="639"/>
      <c r="D157" s="639"/>
      <c r="E157" s="639"/>
      <c r="F157" s="639"/>
      <c r="G157" s="639"/>
      <c r="H157" s="639"/>
      <c r="I157" s="639"/>
      <c r="J157" s="639"/>
      <c r="K157" s="640"/>
    </row>
    <row r="158" spans="2:13">
      <c r="B158" s="641"/>
      <c r="C158" s="642"/>
      <c r="D158" s="642"/>
      <c r="E158" s="642"/>
      <c r="F158" s="642"/>
      <c r="G158" s="642"/>
      <c r="H158" s="642"/>
      <c r="I158" s="642"/>
      <c r="J158" s="642"/>
      <c r="K158" s="643"/>
    </row>
    <row r="159" spans="2:13" ht="15.75" thickBot="1">
      <c r="B159" s="402" t="str">
        <f>"Harga yang dipakai adalah "&amp;'HARGA SATUAN'!I5&amp;""</f>
        <v>Harga yang dipakai adalah RAB HSS 2023</v>
      </c>
      <c r="C159" s="403"/>
      <c r="D159" s="404"/>
      <c r="E159" s="404"/>
      <c r="F159" s="404"/>
      <c r="G159" s="405"/>
      <c r="H159" s="405"/>
      <c r="I159" s="405"/>
      <c r="J159" s="405"/>
      <c r="K159" s="406"/>
    </row>
    <row r="160" spans="2:13">
      <c r="C160" s="407"/>
      <c r="E160" s="409"/>
      <c r="F160" s="409"/>
      <c r="G160" s="409"/>
    </row>
    <row r="161" spans="3:11">
      <c r="C161" s="337"/>
      <c r="E161" s="409"/>
      <c r="F161" s="409"/>
      <c r="G161" s="409"/>
      <c r="H161" s="644"/>
      <c r="I161" s="644"/>
      <c r="J161" s="645"/>
      <c r="K161" s="645"/>
    </row>
    <row r="162" spans="3:11">
      <c r="C162" s="337"/>
      <c r="E162" s="409"/>
      <c r="F162" s="409"/>
      <c r="G162" s="409"/>
      <c r="H162" s="410"/>
      <c r="I162" s="634" t="s">
        <v>1610</v>
      </c>
      <c r="J162" s="634"/>
      <c r="K162" s="634"/>
    </row>
    <row r="163" spans="3:11">
      <c r="C163" s="337"/>
      <c r="E163" s="409"/>
      <c r="F163" s="409"/>
      <c r="G163" s="409"/>
      <c r="H163" s="410"/>
      <c r="I163" s="634" t="s">
        <v>1546</v>
      </c>
      <c r="J163" s="634"/>
      <c r="K163" s="634"/>
    </row>
    <row r="164" spans="3:11">
      <c r="C164" s="337"/>
      <c r="E164" s="409"/>
      <c r="F164" s="409"/>
      <c r="G164" s="409"/>
      <c r="H164" s="411"/>
      <c r="I164" s="412"/>
      <c r="J164" s="412"/>
      <c r="K164" s="412"/>
    </row>
    <row r="165" spans="3:11">
      <c r="C165" s="337"/>
      <c r="E165" s="409"/>
      <c r="F165" s="409"/>
      <c r="G165" s="409"/>
      <c r="H165" s="411"/>
      <c r="I165" s="411"/>
      <c r="J165" s="411"/>
      <c r="K165" s="411"/>
    </row>
    <row r="166" spans="3:11">
      <c r="C166" s="337"/>
      <c r="E166" s="409"/>
      <c r="F166" s="409"/>
      <c r="G166" s="409"/>
      <c r="H166" s="411"/>
      <c r="I166" s="411"/>
      <c r="J166" s="411"/>
      <c r="K166" s="411"/>
    </row>
    <row r="167" spans="3:11">
      <c r="C167" s="337"/>
      <c r="E167" s="409"/>
      <c r="F167" s="409"/>
      <c r="G167" s="409"/>
      <c r="H167" s="411"/>
      <c r="I167" s="411"/>
      <c r="J167" s="411"/>
      <c r="K167" s="411"/>
    </row>
    <row r="168" spans="3:11">
      <c r="C168" s="337"/>
      <c r="E168" s="409"/>
      <c r="F168" s="409"/>
      <c r="G168" s="409"/>
      <c r="H168" s="413"/>
      <c r="I168" s="634" t="s">
        <v>1547</v>
      </c>
      <c r="J168" s="634"/>
      <c r="K168" s="634"/>
    </row>
    <row r="169" spans="3:11">
      <c r="C169" s="407"/>
      <c r="E169" s="409"/>
      <c r="F169" s="409"/>
      <c r="G169" s="409"/>
      <c r="H169" s="411"/>
      <c r="I169" s="411"/>
      <c r="J169" s="411"/>
      <c r="K169" s="411"/>
    </row>
    <row r="170" spans="3:11">
      <c r="C170" s="407"/>
      <c r="E170" s="409"/>
      <c r="F170" s="409"/>
      <c r="G170" s="409"/>
      <c r="H170" s="411"/>
      <c r="I170" s="411"/>
      <c r="J170" s="411"/>
      <c r="K170" s="411"/>
    </row>
    <row r="171" spans="3:11">
      <c r="C171" s="407"/>
      <c r="E171" s="409"/>
      <c r="F171" s="409"/>
      <c r="G171" s="409"/>
      <c r="H171" s="411"/>
      <c r="I171" s="411"/>
      <c r="J171" s="411"/>
      <c r="K171" s="411"/>
    </row>
  </sheetData>
  <sheetProtection sort="0" autoFilter="0"/>
  <protectedRanges>
    <protectedRange sqref="B132:B147 B149" name="Range1_1"/>
    <protectedRange sqref="F123 F14:F112 F130:F150" name="Range1_1_2_2"/>
    <protectedRange sqref="C132:C135 C137:C147 C149" name="Range1_1_1"/>
    <protectedRange sqref="B98:C102 B104:C107 B103 B109:C112 B108 B123:C123 B130:C131" name="Range1_6_2"/>
    <protectedRange sqref="C136" name="Range1_1_3_13"/>
    <protectedRange sqref="C103" name="Range1_1_3_2"/>
    <protectedRange sqref="C108" name="Range1_1_3_3"/>
    <protectedRange sqref="C29" name="Range1_1_3_4"/>
    <protectedRange sqref="C37 C20 C45 C57" name="Range1_1_3_5"/>
    <protectedRange sqref="C16" name="Range1_1_3_16"/>
    <protectedRange sqref="C93" name="Range1_1_3_17"/>
    <protectedRange sqref="C94" name="Range1_1_3_19"/>
    <protectedRange sqref="C34" name="Range1_1_3"/>
  </protectedRanges>
  <mergeCells count="22">
    <mergeCell ref="I163:K163"/>
    <mergeCell ref="I168:K168"/>
    <mergeCell ref="C156:F156"/>
    <mergeCell ref="G6:K6"/>
    <mergeCell ref="I162:K162"/>
    <mergeCell ref="C155:F155"/>
    <mergeCell ref="B157:K158"/>
    <mergeCell ref="H161:K161"/>
    <mergeCell ref="H11:K11"/>
    <mergeCell ref="H12:H13"/>
    <mergeCell ref="J12:J13"/>
    <mergeCell ref="K12:K13"/>
    <mergeCell ref="O3:P4"/>
    <mergeCell ref="B4:K4"/>
    <mergeCell ref="C154:F154"/>
    <mergeCell ref="B11:B13"/>
    <mergeCell ref="C11:C13"/>
    <mergeCell ref="D11:D13"/>
    <mergeCell ref="E11:E13"/>
    <mergeCell ref="F11:F13"/>
    <mergeCell ref="G11:G13"/>
    <mergeCell ref="I12:I13"/>
  </mergeCells>
  <phoneticPr fontId="139" type="noConversion"/>
  <conditionalFormatting sqref="C15:C17">
    <cfRule type="cellIs" dxfId="20" priority="9" operator="equal">
      <formula>0</formula>
    </cfRule>
  </conditionalFormatting>
  <conditionalFormatting sqref="C20">
    <cfRule type="cellIs" dxfId="19" priority="4" operator="equal">
      <formula>0</formula>
    </cfRule>
  </conditionalFormatting>
  <conditionalFormatting sqref="C29">
    <cfRule type="cellIs" dxfId="18" priority="19" operator="equal">
      <formula>0</formula>
    </cfRule>
  </conditionalFormatting>
  <conditionalFormatting sqref="C34">
    <cfRule type="cellIs" dxfId="17" priority="3" operator="equal">
      <formula>0</formula>
    </cfRule>
  </conditionalFormatting>
  <conditionalFormatting sqref="C37">
    <cfRule type="cellIs" dxfId="16" priority="18" operator="equal">
      <formula>0</formula>
    </cfRule>
  </conditionalFormatting>
  <conditionalFormatting sqref="C45">
    <cfRule type="cellIs" dxfId="15" priority="2" operator="equal">
      <formula>0</formula>
    </cfRule>
  </conditionalFormatting>
  <conditionalFormatting sqref="C93">
    <cfRule type="cellIs" dxfId="14" priority="7" operator="equal">
      <formula>0</formula>
    </cfRule>
  </conditionalFormatting>
  <conditionalFormatting sqref="C94">
    <cfRule type="cellIs" dxfId="13" priority="5" operator="equal">
      <formula>0</formula>
    </cfRule>
  </conditionalFormatting>
  <conditionalFormatting sqref="C97">
    <cfRule type="cellIs" dxfId="12" priority="151" operator="equal">
      <formula>0</formula>
    </cfRule>
  </conditionalFormatting>
  <conditionalFormatting sqref="C103">
    <cfRule type="cellIs" dxfId="11" priority="28" operator="equal">
      <formula>0</formula>
    </cfRule>
  </conditionalFormatting>
  <conditionalFormatting sqref="C108">
    <cfRule type="cellIs" dxfId="10" priority="27" operator="equal">
      <formula>0</formula>
    </cfRule>
  </conditionalFormatting>
  <conditionalFormatting sqref="C126">
    <cfRule type="cellIs" dxfId="9" priority="24" operator="equal">
      <formula>0</formula>
    </cfRule>
  </conditionalFormatting>
  <conditionalFormatting sqref="C128">
    <cfRule type="cellIs" dxfId="8" priority="25" operator="equal">
      <formula>0</formula>
    </cfRule>
  </conditionalFormatting>
  <conditionalFormatting sqref="C134">
    <cfRule type="cellIs" dxfId="7" priority="21" operator="equal">
      <formula>0</formula>
    </cfRule>
  </conditionalFormatting>
  <conditionalFormatting sqref="C145">
    <cfRule type="cellIs" dxfId="6" priority="42" operator="equal">
      <formula>0</formula>
    </cfRule>
  </conditionalFormatting>
  <conditionalFormatting sqref="C148">
    <cfRule type="cellIs" dxfId="5" priority="12" operator="equal">
      <formula>0</formula>
    </cfRule>
  </conditionalFormatting>
  <conditionalFormatting sqref="E1:E3 G1:G13 E5:E13 H12:I12 O13 E151:G151 H151:K153 E152:H152 E153:F153 S14:V17 E14:K98 E112:K150">
    <cfRule type="cellIs" dxfId="4" priority="1106" stopIfTrue="1" operator="equal">
      <formula>0</formula>
    </cfRule>
  </conditionalFormatting>
  <conditionalFormatting sqref="E99:E111 G99:K111">
    <cfRule type="cellIs" dxfId="3" priority="33" stopIfTrue="1" operator="equal">
      <formula>0</formula>
    </cfRule>
  </conditionalFormatting>
  <conditionalFormatting sqref="F100:F111">
    <cfRule type="cellIs" dxfId="2" priority="29" stopIfTrue="1" operator="equal">
      <formula>0</formula>
    </cfRule>
  </conditionalFormatting>
  <conditionalFormatting sqref="G152:G65618 E157:E65618">
    <cfRule type="cellIs" dxfId="1" priority="240" stopIfTrue="1" operator="equal">
      <formula>0</formula>
    </cfRule>
  </conditionalFormatting>
  <conditionalFormatting sqref="C57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C101:C102 C109:C111 F100:F132 F18:F98 H14:K153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tabSelected="1" view="pageBreakPreview" zoomScaleNormal="115" zoomScaleSheetLayoutView="100" workbookViewId="0">
      <selection activeCell="O28" sqref="O28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50" t="s">
        <v>1439</v>
      </c>
      <c r="X2" s="651"/>
      <c r="Y2" s="651"/>
      <c r="Z2" s="651"/>
      <c r="AA2" s="651"/>
      <c r="AB2" s="651"/>
      <c r="AC2" s="651"/>
      <c r="AD2" s="652"/>
    </row>
    <row r="3" spans="3:30">
      <c r="C3" s="238"/>
      <c r="W3" s="653"/>
      <c r="X3" s="654"/>
      <c r="Y3" s="654"/>
      <c r="Z3" s="654"/>
      <c r="AA3" s="654"/>
      <c r="AB3" s="654"/>
      <c r="AC3" s="654"/>
      <c r="AD3" s="655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48" t="s">
        <v>990</v>
      </c>
      <c r="Y5" s="648"/>
      <c r="Z5" s="648"/>
      <c r="AA5" s="648" t="s">
        <v>988</v>
      </c>
      <c r="AB5" s="648"/>
      <c r="AC5" s="648" t="s">
        <v>989</v>
      </c>
      <c r="AD5" s="649"/>
    </row>
    <row r="6" spans="3:30">
      <c r="C6" s="238"/>
      <c r="W6" s="241">
        <v>1</v>
      </c>
      <c r="X6" s="648" t="s">
        <v>993</v>
      </c>
      <c r="Y6" s="648"/>
      <c r="Z6" s="648"/>
      <c r="AA6" s="648"/>
      <c r="AB6" s="648"/>
      <c r="AC6" s="648"/>
      <c r="AD6" s="649"/>
    </row>
    <row r="7" spans="3:30">
      <c r="C7" s="238"/>
      <c r="E7" s="488" t="str">
        <f>PETA!C6</f>
        <v>KOORDINAT :-6.7732746, 110.6172004</v>
      </c>
      <c r="W7" s="241">
        <v>2</v>
      </c>
      <c r="X7" s="648" t="s">
        <v>994</v>
      </c>
      <c r="Y7" s="648"/>
      <c r="Z7" s="648"/>
      <c r="AA7" s="648"/>
      <c r="AB7" s="648"/>
      <c r="AC7" s="648"/>
      <c r="AD7" s="649"/>
    </row>
    <row r="8" spans="3:30">
      <c r="C8" s="238"/>
      <c r="W8" s="241">
        <v>3</v>
      </c>
      <c r="X8" s="648" t="s">
        <v>995</v>
      </c>
      <c r="Y8" s="648"/>
      <c r="Z8" s="648"/>
      <c r="AA8" s="648"/>
      <c r="AB8" s="648"/>
      <c r="AC8" s="648"/>
      <c r="AD8" s="649"/>
    </row>
    <row r="9" spans="3:30">
      <c r="C9" s="238"/>
      <c r="W9" s="241">
        <v>4</v>
      </c>
      <c r="X9" s="648" t="s">
        <v>996</v>
      </c>
      <c r="Y9" s="648"/>
      <c r="Z9" s="648"/>
      <c r="AA9" s="648"/>
      <c r="AB9" s="648"/>
      <c r="AC9" s="648"/>
      <c r="AD9" s="649"/>
    </row>
    <row r="10" spans="3:30">
      <c r="C10" s="238"/>
      <c r="W10" s="241">
        <v>5</v>
      </c>
      <c r="X10" s="648" t="s">
        <v>997</v>
      </c>
      <c r="Y10" s="648"/>
      <c r="Z10" s="648"/>
      <c r="AA10" s="648"/>
      <c r="AB10" s="648"/>
      <c r="AC10" s="648"/>
      <c r="AD10" s="649"/>
    </row>
    <row r="11" spans="3:30">
      <c r="C11" s="238"/>
      <c r="W11" s="241">
        <v>6</v>
      </c>
      <c r="X11" s="648" t="s">
        <v>998</v>
      </c>
      <c r="Y11" s="648"/>
      <c r="Z11" s="648"/>
      <c r="AA11" s="648"/>
      <c r="AB11" s="648"/>
      <c r="AC11" s="648"/>
      <c r="AD11" s="649"/>
    </row>
    <row r="12" spans="3:30">
      <c r="C12" s="238"/>
      <c r="W12" s="241">
        <v>7</v>
      </c>
      <c r="X12" s="648" t="s">
        <v>999</v>
      </c>
      <c r="Y12" s="648"/>
      <c r="Z12" s="648"/>
      <c r="AA12" s="648"/>
      <c r="AB12" s="648"/>
      <c r="AC12" s="648"/>
      <c r="AD12" s="649"/>
    </row>
    <row r="13" spans="3:30" ht="12.75" customHeight="1">
      <c r="C13" s="238"/>
      <c r="W13" s="241">
        <v>8</v>
      </c>
      <c r="X13" s="648" t="s">
        <v>1000</v>
      </c>
      <c r="Y13" s="648"/>
      <c r="Z13" s="648"/>
      <c r="AA13" s="648"/>
      <c r="AB13" s="648"/>
      <c r="AC13" s="648"/>
      <c r="AD13" s="649"/>
    </row>
    <row r="14" spans="3:30">
      <c r="C14" s="238"/>
      <c r="W14" s="241">
        <v>9</v>
      </c>
      <c r="X14" s="648" t="s">
        <v>1001</v>
      </c>
      <c r="Y14" s="648"/>
      <c r="Z14" s="648"/>
      <c r="AA14" s="648"/>
      <c r="AB14" s="648"/>
      <c r="AC14" s="648"/>
      <c r="AD14" s="649"/>
    </row>
    <row r="15" spans="3:30">
      <c r="C15" s="238"/>
      <c r="W15" s="241">
        <v>10</v>
      </c>
      <c r="X15" s="648" t="s">
        <v>1010</v>
      </c>
      <c r="Y15" s="648"/>
      <c r="Z15" s="648"/>
      <c r="AA15" s="648"/>
      <c r="AB15" s="648"/>
      <c r="AC15" s="648"/>
      <c r="AD15" s="649"/>
    </row>
    <row r="16" spans="3:30">
      <c r="C16" s="238"/>
      <c r="W16" s="241">
        <v>11</v>
      </c>
      <c r="X16" s="648" t="s">
        <v>1455</v>
      </c>
      <c r="Y16" s="648"/>
      <c r="Z16" s="648"/>
      <c r="AA16" s="648"/>
      <c r="AB16" s="648"/>
      <c r="AC16" s="648"/>
      <c r="AD16" s="649"/>
    </row>
    <row r="17" spans="3:30">
      <c r="C17" s="238"/>
      <c r="S17" s="242"/>
      <c r="W17" s="241">
        <v>12</v>
      </c>
      <c r="X17" s="648" t="s">
        <v>1011</v>
      </c>
      <c r="Y17" s="648"/>
      <c r="Z17" s="648"/>
      <c r="AA17" s="648"/>
      <c r="AB17" s="648"/>
      <c r="AC17" s="648"/>
      <c r="AD17" s="649"/>
    </row>
    <row r="18" spans="3:30">
      <c r="C18" s="243"/>
      <c r="D18" s="244"/>
      <c r="E18" s="244"/>
      <c r="W18" s="241">
        <v>13</v>
      </c>
      <c r="X18" s="648"/>
      <c r="Y18" s="648"/>
      <c r="Z18" s="648"/>
      <c r="AA18" s="648"/>
      <c r="AB18" s="648"/>
      <c r="AC18" s="648"/>
      <c r="AD18" s="649"/>
    </row>
    <row r="19" spans="3:30">
      <c r="C19" s="238"/>
      <c r="W19" s="245"/>
      <c r="X19" s="660"/>
      <c r="Y19" s="660"/>
      <c r="Z19" s="660"/>
      <c r="AA19" s="660"/>
      <c r="AB19" s="660"/>
      <c r="AC19" s="660"/>
      <c r="AD19" s="661"/>
    </row>
    <row r="20" spans="3:30">
      <c r="C20" s="238"/>
      <c r="W20" s="662" t="s">
        <v>992</v>
      </c>
      <c r="X20" s="663"/>
      <c r="Y20" s="663"/>
      <c r="Z20" s="663"/>
      <c r="AA20" s="663"/>
      <c r="AB20" s="663"/>
      <c r="AC20" s="663"/>
      <c r="AD20" s="664"/>
    </row>
    <row r="21" spans="3:30">
      <c r="C21" s="238"/>
      <c r="W21" s="665" t="s">
        <v>985</v>
      </c>
      <c r="X21" s="666"/>
      <c r="Y21" s="666"/>
      <c r="Z21" s="667"/>
      <c r="AA21" s="668" t="s">
        <v>986</v>
      </c>
      <c r="AB21" s="669"/>
      <c r="AC21" s="669"/>
      <c r="AD21" s="670"/>
    </row>
    <row r="22" spans="3:30">
      <c r="C22" s="238"/>
      <c r="W22" s="656" t="s">
        <v>1633</v>
      </c>
      <c r="X22" s="657"/>
      <c r="Y22" s="520" t="s">
        <v>1628</v>
      </c>
      <c r="Z22" s="490">
        <v>1</v>
      </c>
      <c r="AA22" s="671"/>
      <c r="AB22" s="672"/>
      <c r="AC22" s="248"/>
      <c r="AD22" s="249"/>
    </row>
    <row r="23" spans="3:30">
      <c r="C23" s="238"/>
      <c r="W23" s="656" t="s">
        <v>1634</v>
      </c>
      <c r="X23" s="657"/>
      <c r="Y23" s="520" t="s">
        <v>1628</v>
      </c>
      <c r="Z23" s="490">
        <v>7</v>
      </c>
      <c r="AA23" s="658"/>
      <c r="AB23" s="659"/>
      <c r="AC23" s="248"/>
      <c r="AD23" s="249"/>
    </row>
    <row r="24" spans="3:30">
      <c r="C24" s="238"/>
      <c r="W24" s="673" t="s">
        <v>1639</v>
      </c>
      <c r="X24" s="674"/>
      <c r="Y24" s="246" t="s">
        <v>1628</v>
      </c>
      <c r="Z24" s="247">
        <v>1</v>
      </c>
      <c r="AA24" s="675"/>
      <c r="AB24" s="676"/>
      <c r="AC24" s="248"/>
      <c r="AD24" s="249"/>
    </row>
    <row r="25" spans="3:30">
      <c r="C25" s="238"/>
      <c r="W25" s="673" t="s">
        <v>1635</v>
      </c>
      <c r="X25" s="674"/>
      <c r="Y25" s="246" t="s">
        <v>1058</v>
      </c>
      <c r="Z25" s="247">
        <v>7</v>
      </c>
      <c r="AA25" s="658"/>
      <c r="AB25" s="659"/>
      <c r="AC25" s="248"/>
      <c r="AD25" s="249"/>
    </row>
    <row r="26" spans="3:30">
      <c r="C26" s="238"/>
      <c r="W26" s="479" t="s">
        <v>1629</v>
      </c>
      <c r="X26" s="480"/>
      <c r="Y26" s="246" t="s">
        <v>1058</v>
      </c>
      <c r="Z26" s="247">
        <v>1</v>
      </c>
      <c r="AA26" s="658"/>
      <c r="AB26" s="659"/>
      <c r="AC26" s="248"/>
      <c r="AD26" s="249"/>
    </row>
    <row r="27" spans="3:30">
      <c r="C27" s="238"/>
      <c r="W27" s="479" t="s">
        <v>1640</v>
      </c>
      <c r="X27" s="480"/>
      <c r="Y27" s="246" t="s">
        <v>1058</v>
      </c>
      <c r="Z27" s="247">
        <v>3</v>
      </c>
      <c r="AA27" s="677" t="s">
        <v>1630</v>
      </c>
      <c r="AB27" s="678"/>
      <c r="AC27" s="678"/>
      <c r="AD27" s="679"/>
    </row>
    <row r="28" spans="3:30">
      <c r="C28" s="238"/>
      <c r="W28" s="479" t="s">
        <v>1627</v>
      </c>
      <c r="X28" s="480"/>
      <c r="Y28" s="246" t="s">
        <v>1058</v>
      </c>
      <c r="Z28" s="247">
        <v>1</v>
      </c>
      <c r="AA28" s="658"/>
      <c r="AB28" s="659"/>
      <c r="AC28" s="248"/>
      <c r="AD28" s="249"/>
    </row>
    <row r="29" spans="3:30">
      <c r="C29" s="238"/>
      <c r="W29" s="479" t="s">
        <v>1626</v>
      </c>
      <c r="X29" s="480"/>
      <c r="Y29" s="246" t="s">
        <v>1058</v>
      </c>
      <c r="Z29" s="247">
        <v>1</v>
      </c>
      <c r="AA29" s="658"/>
      <c r="AB29" s="659"/>
      <c r="AC29" s="248"/>
      <c r="AD29" s="249"/>
    </row>
    <row r="30" spans="3:30" ht="11.25" customHeight="1">
      <c r="C30" s="238"/>
      <c r="W30" s="479" t="s">
        <v>1620</v>
      </c>
      <c r="X30" s="480"/>
      <c r="Y30" s="246" t="s">
        <v>1058</v>
      </c>
      <c r="Z30" s="247">
        <v>2</v>
      </c>
      <c r="AA30" s="658"/>
      <c r="AB30" s="659"/>
      <c r="AC30" s="248"/>
      <c r="AD30" s="249"/>
    </row>
    <row r="31" spans="3:30">
      <c r="C31" s="238"/>
      <c r="U31" s="250"/>
      <c r="W31" s="519" t="s">
        <v>1625</v>
      </c>
      <c r="X31" s="481"/>
      <c r="Y31" s="246" t="s">
        <v>1058</v>
      </c>
      <c r="Z31" s="247">
        <v>7</v>
      </c>
      <c r="AA31" s="658"/>
      <c r="AB31" s="659"/>
      <c r="AC31" s="248"/>
      <c r="AD31" s="249"/>
    </row>
    <row r="32" spans="3:30">
      <c r="C32" s="238"/>
      <c r="U32" s="250"/>
      <c r="W32" s="479"/>
      <c r="X32" s="480"/>
      <c r="Y32" s="246"/>
      <c r="Z32" s="247"/>
      <c r="AA32" s="677"/>
      <c r="AB32" s="680"/>
      <c r="AC32" s="248"/>
      <c r="AD32" s="249"/>
    </row>
    <row r="33" spans="3:30">
      <c r="C33" s="238"/>
      <c r="W33" s="479"/>
      <c r="X33" s="480"/>
      <c r="Y33" s="246"/>
      <c r="Z33" s="247"/>
      <c r="AA33" s="677"/>
      <c r="AB33" s="680"/>
      <c r="AC33" s="248"/>
      <c r="AD33" s="249"/>
    </row>
    <row r="34" spans="3:30">
      <c r="C34" s="238"/>
      <c r="W34" s="479"/>
      <c r="X34" s="480"/>
      <c r="Y34" s="246"/>
      <c r="Z34" s="247"/>
      <c r="AA34" s="677"/>
      <c r="AB34" s="680"/>
      <c r="AC34" s="248"/>
      <c r="AD34" s="249"/>
    </row>
    <row r="35" spans="3:30">
      <c r="C35" s="238"/>
      <c r="W35" s="479"/>
      <c r="X35" s="480"/>
      <c r="Y35" s="246"/>
      <c r="Z35" s="247"/>
      <c r="AA35" s="677"/>
      <c r="AB35" s="680"/>
      <c r="AC35" s="248"/>
      <c r="AD35" s="249"/>
    </row>
    <row r="36" spans="3:30">
      <c r="C36" s="238"/>
      <c r="W36" s="479"/>
      <c r="X36" s="480"/>
      <c r="Y36" s="246"/>
      <c r="Z36" s="247"/>
      <c r="AA36" s="678"/>
      <c r="AB36" s="680"/>
      <c r="AC36" s="248"/>
      <c r="AD36" s="249"/>
    </row>
    <row r="37" spans="3:30" ht="12.75" customHeight="1">
      <c r="C37" s="238"/>
      <c r="W37" s="681"/>
      <c r="X37" s="682"/>
      <c r="Y37" s="246"/>
      <c r="Z37" s="251"/>
      <c r="AA37" s="683"/>
      <c r="AB37" s="684"/>
      <c r="AC37" s="252"/>
      <c r="AD37" s="253"/>
    </row>
    <row r="38" spans="3:30" ht="12.75" customHeight="1">
      <c r="C38" s="238"/>
      <c r="W38" s="681"/>
      <c r="X38" s="682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81"/>
      <c r="X39" s="682"/>
      <c r="Y39" s="254"/>
      <c r="Z39" s="257"/>
      <c r="AA39" s="685"/>
      <c r="AB39" s="686"/>
      <c r="AC39" s="252"/>
      <c r="AD39" s="253"/>
    </row>
    <row r="40" spans="3:30" ht="12" customHeight="1">
      <c r="C40" s="238"/>
      <c r="W40" s="687"/>
      <c r="X40" s="688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89"/>
      <c r="X41" s="690"/>
      <c r="Y41" s="260"/>
      <c r="Z41" s="261"/>
      <c r="AA41" s="685"/>
      <c r="AB41" s="686"/>
      <c r="AC41" s="252"/>
      <c r="AD41" s="253"/>
    </row>
    <row r="42" spans="3:30" ht="12" customHeight="1">
      <c r="C42" s="238"/>
      <c r="W42" s="691" t="s">
        <v>1456</v>
      </c>
      <c r="X42" s="692"/>
      <c r="Y42" s="692"/>
      <c r="Z42" s="692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93" t="s">
        <v>11</v>
      </c>
      <c r="X44" s="694"/>
      <c r="Y44" s="648"/>
      <c r="Z44" s="648"/>
      <c r="AA44" s="648"/>
      <c r="AB44" s="648"/>
      <c r="AC44" s="648"/>
      <c r="AD44" s="649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93" t="s">
        <v>984</v>
      </c>
      <c r="X45" s="694"/>
      <c r="Y45" s="648">
        <v>1</v>
      </c>
      <c r="Z45" s="648"/>
      <c r="AA45" s="648"/>
      <c r="AB45" s="648" t="s">
        <v>12</v>
      </c>
      <c r="AC45" s="648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93" t="s">
        <v>15</v>
      </c>
      <c r="X46" s="694"/>
      <c r="Y46" s="695"/>
      <c r="Z46" s="695"/>
      <c r="AA46" s="695"/>
      <c r="AB46" s="648" t="s">
        <v>16</v>
      </c>
      <c r="AC46" s="648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96" t="s">
        <v>17</v>
      </c>
      <c r="X47" s="696"/>
      <c r="Y47" s="696"/>
      <c r="Z47" s="696"/>
      <c r="AA47" s="696"/>
      <c r="AB47" s="696"/>
      <c r="AC47" s="696"/>
      <c r="AD47" s="697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515"/>
      <c r="X48" s="515"/>
      <c r="Y48" s="515"/>
      <c r="Z48" s="515"/>
      <c r="AA48" s="515"/>
      <c r="AB48" s="515"/>
      <c r="AC48" s="515"/>
      <c r="AD48" s="516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698" t="str">
        <f>RAB!G6</f>
        <v>MITRATEL BERAHAN</v>
      </c>
      <c r="X49" s="699"/>
      <c r="Y49" s="699"/>
      <c r="Z49" s="699"/>
      <c r="AA49" s="699"/>
      <c r="AB49" s="699"/>
      <c r="AC49" s="699"/>
      <c r="AD49" s="700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698" t="str">
        <f>RAB!G7</f>
        <v>DS BERAHAN KULON, KEC WEDUNG</v>
      </c>
      <c r="X50" s="699"/>
      <c r="Y50" s="699"/>
      <c r="Z50" s="699"/>
      <c r="AA50" s="699"/>
      <c r="AB50" s="699"/>
      <c r="AC50" s="699"/>
      <c r="AD50" s="700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517"/>
      <c r="X51" s="517"/>
      <c r="Y51" s="517"/>
      <c r="Z51" s="517"/>
      <c r="AA51" s="517"/>
      <c r="AB51" s="517"/>
      <c r="AC51" s="517"/>
      <c r="AD51" s="518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93" t="s">
        <v>18</v>
      </c>
      <c r="X52" s="694"/>
      <c r="Y52" s="648" t="s">
        <v>1549</v>
      </c>
      <c r="Z52" s="648"/>
      <c r="AA52" s="648"/>
      <c r="AB52" s="648"/>
      <c r="AC52" s="648"/>
      <c r="AD52" s="649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93" t="s">
        <v>19</v>
      </c>
      <c r="X53" s="694"/>
      <c r="Y53" s="648" t="s">
        <v>1549</v>
      </c>
      <c r="Z53" s="648"/>
      <c r="AA53" s="648"/>
      <c r="AB53" s="648"/>
      <c r="AC53" s="648"/>
      <c r="AD53" s="649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93" t="s">
        <v>20</v>
      </c>
      <c r="X54" s="694"/>
      <c r="Y54" s="701" t="s">
        <v>1550</v>
      </c>
      <c r="Z54" s="701"/>
      <c r="AA54" s="701"/>
      <c r="AB54" s="648"/>
      <c r="AC54" s="648"/>
      <c r="AD54" s="649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702" t="s">
        <v>21</v>
      </c>
      <c r="X55" s="703"/>
      <c r="Y55" s="701" t="s">
        <v>1551</v>
      </c>
      <c r="Z55" s="701"/>
      <c r="AA55" s="701"/>
      <c r="AB55" s="701"/>
      <c r="AC55" s="701"/>
      <c r="AD55" s="704"/>
    </row>
  </sheetData>
  <mergeCells count="100">
    <mergeCell ref="W54:X54"/>
    <mergeCell ref="Y54:AA54"/>
    <mergeCell ref="AB54:AD54"/>
    <mergeCell ref="W55:X55"/>
    <mergeCell ref="Y55:AA55"/>
    <mergeCell ref="AB55:AD55"/>
    <mergeCell ref="W47:AD47"/>
    <mergeCell ref="W52:X52"/>
    <mergeCell ref="Y52:AA52"/>
    <mergeCell ref="AB52:AD52"/>
    <mergeCell ref="W53:X53"/>
    <mergeCell ref="Y53:AA53"/>
    <mergeCell ref="AB53:AD53"/>
    <mergeCell ref="W49:AD49"/>
    <mergeCell ref="W50:AD50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AA35:AB35"/>
    <mergeCell ref="AA30:AB30"/>
    <mergeCell ref="AA31:AB31"/>
    <mergeCell ref="AA32:AB32"/>
    <mergeCell ref="AA28:AB28"/>
    <mergeCell ref="AA29:AB29"/>
    <mergeCell ref="W24:X24"/>
    <mergeCell ref="AA24:AB24"/>
    <mergeCell ref="W25:X25"/>
    <mergeCell ref="AA25:AB25"/>
    <mergeCell ref="AA26:AB26"/>
    <mergeCell ref="AA27:AD27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W22:X22"/>
    <mergeCell ref="AA22:AB22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topLeftCell="A7" zoomScale="40" zoomScaleNormal="55" zoomScaleSheetLayoutView="40" workbookViewId="0">
      <selection activeCell="T46" sqref="T46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05" t="s">
        <v>1528</v>
      </c>
      <c r="E4" s="706"/>
      <c r="F4" s="706"/>
      <c r="G4" s="706"/>
      <c r="H4" s="706"/>
      <c r="I4" s="706"/>
      <c r="J4" s="706"/>
      <c r="K4" s="706"/>
      <c r="L4" s="706"/>
      <c r="M4" s="706"/>
      <c r="N4" s="706"/>
      <c r="O4" s="706"/>
      <c r="P4" s="706"/>
      <c r="Q4" s="706"/>
      <c r="R4" s="706"/>
      <c r="S4" s="706"/>
      <c r="T4" s="706"/>
      <c r="U4" s="706"/>
      <c r="V4" s="706"/>
      <c r="W4" s="706"/>
      <c r="X4" s="706"/>
      <c r="Y4" s="706"/>
      <c r="Z4" s="706"/>
      <c r="AA4" s="706"/>
      <c r="AB4" s="706"/>
      <c r="AC4" s="707"/>
      <c r="AD4" s="217"/>
      <c r="AE4" s="216"/>
      <c r="AF4" s="216"/>
    </row>
    <row r="5" spans="2:32" ht="13.5" customHeight="1">
      <c r="B5" s="215"/>
      <c r="C5" s="215"/>
      <c r="D5" s="708"/>
      <c r="E5" s="709"/>
      <c r="F5" s="709"/>
      <c r="G5" s="709"/>
      <c r="H5" s="709"/>
      <c r="I5" s="709"/>
      <c r="J5" s="709"/>
      <c r="K5" s="709"/>
      <c r="L5" s="709"/>
      <c r="M5" s="709"/>
      <c r="N5" s="709"/>
      <c r="O5" s="709"/>
      <c r="P5" s="709"/>
      <c r="Q5" s="709"/>
      <c r="R5" s="709"/>
      <c r="S5" s="709"/>
      <c r="T5" s="709"/>
      <c r="U5" s="709"/>
      <c r="V5" s="709"/>
      <c r="W5" s="709"/>
      <c r="X5" s="709"/>
      <c r="Y5" s="709"/>
      <c r="Z5" s="709"/>
      <c r="AA5" s="709"/>
      <c r="AB5" s="709"/>
      <c r="AC5" s="710"/>
      <c r="AD5" s="217"/>
      <c r="AE5" s="216"/>
      <c r="AF5" s="216"/>
    </row>
    <row r="6" spans="2:32" ht="12.75" customHeight="1">
      <c r="B6" s="215"/>
      <c r="C6" s="215"/>
      <c r="D6" s="708"/>
      <c r="E6" s="709"/>
      <c r="F6" s="709"/>
      <c r="G6" s="709"/>
      <c r="H6" s="709"/>
      <c r="I6" s="709"/>
      <c r="J6" s="709"/>
      <c r="K6" s="709"/>
      <c r="L6" s="709"/>
      <c r="M6" s="709"/>
      <c r="N6" s="709"/>
      <c r="O6" s="709"/>
      <c r="P6" s="709"/>
      <c r="Q6" s="709"/>
      <c r="R6" s="709"/>
      <c r="S6" s="709"/>
      <c r="T6" s="709"/>
      <c r="U6" s="709"/>
      <c r="V6" s="709"/>
      <c r="W6" s="709"/>
      <c r="X6" s="709"/>
      <c r="Y6" s="709"/>
      <c r="Z6" s="709"/>
      <c r="AA6" s="709"/>
      <c r="AB6" s="709"/>
      <c r="AC6" s="710"/>
      <c r="AE6" s="216"/>
      <c r="AF6" s="216"/>
    </row>
    <row r="7" spans="2:32" ht="12.75" customHeight="1" thickBot="1">
      <c r="B7" s="215"/>
      <c r="C7" s="215"/>
      <c r="D7" s="711"/>
      <c r="E7" s="712"/>
      <c r="F7" s="712"/>
      <c r="G7" s="712"/>
      <c r="H7" s="712"/>
      <c r="I7" s="712"/>
      <c r="J7" s="712"/>
      <c r="K7" s="712"/>
      <c r="L7" s="712"/>
      <c r="M7" s="712"/>
      <c r="N7" s="712"/>
      <c r="O7" s="712"/>
      <c r="P7" s="712"/>
      <c r="Q7" s="712"/>
      <c r="R7" s="712"/>
      <c r="S7" s="712"/>
      <c r="T7" s="712"/>
      <c r="U7" s="712"/>
      <c r="V7" s="712"/>
      <c r="W7" s="712"/>
      <c r="X7" s="712"/>
      <c r="Y7" s="712"/>
      <c r="Z7" s="712"/>
      <c r="AA7" s="712"/>
      <c r="AB7" s="712"/>
      <c r="AC7" s="713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zoomScale="70" zoomScaleNormal="40" zoomScaleSheetLayoutView="70" workbookViewId="0">
      <selection activeCell="O6" sqref="O6"/>
    </sheetView>
  </sheetViews>
  <sheetFormatPr defaultRowHeight="12.75"/>
  <cols>
    <col min="1" max="1" width="1.7109375" style="424" customWidth="1"/>
    <col min="2" max="2" width="10.7109375" style="424" customWidth="1"/>
    <col min="3" max="3" width="2.5703125" style="424" customWidth="1"/>
    <col min="4" max="20" width="9.140625" style="424"/>
    <col min="21" max="21" width="14.5703125" style="424" customWidth="1"/>
    <col min="22" max="22" width="3.140625" style="424" customWidth="1"/>
    <col min="23" max="26" width="9.140625" style="424"/>
    <col min="27" max="27" width="2.85546875" style="424" customWidth="1"/>
    <col min="28" max="30" width="4.7109375" style="424" customWidth="1"/>
    <col min="31" max="31" width="1.7109375" style="424" customWidth="1"/>
    <col min="32" max="16384" width="9.140625" style="424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09" t="s">
        <v>1527</v>
      </c>
      <c r="D3" s="709"/>
      <c r="E3" s="709"/>
      <c r="F3" s="709"/>
      <c r="G3" s="709"/>
      <c r="H3" s="709"/>
      <c r="I3" s="709"/>
      <c r="J3" s="709"/>
      <c r="K3" s="709"/>
      <c r="L3" s="709"/>
      <c r="M3" s="709"/>
      <c r="N3" s="709"/>
      <c r="O3" s="709"/>
      <c r="P3" s="709"/>
      <c r="Q3" s="709"/>
      <c r="R3" s="709"/>
      <c r="S3" s="709"/>
      <c r="T3" s="709"/>
      <c r="U3" s="709"/>
      <c r="V3" s="709"/>
      <c r="W3" s="182"/>
      <c r="X3" s="435"/>
      <c r="Y3" s="435"/>
      <c r="Z3" s="435"/>
      <c r="AA3" s="435"/>
      <c r="AB3" s="435"/>
      <c r="AC3" s="425"/>
    </row>
    <row r="4" spans="1:29" ht="18.75" customHeight="1">
      <c r="A4" s="181"/>
      <c r="C4" s="709"/>
      <c r="D4" s="709"/>
      <c r="E4" s="709"/>
      <c r="F4" s="709"/>
      <c r="G4" s="709"/>
      <c r="H4" s="709"/>
      <c r="I4" s="709"/>
      <c r="J4" s="709"/>
      <c r="K4" s="709"/>
      <c r="L4" s="709"/>
      <c r="M4" s="709"/>
      <c r="N4" s="709"/>
      <c r="O4" s="709"/>
      <c r="P4" s="709"/>
      <c r="Q4" s="709"/>
      <c r="R4" s="709"/>
      <c r="S4" s="709"/>
      <c r="T4" s="709"/>
      <c r="U4" s="709"/>
      <c r="V4" s="709"/>
      <c r="W4" s="182"/>
      <c r="X4" s="435"/>
      <c r="Y4" s="435"/>
      <c r="Z4" s="435"/>
      <c r="AA4" s="435"/>
      <c r="AB4" s="435"/>
      <c r="AC4" s="425"/>
    </row>
    <row r="5" spans="1:29" ht="12.75" customHeight="1">
      <c r="A5" s="181"/>
      <c r="C5" s="426"/>
      <c r="W5" s="182"/>
    </row>
    <row r="6" spans="1:29" ht="12.75" customHeight="1">
      <c r="A6" s="181"/>
      <c r="C6" s="714" t="s">
        <v>1638</v>
      </c>
      <c r="D6" s="714"/>
      <c r="E6" s="714"/>
      <c r="F6" s="714"/>
      <c r="G6" s="714"/>
      <c r="H6" s="714"/>
      <c r="I6" s="714"/>
      <c r="J6" s="714"/>
      <c r="K6" s="714"/>
      <c r="L6" s="714"/>
      <c r="M6" s="714"/>
      <c r="W6" s="182"/>
      <c r="Y6" s="427"/>
      <c r="Z6" s="427"/>
      <c r="AA6" s="427"/>
      <c r="AB6" s="428"/>
      <c r="AC6" s="428"/>
    </row>
    <row r="7" spans="1:29" ht="18" customHeight="1">
      <c r="A7" s="181"/>
      <c r="C7" s="714"/>
      <c r="D7" s="714"/>
      <c r="E7" s="714"/>
      <c r="F7" s="714"/>
      <c r="G7" s="714"/>
      <c r="H7" s="714"/>
      <c r="I7" s="714"/>
      <c r="J7" s="714"/>
      <c r="K7" s="714"/>
      <c r="L7" s="714"/>
      <c r="M7" s="714"/>
      <c r="W7" s="182"/>
      <c r="Y7" s="427"/>
      <c r="Z7" s="427"/>
      <c r="AA7" s="427"/>
      <c r="AB7" s="428"/>
      <c r="AC7" s="428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29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30"/>
      <c r="S54" s="430"/>
      <c r="T54" s="430"/>
      <c r="U54" s="431"/>
      <c r="V54" s="431"/>
      <c r="W54" s="183"/>
      <c r="X54" s="431"/>
      <c r="Y54" s="431"/>
      <c r="Z54" s="431"/>
      <c r="AA54" s="431"/>
      <c r="AB54" s="431"/>
      <c r="AC54" s="431"/>
      <c r="AD54" s="431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36"/>
      <c r="S55" s="437"/>
      <c r="T55" s="437"/>
      <c r="U55" s="186"/>
      <c r="V55" s="187"/>
      <c r="W55" s="188"/>
      <c r="X55" s="431"/>
      <c r="Y55" s="431"/>
      <c r="Z55" s="431"/>
      <c r="AA55" s="432"/>
      <c r="AB55" s="432"/>
      <c r="AC55" s="432"/>
      <c r="AD55" s="432"/>
    </row>
    <row r="56" spans="1:30">
      <c r="U56" s="431"/>
      <c r="V56" s="432"/>
      <c r="W56" s="431"/>
      <c r="X56" s="431"/>
      <c r="Y56" s="431"/>
      <c r="Z56" s="431"/>
      <c r="AA56" s="432"/>
      <c r="AB56" s="431"/>
      <c r="AC56" s="431"/>
      <c r="AD56" s="431"/>
    </row>
    <row r="57" spans="1:30">
      <c r="U57" s="431"/>
      <c r="V57" s="432"/>
      <c r="W57" s="431"/>
      <c r="X57" s="431"/>
      <c r="Y57" s="431"/>
      <c r="Z57" s="431"/>
      <c r="AA57" s="431"/>
      <c r="AB57" s="431"/>
      <c r="AC57" s="431"/>
      <c r="AD57" s="431"/>
    </row>
    <row r="58" spans="1:30">
      <c r="U58" s="431"/>
      <c r="V58" s="432"/>
      <c r="W58" s="431"/>
      <c r="X58" s="431"/>
      <c r="Y58" s="431"/>
      <c r="Z58" s="431"/>
      <c r="AA58" s="431"/>
      <c r="AB58" s="431"/>
      <c r="AC58" s="431"/>
      <c r="AD58" s="431"/>
    </row>
    <row r="59" spans="1:30">
      <c r="U59" s="431"/>
      <c r="V59" s="432"/>
      <c r="W59" s="431"/>
      <c r="X59" s="431"/>
      <c r="Y59" s="431"/>
      <c r="Z59" s="431"/>
      <c r="AA59" s="431"/>
      <c r="AB59" s="431"/>
      <c r="AC59" s="431"/>
      <c r="AD59" s="431"/>
    </row>
    <row r="60" spans="1:30">
      <c r="U60" s="431"/>
      <c r="V60" s="432"/>
      <c r="W60" s="431"/>
      <c r="X60" s="431"/>
      <c r="Y60" s="431"/>
      <c r="Z60" s="431"/>
      <c r="AA60" s="432"/>
      <c r="AB60" s="431"/>
      <c r="AC60" s="431"/>
      <c r="AD60" s="431"/>
    </row>
    <row r="61" spans="1:30">
      <c r="U61" s="431"/>
      <c r="V61" s="432"/>
      <c r="W61" s="431"/>
      <c r="X61" s="431"/>
      <c r="Y61" s="431"/>
      <c r="Z61" s="431"/>
      <c r="AA61" s="431"/>
      <c r="AB61" s="431"/>
      <c r="AC61" s="431"/>
      <c r="AD61" s="431"/>
    </row>
    <row r="62" spans="1:30">
      <c r="U62" s="431"/>
      <c r="V62" s="432"/>
      <c r="W62" s="431"/>
      <c r="X62" s="431"/>
      <c r="Y62" s="431"/>
      <c r="Z62" s="431"/>
      <c r="AA62" s="431"/>
      <c r="AB62" s="431"/>
      <c r="AC62" s="431"/>
      <c r="AD62" s="431"/>
    </row>
    <row r="63" spans="1:30">
      <c r="U63" s="431"/>
      <c r="V63" s="432"/>
      <c r="W63" s="431"/>
      <c r="X63" s="431"/>
      <c r="Y63" s="431"/>
      <c r="Z63" s="431"/>
      <c r="AA63" s="431"/>
      <c r="AB63" s="431"/>
      <c r="AC63" s="431"/>
      <c r="AD63" s="431"/>
    </row>
    <row r="64" spans="1:30">
      <c r="U64" s="431"/>
      <c r="V64" s="432"/>
      <c r="W64" s="431"/>
      <c r="X64" s="431"/>
      <c r="Y64" s="431"/>
      <c r="Z64" s="431"/>
      <c r="AA64" s="431"/>
      <c r="AB64" s="431"/>
      <c r="AC64" s="431"/>
      <c r="AD64" s="431"/>
    </row>
    <row r="65" spans="5:30">
      <c r="U65" s="431"/>
      <c r="V65" s="432"/>
      <c r="W65" s="431"/>
      <c r="X65" s="431"/>
      <c r="Y65" s="431"/>
      <c r="Z65" s="431"/>
      <c r="AA65" s="431"/>
      <c r="AB65" s="431"/>
      <c r="AC65" s="431"/>
      <c r="AD65" s="431"/>
    </row>
    <row r="66" spans="5:30" ht="6" customHeight="1"/>
    <row r="73" spans="5:30">
      <c r="M73" s="433"/>
    </row>
    <row r="74" spans="5:30" ht="15" customHeight="1">
      <c r="E74" s="434"/>
      <c r="M74" s="433"/>
    </row>
    <row r="75" spans="5:30" ht="15" customHeight="1">
      <c r="E75" s="434"/>
      <c r="M75" s="433"/>
    </row>
    <row r="76" spans="5:30" ht="15" customHeight="1">
      <c r="E76" s="434"/>
      <c r="M76" s="433"/>
    </row>
    <row r="77" spans="5:30" ht="15" customHeight="1">
      <c r="E77" s="434"/>
      <c r="M77" s="433"/>
    </row>
    <row r="78" spans="5:30" ht="15" customHeight="1">
      <c r="E78" s="434"/>
      <c r="M78" s="433"/>
    </row>
    <row r="79" spans="5:30" ht="15" customHeight="1">
      <c r="E79" s="434"/>
      <c r="M79" s="433"/>
    </row>
    <row r="80" spans="5:30" ht="15" customHeight="1">
      <c r="E80" s="434"/>
      <c r="M80" s="433"/>
    </row>
    <row r="81" spans="5:13" ht="15" customHeight="1">
      <c r="E81" s="434"/>
      <c r="M81" s="433"/>
    </row>
    <row r="82" spans="5:13" ht="15" customHeight="1">
      <c r="E82" s="434"/>
      <c r="M82" s="433"/>
    </row>
    <row r="83" spans="5:13" ht="15" customHeight="1">
      <c r="E83" s="434"/>
      <c r="M83" s="433"/>
    </row>
    <row r="84" spans="5:13" ht="15" customHeight="1">
      <c r="E84" s="434"/>
      <c r="M84" s="433"/>
    </row>
    <row r="85" spans="5:13" ht="15" customHeight="1">
      <c r="E85" s="434"/>
      <c r="M85" s="433"/>
    </row>
    <row r="86" spans="5:13" ht="15" customHeight="1">
      <c r="E86" s="434"/>
      <c r="M86" s="433"/>
    </row>
    <row r="87" spans="5:13" ht="15" customHeight="1">
      <c r="E87" s="434"/>
      <c r="M87" s="433"/>
    </row>
    <row r="88" spans="5:13" ht="15" customHeight="1">
      <c r="E88" s="434"/>
      <c r="M88" s="433"/>
    </row>
    <row r="89" spans="5:13" ht="15" customHeight="1">
      <c r="E89" s="434"/>
      <c r="M89" s="433"/>
    </row>
    <row r="90" spans="5:13" ht="15" customHeight="1">
      <c r="E90" s="434"/>
      <c r="M90" s="433"/>
    </row>
    <row r="91" spans="5:13" ht="15" customHeight="1">
      <c r="E91" s="434"/>
      <c r="M91" s="433"/>
    </row>
    <row r="92" spans="5:13" ht="15" customHeight="1">
      <c r="E92" s="434"/>
      <c r="M92" s="433"/>
    </row>
    <row r="93" spans="5:13" ht="15" customHeight="1">
      <c r="E93" s="434"/>
      <c r="M93" s="433"/>
    </row>
    <row r="94" spans="5:13" ht="15" customHeight="1">
      <c r="E94" s="434"/>
      <c r="M94" s="433"/>
    </row>
    <row r="95" spans="5:13" ht="15" customHeight="1">
      <c r="E95" s="434"/>
      <c r="M95" s="433"/>
    </row>
    <row r="96" spans="5:13" ht="15" customHeight="1">
      <c r="E96" s="434"/>
    </row>
    <row r="97" spans="5:5" ht="15" customHeight="1">
      <c r="E97" s="434"/>
    </row>
    <row r="98" spans="5:5" ht="15" customHeight="1">
      <c r="E98" s="434"/>
    </row>
    <row r="99" spans="5:5" ht="15" customHeight="1">
      <c r="E99" s="434"/>
    </row>
    <row r="100" spans="5:5" ht="15" customHeight="1">
      <c r="E100" s="434"/>
    </row>
    <row r="101" spans="5:5" ht="15" customHeight="1">
      <c r="E101" s="434"/>
    </row>
    <row r="102" spans="5:5" ht="15" customHeight="1">
      <c r="E102" s="434"/>
    </row>
    <row r="103" spans="5:5" ht="15" customHeight="1">
      <c r="E103" s="434"/>
    </row>
    <row r="104" spans="5:5" ht="15" customHeight="1">
      <c r="E104" s="434"/>
    </row>
    <row r="105" spans="5:5" ht="15" customHeight="1">
      <c r="E105" s="434"/>
    </row>
    <row r="106" spans="5:5" ht="15" customHeight="1">
      <c r="E106" s="434"/>
    </row>
    <row r="107" spans="5:5" ht="15" customHeight="1">
      <c r="E107" s="434"/>
    </row>
    <row r="108" spans="5:5" ht="15" customHeight="1">
      <c r="E108" s="434"/>
    </row>
    <row r="109" spans="5:5" ht="15" customHeight="1">
      <c r="E109" s="434"/>
    </row>
    <row r="110" spans="5:5" ht="15" customHeight="1">
      <c r="E110" s="434"/>
    </row>
    <row r="111" spans="5:5" ht="15" customHeight="1">
      <c r="E111" s="434"/>
    </row>
    <row r="112" spans="5:5" ht="15" customHeight="1">
      <c r="E112" s="434"/>
    </row>
    <row r="113" spans="5:5" ht="15" customHeight="1">
      <c r="E113" s="434"/>
    </row>
    <row r="114" spans="5:5" ht="15" customHeight="1">
      <c r="E114" s="434"/>
    </row>
    <row r="115" spans="5:5" ht="15" customHeight="1">
      <c r="E115" s="434"/>
    </row>
    <row r="116" spans="5:5" ht="15" customHeight="1">
      <c r="E116" s="434"/>
    </row>
    <row r="117" spans="5:5" ht="15" customHeight="1">
      <c r="E117" s="434"/>
    </row>
    <row r="118" spans="5:5" ht="15" customHeight="1">
      <c r="E118" s="434"/>
    </row>
    <row r="119" spans="5:5" ht="15" customHeight="1">
      <c r="E119" s="434"/>
    </row>
    <row r="120" spans="5:5">
      <c r="E120" s="434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56">
        <v>1</v>
      </c>
    </row>
    <row r="2" spans="1:11" ht="48" customHeight="1">
      <c r="A2" s="456">
        <v>3</v>
      </c>
    </row>
    <row r="4" spans="1:11" ht="48" customHeight="1">
      <c r="C4" s="456">
        <v>1</v>
      </c>
    </row>
    <row r="5" spans="1:11" ht="48" customHeight="1">
      <c r="C5" s="456">
        <v>3</v>
      </c>
    </row>
    <row r="7" spans="1:11" ht="48" customHeight="1">
      <c r="E7" s="456">
        <v>1</v>
      </c>
    </row>
    <row r="8" spans="1:11" ht="48" customHeight="1">
      <c r="E8" s="456">
        <v>3</v>
      </c>
    </row>
    <row r="10" spans="1:11" ht="48" customHeight="1">
      <c r="G10" s="456">
        <v>3</v>
      </c>
    </row>
    <row r="11" spans="1:11" ht="48" customHeight="1">
      <c r="G11" s="456">
        <v>1</v>
      </c>
    </row>
    <row r="13" spans="1:11" ht="48" customHeight="1">
      <c r="I13" s="456">
        <v>3</v>
      </c>
    </row>
    <row r="14" spans="1:11" ht="48" customHeight="1">
      <c r="I14" s="456">
        <v>1</v>
      </c>
    </row>
    <row r="16" spans="1:11" ht="48" customHeight="1">
      <c r="K16" s="456">
        <v>3</v>
      </c>
    </row>
    <row r="17" spans="11:21" ht="48" customHeight="1">
      <c r="K17" s="456">
        <v>1</v>
      </c>
    </row>
    <row r="19" spans="11:21" ht="48" customHeight="1">
      <c r="M19" s="456">
        <v>3</v>
      </c>
    </row>
    <row r="20" spans="11:21" ht="48" customHeight="1">
      <c r="M20" s="456">
        <v>1</v>
      </c>
    </row>
    <row r="22" spans="11:21" ht="48" customHeight="1">
      <c r="O22" s="456">
        <v>3</v>
      </c>
    </row>
    <row r="23" spans="11:21" ht="48" customHeight="1">
      <c r="O23" s="456">
        <v>1</v>
      </c>
    </row>
    <row r="25" spans="11:21" ht="57" customHeight="1">
      <c r="Q25" s="456">
        <v>3</v>
      </c>
    </row>
    <row r="26" spans="11:21" ht="57" customHeight="1">
      <c r="Q26" s="456">
        <v>1</v>
      </c>
    </row>
    <row r="28" spans="11:21" ht="57" customHeight="1">
      <c r="S28" s="456">
        <v>3</v>
      </c>
    </row>
    <row r="29" spans="11:21" ht="57" customHeight="1">
      <c r="S29" s="456">
        <v>1</v>
      </c>
    </row>
    <row r="31" spans="11:21" ht="57" customHeight="1">
      <c r="U31" s="456">
        <v>3</v>
      </c>
    </row>
    <row r="32" spans="11:21" ht="57" customHeight="1">
      <c r="U32" s="456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MUHAMAD TAUFIQ DWI UTOMO</cp:lastModifiedBy>
  <cp:lastPrinted>2023-05-10T03:04:01Z</cp:lastPrinted>
  <dcterms:created xsi:type="dcterms:W3CDTF">2011-02-06T11:57:38Z</dcterms:created>
  <dcterms:modified xsi:type="dcterms:W3CDTF">2024-08-09T06:04:17Z</dcterms:modified>
</cp:coreProperties>
</file>