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9A4E37D3-5BA6-46BA-9884-DE8FAB6F526A}" xr6:coauthVersionLast="47" xr6:coauthVersionMax="47" xr10:uidLastSave="{00000000-0000-0000-0000-000000000000}"/>
  <bookViews>
    <workbookView xWindow="-120" yWindow="-120" windowWidth="29040" windowHeight="15720" tabRatio="859" firstSheet="1" activeTab="10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59" l="1"/>
  <c r="G33" i="11"/>
  <c r="E33" i="11"/>
  <c r="D33" i="11"/>
  <c r="J33" i="11" l="1"/>
  <c r="H33" i="11"/>
  <c r="I33" i="11"/>
  <c r="K33" i="11" s="1"/>
  <c r="F32" i="11" l="1"/>
  <c r="F31" i="11"/>
  <c r="F30" i="11"/>
  <c r="F29" i="11"/>
  <c r="F28" i="11"/>
  <c r="W49" i="64"/>
  <c r="N16" i="60"/>
  <c r="E7" i="64"/>
  <c r="D21" i="11" l="1"/>
  <c r="J21" i="11" s="1"/>
  <c r="E21" i="11"/>
  <c r="G21" i="11"/>
  <c r="D22" i="11"/>
  <c r="H22" i="11" s="1"/>
  <c r="E22" i="11"/>
  <c r="G22" i="11"/>
  <c r="D23" i="11"/>
  <c r="H23" i="11" s="1"/>
  <c r="E23" i="11"/>
  <c r="G23" i="11"/>
  <c r="I23" i="11" l="1"/>
  <c r="J22" i="11"/>
  <c r="I22" i="11"/>
  <c r="J23" i="11"/>
  <c r="H21" i="11"/>
  <c r="I21" i="11"/>
  <c r="K23" i="11" l="1"/>
  <c r="K22" i="11"/>
  <c r="K21" i="11"/>
  <c r="G6" i="11" l="1"/>
  <c r="W48" i="64" s="1"/>
  <c r="F49" i="11"/>
  <c r="F48" i="11"/>
  <c r="F47" i="11"/>
  <c r="F46" i="11"/>
  <c r="F45" i="11"/>
  <c r="F42" i="11"/>
  <c r="F41" i="11"/>
  <c r="F40" i="11"/>
  <c r="F39" i="11"/>
  <c r="F38" i="11"/>
  <c r="F37" i="11"/>
  <c r="F36" i="11"/>
  <c r="G24" i="11"/>
  <c r="G25" i="11"/>
  <c r="G26" i="11"/>
  <c r="G27" i="11"/>
  <c r="G28" i="11"/>
  <c r="G29" i="11"/>
  <c r="G30" i="11"/>
  <c r="G31" i="11"/>
  <c r="G32" i="11"/>
  <c r="G34" i="11"/>
  <c r="G35" i="11"/>
  <c r="G36" i="11"/>
  <c r="G37" i="11"/>
  <c r="G38" i="11"/>
  <c r="G39" i="11"/>
  <c r="G40" i="11"/>
  <c r="G41" i="11"/>
  <c r="G42" i="11"/>
  <c r="G44" i="11"/>
  <c r="G45" i="11"/>
  <c r="G46" i="11"/>
  <c r="G47" i="11"/>
  <c r="G48" i="11"/>
  <c r="G49" i="11"/>
  <c r="G50" i="11"/>
  <c r="G51" i="11"/>
  <c r="G52" i="11"/>
  <c r="D24" i="11"/>
  <c r="H24" i="11" s="1"/>
  <c r="E24" i="11"/>
  <c r="D25" i="11"/>
  <c r="J25" i="11" s="1"/>
  <c r="E25" i="11"/>
  <c r="D26" i="11"/>
  <c r="I26" i="11" s="1"/>
  <c r="E26" i="11"/>
  <c r="D27" i="11"/>
  <c r="H27" i="11" s="1"/>
  <c r="E27" i="11"/>
  <c r="D28" i="11"/>
  <c r="E28" i="11"/>
  <c r="D29" i="11"/>
  <c r="J29" i="11" s="1"/>
  <c r="E29" i="11"/>
  <c r="D30" i="11"/>
  <c r="E30" i="11"/>
  <c r="D31" i="11"/>
  <c r="E31" i="11"/>
  <c r="D32" i="11"/>
  <c r="H32" i="11" s="1"/>
  <c r="E32" i="11"/>
  <c r="D34" i="11"/>
  <c r="I34" i="11" s="1"/>
  <c r="E34" i="11"/>
  <c r="D35" i="11"/>
  <c r="H35" i="11" s="1"/>
  <c r="E35" i="11"/>
  <c r="D36" i="11"/>
  <c r="H36" i="11" s="1"/>
  <c r="E36" i="11"/>
  <c r="D37" i="11"/>
  <c r="J37" i="11" s="1"/>
  <c r="E37" i="11"/>
  <c r="D38" i="11"/>
  <c r="E38" i="11"/>
  <c r="D39" i="11"/>
  <c r="H39" i="11" s="1"/>
  <c r="E39" i="11"/>
  <c r="D40" i="11"/>
  <c r="H40" i="11" s="1"/>
  <c r="E40" i="11"/>
  <c r="D41" i="11"/>
  <c r="J41" i="11" s="1"/>
  <c r="E41" i="11"/>
  <c r="D42" i="11"/>
  <c r="E42" i="11"/>
  <c r="D44" i="11"/>
  <c r="H44" i="11" s="1"/>
  <c r="E44" i="11"/>
  <c r="D45" i="11"/>
  <c r="H45" i="11" s="1"/>
  <c r="E45" i="11"/>
  <c r="D46" i="11"/>
  <c r="J46" i="11" s="1"/>
  <c r="E46" i="11"/>
  <c r="D47" i="11"/>
  <c r="E47" i="11"/>
  <c r="D48" i="11"/>
  <c r="H48" i="11" s="1"/>
  <c r="E48" i="11"/>
  <c r="D49" i="11"/>
  <c r="H49" i="11" s="1"/>
  <c r="E49" i="11"/>
  <c r="D50" i="11"/>
  <c r="J50" i="11" s="1"/>
  <c r="E50" i="11"/>
  <c r="D51" i="11"/>
  <c r="I51" i="11" s="1"/>
  <c r="E51" i="11"/>
  <c r="D52" i="11"/>
  <c r="H52" i="11" s="1"/>
  <c r="E52" i="11"/>
  <c r="D53" i="11"/>
  <c r="I53" i="11" s="1"/>
  <c r="E53" i="11"/>
  <c r="G53" i="11"/>
  <c r="D16" i="11"/>
  <c r="H16" i="11" s="1"/>
  <c r="E16" i="11"/>
  <c r="G16" i="11"/>
  <c r="D17" i="11"/>
  <c r="H17" i="11" s="1"/>
  <c r="E17" i="11"/>
  <c r="G17" i="11"/>
  <c r="D18" i="11"/>
  <c r="H18" i="11" s="1"/>
  <c r="E18" i="11"/>
  <c r="G18" i="11"/>
  <c r="D19" i="11"/>
  <c r="H19" i="11" s="1"/>
  <c r="E19" i="11"/>
  <c r="G19" i="11"/>
  <c r="I47" i="11" l="1"/>
  <c r="I42" i="11"/>
  <c r="I38" i="11"/>
  <c r="H28" i="11"/>
  <c r="H31" i="11"/>
  <c r="I30" i="11"/>
  <c r="J32" i="11"/>
  <c r="I25" i="11"/>
  <c r="J49" i="11"/>
  <c r="I41" i="11"/>
  <c r="H34" i="11"/>
  <c r="I46" i="11"/>
  <c r="H38" i="11"/>
  <c r="J36" i="11"/>
  <c r="I29" i="11"/>
  <c r="I50" i="11"/>
  <c r="H42" i="11"/>
  <c r="J40" i="11"/>
  <c r="H26" i="11"/>
  <c r="J24" i="11"/>
  <c r="H47" i="11"/>
  <c r="J45" i="11"/>
  <c r="I37" i="11"/>
  <c r="H30" i="11"/>
  <c r="J28" i="11"/>
  <c r="H51" i="11"/>
  <c r="J52" i="11"/>
  <c r="H50" i="11"/>
  <c r="I49" i="11"/>
  <c r="J48" i="11"/>
  <c r="H46" i="11"/>
  <c r="I45" i="11"/>
  <c r="J44" i="11"/>
  <c r="H41" i="11"/>
  <c r="I40" i="11"/>
  <c r="J39" i="11"/>
  <c r="H37" i="11"/>
  <c r="I36" i="11"/>
  <c r="J35" i="11"/>
  <c r="I32" i="11"/>
  <c r="J31" i="11"/>
  <c r="H29" i="11"/>
  <c r="I28" i="11"/>
  <c r="J27" i="11"/>
  <c r="H25" i="11"/>
  <c r="I24" i="11"/>
  <c r="I52" i="11"/>
  <c r="J51" i="11"/>
  <c r="I48" i="11"/>
  <c r="J47" i="11"/>
  <c r="I44" i="11"/>
  <c r="J42" i="11"/>
  <c r="I39" i="11"/>
  <c r="J38" i="11"/>
  <c r="I35" i="11"/>
  <c r="J34" i="11"/>
  <c r="I31" i="11"/>
  <c r="J30" i="11"/>
  <c r="I27" i="11"/>
  <c r="J26" i="11"/>
  <c r="J53" i="11"/>
  <c r="H53" i="11"/>
  <c r="J16" i="11"/>
  <c r="J18" i="11"/>
  <c r="I18" i="11"/>
  <c r="J17" i="11"/>
  <c r="I16" i="11"/>
  <c r="J19" i="11"/>
  <c r="I17" i="11"/>
  <c r="I19" i="11"/>
  <c r="K34" i="11" l="1"/>
  <c r="K48" i="11"/>
  <c r="K24" i="11"/>
  <c r="K25" i="11"/>
  <c r="K45" i="11"/>
  <c r="K50" i="11"/>
  <c r="K26" i="11"/>
  <c r="K38" i="11"/>
  <c r="K46" i="11"/>
  <c r="K31" i="11"/>
  <c r="K32" i="11"/>
  <c r="K44" i="11"/>
  <c r="K27" i="11"/>
  <c r="K42" i="11"/>
  <c r="K37" i="11"/>
  <c r="K49" i="11"/>
  <c r="K35" i="11"/>
  <c r="K52" i="11"/>
  <c r="K30" i="11"/>
  <c r="K40" i="11"/>
  <c r="K39" i="11"/>
  <c r="K36" i="11"/>
  <c r="K41" i="11"/>
  <c r="K53" i="11"/>
  <c r="K28" i="11"/>
  <c r="K47" i="11"/>
  <c r="K29" i="11"/>
  <c r="K51" i="11"/>
  <c r="K16" i="11"/>
  <c r="K18" i="11"/>
  <c r="K17" i="11"/>
  <c r="K19" i="11"/>
  <c r="K6" i="60" l="1"/>
  <c r="D15" i="11" l="1"/>
  <c r="H15" i="11" s="1"/>
  <c r="E15" i="11"/>
  <c r="G15" i="11"/>
  <c r="J15" i="11" l="1"/>
  <c r="I15" i="11"/>
  <c r="K15" i="11" l="1"/>
  <c r="D14" i="11" l="1"/>
  <c r="J14" i="11" s="1"/>
  <c r="J54" i="11" s="1"/>
  <c r="E14" i="11"/>
  <c r="G14" i="11"/>
  <c r="K19" i="60"/>
  <c r="D19" i="60"/>
  <c r="H14" i="11" l="1"/>
  <c r="I14" i="11"/>
  <c r="I54" i="11" s="1"/>
  <c r="H54" i="11" l="1"/>
  <c r="K54" i="11" s="1"/>
  <c r="K14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8" i="60" l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18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5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4" i="11"/>
  <c r="D55" i="11"/>
  <c r="H55" i="11" s="1"/>
  <c r="E5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5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2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5" i="11"/>
  <c r="I55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94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55" i="11"/>
  <c r="K57" i="11" s="1"/>
  <c r="E267" i="29" l="1"/>
  <c r="E236" i="29"/>
  <c r="F278" i="29"/>
  <c r="E227" i="29"/>
  <c r="F246" i="29"/>
  <c r="F244" i="29"/>
  <c r="F287" i="29"/>
  <c r="E309" i="29"/>
  <c r="F292" i="29"/>
  <c r="F274" i="29"/>
  <c r="E280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7" i="11"/>
  <c r="H58" i="11" s="1"/>
  <c r="I57" i="11"/>
  <c r="I58" i="11" s="1"/>
  <c r="F330" i="29"/>
  <c r="F325" i="29"/>
  <c r="F714" i="41"/>
  <c r="F345" i="29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E352" i="29"/>
  <c r="E9" i="54"/>
  <c r="L9" i="54" s="1"/>
  <c r="M9" i="54" s="1"/>
  <c r="I10" i="54"/>
  <c r="H10" i="54"/>
  <c r="C11" i="54"/>
  <c r="D10" i="54"/>
  <c r="F339" i="29" l="1"/>
  <c r="F297" i="29"/>
  <c r="F315" i="29"/>
  <c r="F352" i="29"/>
  <c r="F319" i="29"/>
  <c r="F300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59" i="11"/>
  <c r="I5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58" i="1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57" i="11"/>
  <c r="J5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59" i="11"/>
  <c r="B60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9" i="41" l="1"/>
  <c r="F787" i="41"/>
  <c r="F805" i="41"/>
  <c r="F790" i="41"/>
  <c r="F842" i="41"/>
  <c r="F809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<sst xmlns="http://schemas.openxmlformats.org/spreadsheetml/2006/main" count="4719" uniqueCount="1632">
  <si>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</si>
  <si>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</si>
  <si>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</si>
  <si>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</si>
  <si>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</si>
  <si>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</si>
  <si>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</si>
  <si>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</si>
  <si>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</si>
  <si>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</si>
  <si>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</si>
  <si>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</si>
  <si>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</si>
  <si>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</si>
  <si>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</si>
  <si>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</si>
  <si>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</si>
  <si>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</si>
  <si>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</si>
  <si>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</si>
  <si>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</si>
  <si>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</si>
  <si>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</si>
  <si>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</si>
  <si>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</si>
  <si>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</si>
  <si>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</si>
  <si>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</si>
  <si>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</si>
  <si>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</si>
  <si>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</si>
  <si>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</si>
  <si>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</si>
  <si>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</si>
  <si>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</si>
  <si>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</si>
  <si>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</si>
  <si>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</si>
  <si>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</si>
  <si>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</si>
  <si>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</si>
  <si>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</si>
  <si>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</si>
  <si>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</si>
  <si>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</si>
  <si>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</si>
  <si>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</si>
  <si>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</si>
  <si>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</si>
  <si>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</si>
  <si>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</si>
  <si>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</si>
  <si>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</si>
  <si>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</si>
  <si>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</si>
  <si>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</si>
  <si>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</si>
  <si>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</si>
  <si>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</si>
  <si>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</si>
  <si>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</si>
  <si>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</si>
  <si>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</si>
  <si>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</si>
  <si>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</si>
  <si>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</si>
  <si>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</si>
  <si>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</si>
  <si>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</si>
  <si>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</si>
  <si>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</si>
  <si>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</si>
  <si>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</si>
  <si>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</si>
  <si>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</si>
  <si>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</si>
  <si>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</si>
  <si>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</si>
  <si>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</si>
  <si>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</si>
  <si>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</si>
  <si>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</si>
  <si>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</si>
  <si>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</si>
  <si>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</si>
  <si>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</si>
  <si>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</si>
  <si>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</si>
  <si>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</si>
  <si>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</si>
  <si>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</si>
  <si>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</si>
  <si>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</si>
  <si>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</si>
  <si>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</si>
  <si>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</si>
  <si>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</si>
  <si>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</si>
  <si>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</si>
  <si>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</si>
  <si>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</si>
  <si>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</si>
  <si>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</si>
  <si>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</si>
  <si>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</si>
  <si>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</si>
  <si>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</si>
  <si>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</si>
  <si>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</si>
  <si>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</si>
  <si>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</si>
  <si>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</si>
  <si>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</si>
  <si>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</si>
  <si>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</si>
  <si>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</si>
  <si>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</si>
  <si>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</si>
  <si>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</si>
  <si>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</si>
  <si>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</si>
  <si>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</si>
  <si>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</si>
  <si>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</si>
  <si>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</si>
  <si>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</si>
  <si>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</si>
  <si>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</si>
  <si>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</si>
  <si>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</si>
  <si>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</si>
  <si>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</si>
  <si>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</si>
  <si>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</si>
  <si>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</si>
  <si>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</si>
  <si>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</si>
  <si>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</si>
  <si>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</si>
  <si>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</si>
  <si>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</si>
  <si>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</si>
  <si>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</si>
  <si>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</si>
  <si>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</si>
  <si>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</si>
  <si>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</si>
  <si>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</si>
  <si>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</si>
  <si>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</si>
  <si>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</si>
  <si>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</si>
  <si>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</si>
  <si>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</si>
  <si>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</si>
  <si>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</si>
  <si>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</si>
  <si>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</si>
  <si>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</si>
  <si>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</si>
  <si>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</si>
  <si>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</si>
  <si>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</si>
  <si>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</si>
  <si>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</si>
  <si>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</si>
  <si>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</si>
  <si>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</si>
  <si>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</si>
  <si>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</si>
  <si>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</si>
  <si>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</si>
  <si>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</si>
  <si>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</si>
  <si>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</si>
  <si>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</si>
  <si>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</si>
  <si>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</si>
  <si>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</si>
  <si>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</si>
  <si>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</si>
  <si>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</si>
  <si>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</si>
  <si>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</si>
  <si>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</si>
  <si>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</si>
  <si>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</si>
  <si>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</si>
  <si>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</si>
  <si>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</si>
  <si>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</si>
  <si>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</si>
  <si>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</si>
  <si>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</si>
  <si>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</si>
  <si>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</si>
  <si>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</si>
  <si>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</si>
  <si>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</si>
  <si>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</si>
  <si>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</si>
  <si>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</si>
  <si>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</si>
  <si>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</si>
  <si>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</si>
  <si>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</si>
  <si>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</si>
  <si>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</si>
  <si>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</si>
  <si>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</si>
  <si>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</si>
  <si>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</si>
  <si>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</si>
  <si>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</si>
  <si>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</si>
  <si>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</si>
  <si>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</si>
  <si>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</si>
  <si>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</si>
  <si>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</si>
  <si>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</si>
  <si>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</si>
  <si>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</si>
  <si>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</si>
  <si>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</si>
  <si>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</si>
  <si>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</si>
  <si>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</si>
  <si>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</si>
  <si>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</si>
  <si>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</si>
  <si>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</si>
  <si>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</si>
  <si>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</si>
  <si>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</si>
  <si>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</si>
  <si>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</si>
  <si>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</si>
  <si>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</si>
  <si>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</si>
  <si>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</si>
  <si>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</si>
  <si>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</si>
  <si>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</si>
  <si>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</si>
  <si>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</si>
  <si>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</si>
  <si>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</si>
  <si>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</si>
  <si>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</si>
  <si>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</si>
  <si>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</si>
  <si>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</si>
  <si>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</si>
  <si>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</si>
  <si>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</si>
  <si>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</si>
  <si>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</si>
  <si>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</si>
  <si>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</si>
  <si>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</si>
  <si>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</si>
  <si>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</si>
  <si>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</si>
  <si>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</si>
  <si>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</si>
  <si>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</si>
  <si>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</si>
  <si>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</si>
  <si>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</si>
  <si>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</si>
  <si>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</si>
  <si>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</si>
  <si>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</si>
  <si>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</si>
  <si>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</si>
  <si>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</si>
  <si>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</si>
  <si>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</si>
  <si>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</si>
  <si>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</si>
  <si>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</si>
  <si>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</si>
  <si>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</si>
  <si>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</si>
  <si>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</si>
  <si>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</si>
  <si>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</si>
  <si>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</si>
  <si>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</si>
  <si>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</si>
  <si>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</si>
  <si>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</si>
  <si>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</si>
  <si>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</si>
  <si>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</si>
  <si>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</si>
  <si>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</si>
  <si>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</si>
  <si>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</si>
  <si>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</si>
  <si>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</si>
  <si>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</si>
  <si>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</si>
  <si>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</si>
  <si>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</si>
  <si>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</si>
  <si>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</si>
  <si>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</si>
  <si>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</si>
  <si>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</si>
  <si>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</si>
  <si>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</si>
  <si>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</si>
  <si>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</si>
  <si>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</si>
  <si>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</si>
  <si>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</si>
  <si>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</si>
  <si>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</si>
  <si>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</si>
  <si>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</si>
  <si>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</si>
  <si>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</si>
  <si>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</si>
  <si>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</si>
  <si>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</si>
  <si>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</si>
  <si>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</si>
  <si>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</si>
  <si>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</si>
  <si>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</si>
  <si>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</si>
  <si>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</si>
  <si>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</si>
  <si>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</si>
  <si>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</si>
  <si>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</si>
  <si>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</si>
  <si>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</si>
  <si>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</si>
  <si>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</si>
  <si>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</si>
  <si>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</si>
  <si>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</si>
  <si>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</si>
  <si>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</si>
  <si>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</si>
  <si>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</si>
  <si>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</si>
  <si>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</si>
  <si>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</si>
  <si>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</si>
  <si>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</si>
  <si>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</si>
  <si>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</si>
  <si>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</si>
  <si>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</si>
  <si>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</si>
  <si>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</si>
  <si>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</si>
  <si>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</si>
  <si>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</si>
  <si>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</si>
  <si>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</si>
  <si>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</si>
  <si>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</si>
  <si>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</si>
  <si>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</si>
  <si>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</si>
  <si>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</si>
  <si>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</si>
  <si>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</si>
  <si>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</si>
  <si>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</si>
  <si>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</si>
  <si>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</si>
  <si>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</si>
  <si>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</si>
  <si>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</si>
  <si>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</si>
  <si>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</si>
  <si>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</si>
  <si>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</si>
  <si>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</si>
  <si>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</si>
  <si>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</si>
  <si>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</si>
  <si>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</si>
  <si>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</si>
  <si>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</si>
  <si>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</si>
  <si>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</si>
  <si>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</si>
  <si>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</si>
  <si>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</si>
  <si>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</si>
  <si>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</si>
  <si>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</si>
  <si>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</si>
  <si>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</si>
  <si>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</si>
  <si>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</si>
  <si>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</si>
  <si>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</si>
  <si>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</si>
  <si>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</si>
  <si>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</si>
  <si>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</si>
  <si>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</si>
  <si>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</si>
  <si>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</si>
  <si>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</si>
  <si>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</si>
  <si>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</si>
  <si>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</si>
  <si>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</si>
  <si>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</si>
  <si>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</si>
  <si>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</si>
  <si>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</si>
  <si>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</si>
  <si>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</si>
  <si>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</si>
  <si>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</si>
  <si>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</si>
  <si>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</si>
  <si>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</si>
  <si>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</si>
  <si>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</si>
  <si>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</si>
  <si>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</si>
  <si>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</si>
  <si>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</si>
  <si>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</si>
  <si>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</si>
  <si>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</si>
  <si>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</si>
  <si>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</si>
  <si>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</si>
  <si>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</si>
  <si>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</si>
  <si>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</si>
  <si>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</si>
  <si>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</si>
  <si>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</si>
  <si>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</si>
  <si>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</si>
  <si>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</si>
  <si>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</si>
  <si>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</si>
  <si>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</si>
  <si>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</si>
  <si>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</si>
  <si>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</si>
  <si>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</si>
  <si>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</si>
  <si>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</si>
  <si>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</si>
  <si>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</si>
  <si>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</si>
  <si>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</si>
  <si>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</si>
  <si>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</si>
  <si>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</si>
  <si>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</si>
  <si>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</si>
  <si>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</si>
  <si>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</si>
  <si>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</si>
  <si>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</si>
  <si>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</si>
  <si>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</si>
  <si>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</si>
  <si>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</si>
  <si>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</si>
  <si>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</si>
  <si>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</si>
  <si>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</si>
  <si>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</si>
  <si>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</si>
  <si>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</si>
  <si>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</si>
  <si>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</si>
  <si>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</si>
  <si>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</si>
  <si>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</si>
  <si>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</si>
  <si>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</si>
  <si>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</si>
  <si>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</si>
  <si>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</si>
  <si>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</si>
  <si>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</si>
  <si>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</si>
  <si>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</si>
  <si>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</si>
  <si>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</si>
  <si>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</si>
  <si>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</si>
  <si>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</si>
  <si>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</si>
  <si>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</si>
  <si>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</si>
  <si>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</si>
  <si>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</si>
  <si>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</si>
  <si>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</si>
  <si>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</si>
  <si>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</si>
  <si>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</si>
  <si>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</si>
  <si>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</si>
  <si>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</si>
  <si>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</si>
  <si>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</si>
  <si>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</si>
  <si>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</si>
  <si>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</si>
  <si>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</si>
  <si>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</si>
  <si>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</si>
  <si>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</si>
  <si>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</si>
  <si>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</si>
  <si>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</si>
  <si>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</si>
  <si>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</si>
  <si>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</si>
  <si>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</si>
  <si>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</si>
  <si>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</si>
  <si>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</si>
  <si>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</si>
  <si>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</si>
  <si>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</si>
  <si>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</si>
  <si>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</si>
  <si>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</si>
  <si>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</si>
  <si>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</si>
  <si>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</si>
  <si>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</si>
  <si>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</si>
  <si>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</si>
  <si>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</si>
  <si>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</si>
  <si>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</si>
  <si>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</si>
  <si>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</si>
  <si>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</si>
  <si>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</si>
  <si>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</si>
  <si>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</si>
  <si>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</si>
  <si>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</si>
  <si>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</si>
  <si>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</si>
  <si>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</si>
  <si>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</si>
  <si>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</si>
  <si>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</si>
  <si>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</si>
  <si>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</si>
  <si>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</si>
  <si>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</si>
  <si>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</si>
  <si>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</si>
  <si>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</si>
  <si>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</si>
  <si>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</si>
  <si>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</si>
  <si>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</si>
  <si>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</si>
  <si>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</si>
  <si>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</si>
  <si>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</si>
  <si>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</si>
  <si>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</si>
  <si>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</si>
  <si>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</si>
  <si>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</si>
  <si>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</si>
  <si>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</si>
  <si>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</si>
  <si>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</si>
  <si>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</si>
  <si>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</si>
  <si>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</si>
  <si>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</si>
  <si>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</si>
  <si>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</si>
  <si>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</si>
  <si>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</si>
  <si>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</si>
  <si>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</si>
  <si>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</si>
  <si>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</si>
  <si>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</si>
  <si>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</si>
  <si>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</si>
  <si>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</si>
  <si>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</si>
  <si>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</si>
  <si>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</si>
  <si>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</si>
  <si>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</si>
  <si>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</si>
  <si>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</si>
  <si>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</si>
  <si>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</si>
  <si>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</si>
  <si>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</si>
  <si>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</si>
  <si>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</si>
  <si>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</si>
  <si>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</si>
  <si>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</si>
  <si>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</si>
  <si>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</si>
  <si>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</si>
  <si>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</si>
  <si>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</si>
  <si>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</si>
  <si>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</si>
  <si>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</si>
  <si>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</si>
  <si>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</si>
  <si>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</si>
  <si>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</si>
  <si>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</si>
  <si>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</si>
  <si>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</si>
  <si>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</si>
  <si>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</si>
  <si>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</si>
  <si>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</si>
  <si>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</si>
  <si>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</si>
  <si>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</si>
  <si>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</si>
  <si>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</si>
  <si>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</si>
  <si>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</si>
  <si>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</si>
  <si>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</si>
  <si>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</si>
  <si>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</si>
  <si>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</si>
  <si>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</si>
  <si>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</si>
  <si>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</si>
  <si>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</si>
  <si>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</si>
  <si>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</si>
  <si>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</si>
  <si>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</si>
  <si>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</si>
  <si>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</si>
  <si>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</si>
  <si>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</si>
  <si>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</si>
  <si>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</si>
  <si>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</si>
  <si>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</si>
  <si>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</si>
  <si>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</si>
  <si>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</si>
  <si>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</si>
  <si>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</si>
  <si>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</si>
  <si>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</si>
  <si>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</si>
  <si>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</si>
  <si>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</si>
  <si>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</si>
  <si>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</si>
  <si>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</si>
  <si>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</si>
  <si>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</si>
  <si>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</si>
  <si>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</si>
  <si>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</si>
  <si>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</si>
  <si>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</si>
  <si>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</si>
  <si>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</si>
  <si>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</si>
  <si>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</si>
  <si>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</si>
  <si>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</si>
  <si>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</si>
  <si>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</si>
  <si>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</si>
  <si>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</si>
  <si>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</si>
  <si>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</si>
  <si>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</si>
  <si>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</si>
  <si>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</si>
  <si>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</si>
  <si>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</si>
  <si>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</si>
  <si>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</si>
  <si>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</si>
  <si>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</si>
  <si>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</si>
  <si>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</si>
  <si>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</si>
  <si>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</si>
  <si>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</si>
  <si>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</si>
  <si>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</si>
  <si>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</si>
  <si>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</si>
  <si>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</si>
  <si>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</si>
  <si>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</si>
  <si>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</si>
  <si>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</si>
  <si>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</si>
  <si>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</si>
  <si>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</si>
  <si>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</si>
  <si>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</si>
  <si>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</si>
  <si>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</si>
  <si>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</si>
  <si>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</si>
  <si>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</si>
  <si>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</si>
  <si>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</si>
  <si>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</si>
  <si>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</si>
  <si>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</si>
  <si>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</si>
  <si>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</si>
  <si>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</si>
  <si>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</si>
  <si>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</si>
  <si>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</si>
  <si>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</si>
  <si>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</si>
  <si>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</si>
  <si>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</si>
  <si>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</si>
  <si>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</si>
  <si>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</si>
  <si>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</si>
  <si>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</si>
  <si>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</si>
  <si>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</si>
  <si>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</si>
  <si>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</si>
  <si>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</si>
  <si>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</si>
  <si>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</si>
  <si>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</si>
  <si>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</si>
  <si>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</si>
  <si>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</si>
  <si>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</si>
  <si>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</si>
  <si>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</si>
  <si>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</si>
  <si>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</si>
  <si>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</si>
  <si>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</si>
  <si>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</si>
  <si>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</si>
  <si>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</si>
  <si>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</si>
  <si>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</si>
  <si>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</si>
  <si>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</si>
  <si>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</si>
  <si>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</si>
  <si>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</si>
  <si>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</si>
  <si>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</si>
  <si>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</si>
  <si>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</si>
  <si>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</si>
  <si>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</si>
  <si>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</si>
  <si>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</si>
  <si>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</si>
  <si>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</si>
  <si>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</si>
  <si>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</si>
  <si>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</si>
  <si>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</si>
  <si>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</si>
  <si>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</si>
  <si>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</si>
  <si>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</si>
  <si>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</si>
  <si>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</si>
  <si>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</si>
  <si>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</si>
  <si>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</si>
  <si>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</si>
  <si>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</si>
  <si>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</si>
  <si>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</si>
  <si>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</si>
  <si>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</si>
  <si>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</si>
  <si>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</si>
  <si>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</si>
  <si>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</si>
  <si>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</si>
  <si>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</si>
  <si>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</si>
  <si>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</si>
  <si>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</si>
  <si>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</si>
  <si>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</si>
  <si>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</si>
  <si>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</si>
  <si>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</si>
  <si>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</si>
  <si>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</si>
  <si>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</si>
  <si>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</si>
  <si>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</si>
  <si>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</si>
  <si>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</si>
  <si>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</si>
  <si>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</si>
  <si>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</si>
  <si>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</si>
  <si>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</si>
  <si>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</si>
  <si>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</si>
  <si>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</si>
  <si>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</si>
  <si>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</si>
  <si>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</si>
  <si>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</si>
  <si>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</si>
  <si>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</si>
  <si>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</si>
  <si>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</si>
  <si>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</si>
  <si>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</si>
  <si>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</si>
  <si>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</si>
  <si>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</si>
  <si>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</si>
  <si>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</si>
  <si>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</si>
  <si>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</si>
  <si>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</si>
  <si>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</si>
  <si>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</si>
  <si>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</si>
  <si>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</si>
  <si>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</si>
  <si>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</si>
  <si>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</si>
  <si>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</si>
  <si>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</si>
  <si>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</si>
  <si>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</si>
  <si>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</si>
  <si>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</si>
  <si>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</si>
  <si>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</si>
  <si>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</si>
  <si>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</si>
  <si>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</si>
  <si>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</si>
  <si>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</si>
  <si>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</si>
  <si>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</si>
  <si>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</si>
  <si>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</si>
  <si>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</si>
  <si>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</si>
  <si>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</si>
  <si>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</si>
  <si>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</si>
  <si>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</si>
  <si>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</si>
  <si>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</si>
  <si>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</si>
  <si>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</si>
  <si>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</si>
  <si>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</si>
  <si>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</si>
  <si>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</si>
  <si>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</si>
  <si>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</si>
  <si>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</si>
  <si>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</si>
  <si>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</si>
  <si>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</si>
  <si>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</si>
  <si>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</si>
  <si>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</si>
  <si>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</si>
  <si>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</si>
  <si>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</si>
  <si>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</si>
  <si>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</si>
  <si>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</si>
  <si>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</si>
  <si>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</si>
  <si>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</si>
  <si>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</si>
  <si>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</si>
  <si>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</si>
  <si>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</si>
  <si>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</si>
  <si>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</si>
  <si>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</si>
  <si>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</si>
  <si>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</si>
  <si>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</si>
  <si>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</si>
  <si>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</si>
  <si>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</si>
  <si>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</si>
  <si>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</si>
  <si>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</si>
  <si>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</si>
  <si>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</si>
  <si>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</si>
  <si>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</si>
  <si>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</si>
  <si>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</si>
  <si>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</si>
  <si>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</si>
  <si>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</si>
  <si>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</si>
  <si>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</si>
  <si>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</si>
  <si>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</si>
  <si>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</si>
  <si>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</si>
  <si>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</si>
  <si>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</si>
  <si>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</si>
  <si>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</si>
  <si>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</si>
  <si>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</si>
  <si>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</si>
  <si>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</si>
  <si>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</si>
  <si>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</si>
  <si>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</si>
  <si>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</si>
  <si>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</si>
  <si>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</si>
  <si>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</si>
  <si>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</si>
  <si>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</si>
  <si>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</si>
  <si>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</si>
  <si>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</si>
  <si>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</si>
  <si>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</si>
  <si>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</si>
  <si>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</si>
  <si>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</si>
  <si>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</si>
  <si>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</si>
  <si>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</si>
  <si>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</si>
  <si>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</si>
  <si>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</si>
  <si>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</si>
  <si>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</si>
  <si>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</si>
  <si>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</si>
  <si>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</si>
  <si>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</si>
  <si>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</si>
  <si>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</si>
  <si>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</si>
  <si>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</si>
  <si>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</si>
  <si>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</si>
  <si>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</si>
  <si>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</si>
  <si>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</si>
  <si>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</si>
  <si>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</si>
  <si>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</si>
  <si>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</si>
  <si>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</si>
  <si>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</si>
  <si>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</si>
  <si>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</si>
  <si>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</si>
  <si>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</si>
  <si>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</si>
  <si>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</si>
  <si>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</si>
  <si>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</si>
  <si>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</si>
  <si>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</si>
  <si>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</si>
  <si>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</si>
  <si>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</si>
  <si>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</si>
  <si>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</si>
  <si>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</si>
  <si>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</si>
  <si>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</si>
  <si>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</si>
  <si>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</si>
  <si>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</si>
  <si>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</si>
  <si>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</si>
  <si>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</si>
  <si>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</si>
  <si>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</si>
  <si>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</si>
  <si>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</si>
  <si>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</si>
  <si>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</si>
  <si>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</si>
  <si>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</si>
  <si>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</si>
  <si>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</si>
  <si>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</si>
  <si>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</si>
  <si>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</si>
  <si>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</si>
  <si>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</si>
  <si>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</si>
  <si>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</si>
  <si>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</si>
  <si>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</si>
  <si>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</si>
  <si>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</si>
  <si>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</si>
  <si>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</si>
  <si>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</si>
  <si>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</si>
  <si>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</si>
  <si>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</si>
  <si>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</si>
  <si>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</si>
  <si>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</si>
  <si>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</si>
  <si>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</si>
  <si>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</si>
  <si>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</si>
  <si>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</si>
  <si>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</si>
  <si>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</si>
  <si>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</si>
  <si>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</si>
  <si>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</si>
  <si>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</si>
  <si>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</si>
  <si>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</si>
  <si>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</si>
  <si>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</si>
  <si>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</si>
  <si>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</si>
  <si>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</si>
  <si>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</si>
  <si>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</si>
  <si>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</si>
  <si>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</si>
  <si>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</si>
  <si>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</si>
  <si>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</si>
  <si>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</si>
  <si>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</si>
  <si>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</si>
  <si>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</si>
  <si>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</si>
  <si>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</si>
  <si>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</si>
  <si>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</si>
  <si>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</si>
  <si>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</si>
  <si>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</si>
  <si>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</si>
  <si>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</si>
  <si>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</si>
  <si>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</si>
  <si>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</si>
  <si>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</si>
  <si>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</si>
  <si>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</si>
  <si>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</si>
  <si>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</si>
  <si>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</si>
  <si>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</si>
  <si>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</si>
  <si>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</si>
  <si>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</si>
  <si>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</si>
  <si>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</si>
  <si>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</si>
  <si>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</si>
  <si>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</si>
  <si>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</si>
  <si>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</si>
  <si>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</si>
  <si>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</si>
  <si>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</si>
  <si>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</si>
  <si>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</si>
  <si>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</si>
  <si>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</si>
  <si>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</si>
  <si>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</si>
  <si>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</si>
  <si>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</si>
  <si>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</si>
  <si>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</si>
  <si>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</si>
  <si>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</si>
  <si>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</si>
  <si>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</si>
  <si>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</si>
  <si>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</si>
  <si>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</si>
  <si>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</si>
  <si>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</si>
  <si>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</si>
  <si>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</si>
  <si>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</si>
  <si>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</si>
  <si>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</si>
  <si>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</si>
  <si>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</si>
  <si>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</si>
  <si>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</si>
  <si>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</si>
  <si>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</si>
  <si>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</si>
  <si>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</si>
  <si>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</si>
  <si>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</si>
  <si>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</si>
  <si>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</si>
  <si>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</si>
  <si>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</si>
  <si>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</si>
  <si>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</si>
  <si>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</si>
  <si>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</si>
  <si>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</si>
  <si>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</si>
  <si>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</si>
  <si>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</si>
  <si>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</si>
  <si>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</si>
  <si>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</si>
  <si>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</si>
  <si>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</si>
  <si>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</si>
  <si>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</si>
  <si>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</si>
  <si>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</si>
  <si>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</si>
  <si>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</si>
  <si>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</si>
  <si>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</si>
  <si>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</si>
  <si>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</si>
  <si>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</si>
  <si>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</si>
  <si>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</si>
  <si>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</si>
  <si>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</si>
  <si>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</si>
  <si>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</si>
  <si>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</si>
  <si>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</si>
  <si>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</si>
  <si>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</si>
  <si>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</si>
  <si>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</si>
  <si>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</si>
  <si>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</si>
  <si>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</si>
  <si>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</si>
  <si>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</si>
  <si>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</si>
  <si>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</si>
  <si>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</si>
  <si>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</si>
  <si>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</si>
  <si>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</si>
  <si>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</si>
  <si>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</si>
  <si>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</si>
  <si>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</si>
  <si>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</si>
  <si>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</si>
  <si>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</si>
  <si>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</si>
  <si>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</si>
  <si>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</si>
  <si>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</si>
  <si>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</si>
  <si>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</si>
  <si>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</si>
  <si>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</si>
  <si>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</si>
  <si>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</si>
  <si>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</si>
  <si>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</si>
  <si>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</si>
  <si>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</si>
  <si>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</si>
  <si>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</si>
  <si>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</si>
  <si>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</si>
  <si>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</si>
  <si>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</si>
  <si>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</si>
  <si>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</si>
  <si>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</si>
  <si>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</si>
  <si>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</si>
  <si>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</si>
  <si>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</si>
  <si>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</si>
  <si>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</si>
  <si>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</si>
  <si>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</si>
  <si>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</si>
  <si>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</si>
  <si>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</si>
  <si>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</si>
  <si>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</si>
  <si>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</si>
  <si>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</si>
  <si>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</si>
  <si>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</si>
  <si>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</si>
  <si>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</si>
  <si>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</si>
  <si>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</si>
  <si>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</si>
  <si>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</si>
  <si>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</si>
  <si>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</si>
  <si>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</si>
  <si>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</si>
  <si>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</si>
  <si>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</si>
  <si>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</si>
  <si>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</si>
  <si>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</si>
  <si>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</si>
  <si>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</si>
  <si>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</si>
  <si>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</si>
  <si>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</si>
  <si>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</si>
  <si>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</si>
  <si>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</si>
  <si>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</si>
  <si>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</si>
  <si>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</si>
  <si>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</si>
  <si>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</si>
  <si>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</si>
  <si>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</si>
  <si>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</si>
  <si>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</si>
  <si>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</si>
  <si>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</si>
  <si>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</si>
  <si>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</si>
  <si>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</si>
  <si>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</si>
  <si>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</si>
  <si>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</si>
  <si>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</si>
  <si>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</si>
  <si>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</si>
  <si>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</si>
  <si>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</si>
  <si>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</si>
  <si>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</si>
  <si>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</si>
  <si>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</si>
  <si>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</si>
  <si>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</si>
  <si>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</si>
  <si>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</si>
  <si>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</si>
  <si>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</si>
  <si>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</si>
  <si>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</si>
  <si>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</si>
  <si>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</si>
  <si>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</si>
  <si>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</si>
  <si>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</si>
  <si>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</si>
  <si>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</si>
  <si>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</si>
  <si>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</si>
  <si>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</si>
  <si>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</si>
  <si>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</si>
  <si>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</si>
  <si>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</si>
  <si>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</si>
  <si>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</si>
  <si>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</si>
  <si>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</si>
  <si>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</si>
  <si>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</si>
  <si>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</si>
  <si>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</si>
  <si>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</si>
  <si>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</si>
  <si>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</si>
  <si>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</si>
  <si>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</si>
  <si>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</si>
  <si>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</si>
  <si>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</si>
  <si>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</si>
  <si>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</si>
  <si>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</si>
  <si>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</si>
  <si>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</si>
  <si>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</si>
  <si>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</si>
  <si>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</si>
  <si>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</si>
  <si>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</si>
  <si>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</si>
  <si>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</si>
  <si>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</si>
  <si>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</si>
  <si>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</si>
  <si>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</si>
  <si>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</si>
  <si>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</si>
  <si>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</si>
  <si>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</si>
  <si>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</si>
  <si>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</si>
  <si>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</si>
  <si>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</si>
  <si>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</si>
  <si>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</si>
  <si>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</si>
  <si>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</si>
  <si>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</si>
  <si>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</si>
  <si>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</si>
  <si>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</si>
  <si>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</si>
  <si>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</si>
  <si>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</si>
  <si>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</si>
  <si>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</si>
  <si>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</si>
  <si>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</si>
  <si>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</si>
  <si>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</si>
  <si>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</si>
  <si>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</si>
  <si>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</si>
  <si>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</si>
  <si>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</si>
  <si>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</si>
  <si>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</si>
  <si>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</si>
  <si>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</si>
  <si>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</si>
  <si>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</si>
  <si>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</si>
  <si>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</si>
  <si>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</si>
  <si>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</si>
  <si>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</si>
  <si>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</si>
  <si>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</si>
  <si>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</si>
  <si>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</si>
  <si>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</si>
  <si>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</si>
  <si>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</si>
  <si>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</si>
  <si>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</si>
  <si>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</si>
  <si>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</si>
  <si>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</si>
  <si>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</si>
  <si>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</si>
  <si>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</si>
  <si>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</si>
  <si>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</si>
  <si>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</si>
  <si>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</si>
  <si>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</si>
  <si>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</si>
  <si>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</si>
  <si>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</si>
  <si>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</si>
  <si>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</si>
  <si>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</si>
  <si>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</si>
  <si>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</si>
  <si>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</si>
  <si>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</si>
  <si>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</si>
  <si>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</si>
  <si>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</si>
  <si>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</si>
  <si>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</si>
  <si>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</si>
  <si>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</si>
  <si>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</si>
  <si>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</si>
  <si>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</si>
  <si>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</si>
  <si>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</si>
  <si>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</si>
  <si>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</si>
  <si>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</si>
  <si>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</si>
  <si>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</si>
  <si>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</si>
  <si>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</si>
  <si>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</si>
  <si>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</si>
  <si>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</si>
  <si>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</si>
  <si>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</si>
  <si>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</si>
  <si>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</si>
  <si>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</si>
  <si>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</si>
  <si>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</si>
  <si>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</si>
  <si>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</si>
  <si>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</si>
  <si>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</si>
  <si>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</si>
  <si>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</si>
  <si>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</si>
  <si>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</si>
  <si>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</si>
  <si>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</si>
  <si>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</si>
  <si>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</si>
  <si>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</si>
  <si>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</si>
  <si>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</si>
  <si>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</si>
  <si>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</si>
  <si>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</si>
  <si>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</si>
  <si>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</si>
  <si>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</si>
  <si>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</si>
  <si>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</si>
  <si>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</si>
  <si>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</si>
  <si>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</si>
  <si>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</si>
  <si>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</si>
  <si>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</si>
  <si>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</si>
  <si>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</si>
  <si>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</si>
  <si>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</si>
  <si>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</si>
  <si>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</si>
  <si>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</si>
  <si>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</si>
  <si>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</si>
  <si>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</si>
  <si>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</si>
  <si>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</si>
  <si>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</si>
  <si>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</si>
  <si>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</si>
  <si>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</si>
  <si>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</si>
  <si>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</si>
  <si>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</si>
  <si>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</si>
  <si>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</si>
  <si>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</si>
  <si>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</si>
  <si>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</si>
  <si>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</si>
  <si>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</si>
  <si>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</si>
  <si>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</si>
  <si>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</si>
  <si>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</si>
  <si>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</si>
  <si>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</si>
  <si>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</si>
  <si>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</si>
  <si>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</si>
  <si>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</si>
  <si>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</si>
  <si>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</si>
  <si>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</si>
  <si>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</si>
  <si>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</si>
  <si>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</si>
  <si>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</si>
  <si>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</si>
  <si>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</si>
  <si>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</si>
  <si>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</si>
  <si>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</si>
  <si>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</si>
  <si>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</si>
  <si>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</si>
  <si>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</si>
  <si>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</si>
  <si>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</si>
  <si>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</si>
  <si>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</si>
  <si>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</si>
  <si>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</si>
  <si>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</si>
  <si>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</si>
  <si>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</si>
  <si>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</si>
  <si>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</si>
  <si>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</si>
  <si>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</si>
  <si>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</si>
  <si>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</si>
  <si>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</si>
  <si>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</si>
  <si>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</si>
  <si>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</si>
  <si>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</si>
  <si>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</si>
  <si>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</si>
  <si>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</si>
  <si>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</si>
  <si>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</si>
  <si>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</si>
  <si>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</si>
  <si>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</si>
  <si>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</si>
  <si>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</si>
  <si>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</si>
  <si>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</si>
  <si>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</si>
  <si>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</si>
  <si>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</si>
  <si>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</si>
  <si>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</si>
  <si>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</si>
  <si>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</si>
  <si>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</si>
  <si>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</si>
  <si>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</si>
  <si>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</si>
  <si>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</si>
  <si>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</si>
  <si>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</si>
  <si>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</si>
  <si>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</si>
  <si>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</si>
  <si>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</si>
  <si>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</si>
  <si>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</si>
  <si>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</si>
  <si>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</si>
  <si>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</si>
  <si>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</si>
  <si>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</si>
  <si>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</si>
  <si>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</si>
  <si>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</si>
  <si>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</si>
  <si>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</si>
  <si>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</si>
  <si>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</si>
  <si>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</si>
  <si>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</si>
  <si>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</si>
  <si>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</si>
  <si>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</si>
  <si>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</si>
  <si>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</si>
  <si>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</si>
  <si>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</si>
  <si>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</si>
  <si>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</si>
  <si>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</si>
  <si>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</si>
  <si>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</si>
  <si>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</si>
  <si>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</si>
  <si>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</si>
  <si>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</si>
  <si>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</si>
  <si>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</si>
  <si>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</si>
  <si>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</si>
  <si>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</si>
  <si>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</si>
  <si>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</si>
  <si>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</si>
  <si>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</si>
  <si>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UPAH LAIN-LAIN</t>
  </si>
  <si>
    <t>Staff Teknik</t>
  </si>
  <si>
    <t>TL. Teknik</t>
  </si>
  <si>
    <t>MULP</t>
  </si>
  <si>
    <t>PEMASANGAN TRAFO</t>
  </si>
  <si>
    <t>I2</t>
  </si>
  <si>
    <t>PEMBANGUNAN JARINGAN TM</t>
  </si>
  <si>
    <t>Pemasangan APP Di Tiang</t>
  </si>
  <si>
    <t>CM2-11</t>
  </si>
  <si>
    <t>K3-27/37/1T</t>
  </si>
  <si>
    <t>KDS 16</t>
  </si>
  <si>
    <t>DS GEMPOLDENOK KEC. DEMPET</t>
  </si>
  <si>
    <t>Daya 131.000 VA</t>
  </si>
  <si>
    <t>APP DAYA 131 KVA</t>
  </si>
  <si>
    <t>APP DAYA 197 KVA</t>
  </si>
  <si>
    <t>KOORDINAT : -6.9229835, 110.7567094</t>
  </si>
  <si>
    <t>UD SRI REZEKI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</si>
</sst>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202124"/>
      <name val="Inherit"/>
    </font>
    <font>
      <sz val="11"/>
      <color rgb="FF00000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43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33" fillId="0" borderId="0" applyFont="0" applyFill="0" applyBorder="0" applyAlignment="0" applyProtection="0"/>
    <xf numFmtId="178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17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18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204" fontId="19" fillId="0" borderId="0" applyFont="0" applyFill="0" applyBorder="0" applyAlignment="0" applyProtection="0"/>
    <xf numFmtId="20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4" fontId="33" fillId="0" borderId="3"/>
    <xf numFmtId="184" fontId="19" fillId="0" borderId="3"/>
    <xf numFmtId="42" fontId="20" fillId="0" borderId="0" applyFont="0" applyFill="0" applyBorder="0" applyAlignment="0" applyProtection="0"/>
    <xf numFmtId="42" fontId="45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67" fillId="0" borderId="0" applyFont="0" applyFill="0" applyBorder="0" applyAlignment="0" applyProtection="0"/>
    <xf numFmtId="186" fontId="69" fillId="0" borderId="0">
      <protection locked="0"/>
    </xf>
    <xf numFmtId="14" fontId="61" fillId="0" borderId="0" applyFill="0" applyBorder="0" applyAlignment="0"/>
    <xf numFmtId="187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88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89" fontId="74" fillId="0" borderId="0">
      <protection locked="0"/>
    </xf>
    <xf numFmtId="189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0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1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19" fillId="0" borderId="0"/>
    <xf numFmtId="191" fontId="33" fillId="0" borderId="0"/>
    <xf numFmtId="170" fontId="80" fillId="0" borderId="0"/>
    <xf numFmtId="170" fontId="81" fillId="0" borderId="0"/>
    <xf numFmtId="170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2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0" fontId="81" fillId="0" borderId="0"/>
    <xf numFmtId="0" fontId="81" fillId="0" borderId="0"/>
    <xf numFmtId="193" fontId="81" fillId="0" borderId="0"/>
    <xf numFmtId="194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3" fontId="81" fillId="0" borderId="0"/>
    <xf numFmtId="0" fontId="81" fillId="0" borderId="0"/>
    <xf numFmtId="0" fontId="33" fillId="0" borderId="0"/>
    <xf numFmtId="0" fontId="19" fillId="0" borderId="0"/>
    <xf numFmtId="180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6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5" fontId="81" fillId="0" borderId="0"/>
    <xf numFmtId="197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2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2" fontId="40" fillId="0" borderId="0"/>
    <xf numFmtId="192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4" fontId="33" fillId="0" borderId="0" applyFont="0" applyFill="0" applyBorder="0" applyAlignment="0" applyProtection="0"/>
    <xf numFmtId="174" fontId="19" fillId="0" borderId="0" applyFont="0" applyFill="0" applyBorder="0" applyAlignment="0" applyProtection="0"/>
    <xf numFmtId="198" fontId="33" fillId="0" borderId="0" applyFont="0" applyFill="0" applyBorder="0" applyAlignment="0" applyProtection="0"/>
    <xf numFmtId="198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1" fillId="0" borderId="0"/>
    <xf numFmtId="199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0" fontId="33" fillId="0" borderId="0" applyFill="0" applyBorder="0" applyAlignment="0"/>
    <xf numFmtId="200" fontId="19" fillId="0" borderId="0" applyFill="0" applyBorder="0" applyAlignment="0"/>
    <xf numFmtId="201" fontId="33" fillId="0" borderId="0" applyFill="0" applyBorder="0" applyAlignment="0"/>
    <xf numFmtId="201" fontId="19" fillId="0" borderId="0" applyFill="0" applyBorder="0" applyAlignment="0"/>
    <xf numFmtId="202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64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164" fontId="172" fillId="0" borderId="0" applyFont="0" applyFill="0" applyBorder="0" applyAlignment="0" applyProtection="0"/>
    <xf numFmtId="0" fontId="19" fillId="0" borderId="0"/>
    <xf numFmtId="0" fontId="174" fillId="0" borderId="0" applyNumberFormat="0" applyFill="0" applyBorder="0" applyAlignment="0" applyProtection="0"/>
  </cellStyleXfs>
  <cellXfs count="71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41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41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41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43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7" fontId="42" fillId="0" borderId="0" xfId="714" applyFont="1" applyFill="1" applyAlignment="1">
      <alignment horizontal="center" wrapText="1"/>
    </xf>
    <xf numFmtId="167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7" fontId="42" fillId="0" borderId="21" xfId="715" applyNumberFormat="1" applyFont="1" applyFill="1" applyBorder="1" applyAlignment="1">
      <alignment horizontal="center" vertical="center" wrapText="1"/>
    </xf>
    <xf numFmtId="167" fontId="42" fillId="0" borderId="21" xfId="714" applyFont="1" applyFill="1" applyBorder="1" applyAlignment="1">
      <alignment horizontal="center" vertical="center" wrapText="1"/>
    </xf>
    <xf numFmtId="167" fontId="42" fillId="0" borderId="33" xfId="714" applyFont="1" applyFill="1" applyBorder="1" applyAlignment="1">
      <alignment horizontal="center" vertical="center" wrapText="1"/>
    </xf>
    <xf numFmtId="43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43" fontId="41" fillId="0" borderId="0" xfId="1615" applyNumberFormat="1" applyFont="1" applyAlignment="1">
      <alignment horizontal="left" vertical="center"/>
    </xf>
    <xf numFmtId="43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5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41" fontId="93" fillId="0" borderId="0" xfId="1448" applyNumberFormat="1" applyFont="1" applyAlignment="1">
      <alignment wrapText="1"/>
    </xf>
    <xf numFmtId="41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7" fontId="42" fillId="0" borderId="21" xfId="717" applyNumberFormat="1" applyFont="1" applyFill="1" applyBorder="1" applyAlignment="1" applyProtection="1">
      <alignment horizontal="center" vertical="center" wrapText="1"/>
    </xf>
    <xf numFmtId="41" fontId="42" fillId="0" borderId="21" xfId="1451" applyNumberFormat="1" applyFont="1" applyBorder="1" applyAlignment="1">
      <alignment horizontal="center" vertical="center" wrapText="1"/>
    </xf>
    <xf numFmtId="167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7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7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7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43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41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43" fontId="143" fillId="36" borderId="0" xfId="2672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7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0" fillId="0" borderId="0" xfId="1538"/>
    <xf numFmtId="43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43" fontId="0" fillId="0" borderId="3" xfId="1026" applyFont="1" applyFill="1" applyBorder="1" applyProtection="1"/>
    <xf numFmtId="43" fontId="110" fillId="0" borderId="3" xfId="1538" applyNumberFormat="1" applyBorder="1"/>
    <xf numFmtId="43" fontId="138" fillId="0" borderId="3" xfId="1026" applyFont="1" applyBorder="1" applyProtection="1"/>
    <xf numFmtId="43" fontId="0" fillId="0" borderId="3" xfId="1026" applyFont="1" applyBorder="1" applyProtection="1"/>
    <xf numFmtId="43" fontId="126" fillId="0" borderId="3" xfId="1538" applyNumberFormat="1" applyFont="1" applyBorder="1"/>
    <xf numFmtId="0" fontId="59" fillId="0" borderId="3" xfId="1538" applyFont="1" applyBorder="1"/>
    <xf numFmtId="41" fontId="110" fillId="0" borderId="3" xfId="1538" applyNumberFormat="1" applyBorder="1"/>
    <xf numFmtId="43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43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43" fontId="47" fillId="0" borderId="0" xfId="1538" applyNumberFormat="1" applyFont="1"/>
    <xf numFmtId="0" fontId="110" fillId="29" borderId="3" xfId="1538" applyFill="1" applyBorder="1"/>
    <xf numFmtId="167" fontId="110" fillId="29" borderId="3" xfId="1538" applyNumberFormat="1" applyFill="1" applyBorder="1" applyAlignment="1">
      <alignment horizontal="right"/>
    </xf>
    <xf numFmtId="165" fontId="110" fillId="0" borderId="0" xfId="1538" applyNumberFormat="1"/>
    <xf numFmtId="43" fontId="110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43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49" fillId="0" borderId="20" xfId="1653" applyFont="1" applyBorder="1" applyAlignment="1">
      <alignment horizontal="center" vertical="center"/>
    </xf>
    <xf numFmtId="0" fontId="149" fillId="0" borderId="21" xfId="1451" applyFont="1" applyBorder="1" applyAlignment="1">
      <alignment horizontal="left" vertical="center" wrapText="1"/>
    </xf>
    <xf numFmtId="0" fontId="150" fillId="0" borderId="21" xfId="1653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5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37" fontId="148" fillId="0" borderId="0" xfId="1614" applyNumberFormat="1" applyFont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41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43" fontId="139" fillId="40" borderId="85" xfId="2672" applyFont="1" applyFill="1" applyBorder="1" applyAlignment="1" applyProtection="1">
      <alignment horizontal="right" vertical="center" wrapText="1"/>
      <protection locked="0"/>
    </xf>
    <xf numFmtId="43" fontId="139" fillId="40" borderId="87" xfId="2672" applyFont="1" applyFill="1" applyBorder="1" applyAlignment="1" applyProtection="1">
      <alignment horizontal="right" vertical="center"/>
      <protection locked="0"/>
    </xf>
    <xf numFmtId="167" fontId="139" fillId="40" borderId="87" xfId="2672" applyNumberFormat="1" applyFont="1" applyFill="1" applyBorder="1" applyAlignment="1" applyProtection="1">
      <alignment horizontal="right" vertical="center"/>
      <protection locked="0"/>
    </xf>
    <xf numFmtId="167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1" xfId="0" applyNumberFormat="1" applyFont="1" applyFill="1" applyBorder="1" applyAlignment="1">
      <alignment horizontal="left" vertical="center"/>
    </xf>
    <xf numFmtId="164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5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7" fontId="143" fillId="47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8" fillId="0" borderId="99" xfId="1450" applyFont="1" applyBorder="1" applyAlignment="1">
      <alignment horizontal="center" vertical="center"/>
    </xf>
    <xf numFmtId="0" fontId="174" fillId="33" borderId="0" xfId="2678" applyFill="1"/>
    <xf numFmtId="0" fontId="3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8" fillId="0" borderId="21" xfId="1614" applyFont="1" applyBorder="1" applyAlignment="1">
      <alignment horizontal="center" vertical="center" wrapText="1"/>
    </xf>
    <xf numFmtId="0" fontId="175" fillId="0" borderId="0" xfId="0" applyFont="1" applyAlignment="1">
      <alignment horizontal="left" vertical="center" wrapText="1"/>
    </xf>
    <xf numFmtId="0" fontId="176" fillId="0" borderId="0" xfId="0" applyFont="1" applyAlignment="1">
      <alignment vertical="center" wrapText="1"/>
    </xf>
    <xf numFmtId="49" fontId="90" fillId="33" borderId="60" xfId="0" applyNumberFormat="1" applyFont="1" applyFill="1" applyBorder="1" applyAlignment="1">
      <alignment horizontal="left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90" fillId="33" borderId="80" xfId="0" applyFont="1" applyFill="1" applyBorder="1" applyAlignment="1">
      <alignment horizontal="left" vertical="center"/>
    </xf>
    <xf numFmtId="0" fontId="90" fillId="33" borderId="81" xfId="0" applyFont="1" applyFill="1" applyBorder="1" applyAlignment="1">
      <alignment horizontal="left" vertical="center"/>
    </xf>
    <xf numFmtId="0" fontId="113" fillId="33" borderId="0" xfId="0" applyFont="1" applyFill="1" applyAlignment="1">
      <alignment vertical="center" wrapText="1"/>
    </xf>
    <xf numFmtId="0" fontId="113" fillId="33" borderId="37" xfId="0" applyFont="1" applyFill="1" applyBorder="1" applyAlignment="1">
      <alignment vertical="center" wrapText="1"/>
    </xf>
    <xf numFmtId="0" fontId="113" fillId="33" borderId="44" xfId="0" applyFont="1" applyFill="1" applyBorder="1" applyAlignment="1">
      <alignment vertical="center" wrapText="1"/>
    </xf>
    <xf numFmtId="0" fontId="113" fillId="33" borderId="45" xfId="0" applyFont="1" applyFill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7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165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0" fontId="165" fillId="44" borderId="3" xfId="2673" applyFont="1" applyFill="1" applyBorder="1" applyAlignment="1">
      <alignment horizontal="center" vertical="center" wrapText="1"/>
    </xf>
    <xf numFmtId="0" fontId="165" fillId="44" borderId="39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2" fontId="133" fillId="45" borderId="3" xfId="2673" applyNumberFormat="1" applyFont="1" applyFill="1" applyBorder="1" applyAlignment="1">
      <alignment horizontal="center" vertical="center" wrapText="1"/>
    </xf>
    <xf numFmtId="2" fontId="133" fillId="45" borderId="39" xfId="2673" applyNumberFormat="1" applyFont="1" applyFill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165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165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54" fillId="35" borderId="3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15" fontId="113" fillId="33" borderId="3" xfId="0" applyNumberFormat="1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90" fillId="33" borderId="60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6" fontId="118" fillId="0" borderId="73" xfId="1450" applyNumberFormat="1" applyFont="1" applyBorder="1" applyAlignment="1">
      <alignment horizontal="left" vertical="center"/>
    </xf>
    <xf numFmtId="206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  <xf numFmtId="0" fontId="118" fillId="0" borderId="69" xfId="1450" applyFont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-0.41250000000000003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0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25</xdr:row>
          <xdr:rowOff>1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0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69</xdr:row>
      <xdr:rowOff>81642</xdr:rowOff>
    </xdr:from>
    <xdr:to>
      <xdr:col>11</xdr:col>
      <xdr:colOff>93061</xdr:colOff>
      <xdr:row>72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10849</xdr:colOff>
      <xdr:row>0</xdr:row>
      <xdr:rowOff>0</xdr:rowOff>
    </xdr:from>
    <xdr:to>
      <xdr:col>21</xdr:col>
      <xdr:colOff>107148</xdr:colOff>
      <xdr:row>5</xdr:row>
      <xdr:rowOff>10886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8D461F8-B1C8-4FA1-B8EF-3501ADDBD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87206" y="217714"/>
          <a:ext cx="858299" cy="789451"/>
        </a:xfrm>
        <a:prstGeom prst="rect">
          <a:avLst/>
        </a:prstGeom>
      </xdr:spPr>
    </xdr:pic>
    <xdr:clientData/>
  </xdr:twoCellAnchor>
  <xdr:twoCellAnchor>
    <xdr:from>
      <xdr:col>12</xdr:col>
      <xdr:colOff>224065</xdr:colOff>
      <xdr:row>24</xdr:row>
      <xdr:rowOff>127604</xdr:rowOff>
    </xdr:from>
    <xdr:to>
      <xdr:col>18</xdr:col>
      <xdr:colOff>283937</xdr:colOff>
      <xdr:row>32</xdr:row>
      <xdr:rowOff>57979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9B4210DF-573E-4E45-9B48-0CF154A77A5A}"/>
            </a:ext>
          </a:extLst>
        </xdr:cNvPr>
        <xdr:cNvSpPr txBox="1"/>
      </xdr:nvSpPr>
      <xdr:spPr>
        <a:xfrm>
          <a:off x="4348804" y="3771952"/>
          <a:ext cx="2345872" cy="1114788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b"/>
        <a:lstStyle/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UD SRI REZEKI</a:t>
          </a:r>
        </a:p>
        <a:p>
          <a:pPr algn="ctr"/>
          <a:endParaRPr lang="en-US" sz="8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19</xdr:col>
      <xdr:colOff>10849</xdr:colOff>
      <xdr:row>1</xdr:row>
      <xdr:rowOff>54428</xdr:rowOff>
    </xdr:from>
    <xdr:ext cx="858299" cy="800336"/>
    <xdr:pic>
      <xdr:nvPicPr>
        <xdr:cNvPr id="75" name="Picture 74">
          <a:extLst>
            <a:ext uri="{FF2B5EF4-FFF2-40B4-BE49-F238E27FC236}">
              <a16:creationId xmlns:a16="http://schemas.microsoft.com/office/drawing/2014/main" id="{D3A6B345-9A7D-48F9-AA08-ED23F194E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98092" y="217714"/>
          <a:ext cx="858299" cy="800336"/>
        </a:xfrm>
        <a:prstGeom prst="rect">
          <a:avLst/>
        </a:prstGeom>
      </xdr:spPr>
    </xdr:pic>
    <xdr:clientData/>
  </xdr:oneCellAnchor>
  <xdr:twoCellAnchor>
    <xdr:from>
      <xdr:col>26</xdr:col>
      <xdr:colOff>65006</xdr:colOff>
      <xdr:row>5</xdr:row>
      <xdr:rowOff>40289</xdr:rowOff>
    </xdr:from>
    <xdr:to>
      <xdr:col>29</xdr:col>
      <xdr:colOff>354335</xdr:colOff>
      <xdr:row>17</xdr:row>
      <xdr:rowOff>35534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2063008E-DAEE-45FC-8927-5AAF67FEC5D5}"/>
            </a:ext>
          </a:extLst>
        </xdr:cNvPr>
        <xdr:cNvGrpSpPr/>
      </xdr:nvGrpSpPr>
      <xdr:grpSpPr>
        <a:xfrm>
          <a:off x="9551906" y="821339"/>
          <a:ext cx="1489479" cy="1843095"/>
          <a:chOff x="9713886" y="808452"/>
          <a:chExt cx="1342558" cy="1766630"/>
        </a:xfrm>
      </xdr:grpSpPr>
      <xdr:grpSp>
        <xdr:nvGrpSpPr>
          <xdr:cNvPr id="82" name="Group 13">
            <a:extLst>
              <a:ext uri="{FF2B5EF4-FFF2-40B4-BE49-F238E27FC236}">
                <a16:creationId xmlns:a16="http://schemas.microsoft.com/office/drawing/2014/main" id="{BFD87E7A-FEDB-778B-A5E1-C2F62FF721FB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2" name="Oval 1">
              <a:extLst>
                <a:ext uri="{FF2B5EF4-FFF2-40B4-BE49-F238E27FC236}">
                  <a16:creationId xmlns:a16="http://schemas.microsoft.com/office/drawing/2014/main" id="{7643F706-2297-4228-4C95-84214D231465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3" name="Straight Connector 3">
              <a:extLst>
                <a:ext uri="{FF2B5EF4-FFF2-40B4-BE49-F238E27FC236}">
                  <a16:creationId xmlns:a16="http://schemas.microsoft.com/office/drawing/2014/main" id="{D2D658BA-6644-804C-DF2A-46DB2D7E1C2A}"/>
                </a:ext>
              </a:extLst>
            </xdr:cNvPr>
            <xdr:cNvCxnSpPr>
              <a:stCxn id="106" idx="1"/>
              <a:endCxn id="106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7">
              <a:extLst>
                <a:ext uri="{FF2B5EF4-FFF2-40B4-BE49-F238E27FC236}">
                  <a16:creationId xmlns:a16="http://schemas.microsoft.com/office/drawing/2014/main" id="{2466D51B-0A0B-0996-BA3D-0FF8E5814748}"/>
                </a:ext>
              </a:extLst>
            </xdr:cNvPr>
            <xdr:cNvCxnSpPr>
              <a:stCxn id="106" idx="3"/>
              <a:endCxn id="106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44119606-CCA6-8D60-3B74-E937B9C795A6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84" name="Group 83">
            <a:extLst>
              <a:ext uri="{FF2B5EF4-FFF2-40B4-BE49-F238E27FC236}">
                <a16:creationId xmlns:a16="http://schemas.microsoft.com/office/drawing/2014/main" id="{D8AF690C-0AE1-A7F5-E0AD-CECD5DB7DD9F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9" name="Oval 158">
              <a:extLst>
                <a:ext uri="{FF2B5EF4-FFF2-40B4-BE49-F238E27FC236}">
                  <a16:creationId xmlns:a16="http://schemas.microsoft.com/office/drawing/2014/main" id="{A43A8FEB-9016-0F7C-8457-2C32884EC16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CAC703F-DB95-34BB-F097-7A68CBD0A3D7}"/>
                </a:ext>
              </a:extLst>
            </xdr:cNvPr>
            <xdr:cNvCxnSpPr>
              <a:stCxn id="159" idx="1"/>
              <a:endCxn id="15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46583E9B-7D88-CE4A-17AB-B6D42310F580}"/>
                </a:ext>
              </a:extLst>
            </xdr:cNvPr>
            <xdr:cNvCxnSpPr>
              <a:stCxn id="159" idx="3"/>
              <a:endCxn id="15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6BF0F5BE-0C5A-8A1F-45D1-EAE5312D518F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BA813BF6-B01D-D4D1-A5CF-45366235C254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325A2CF6-26F6-05AC-1159-F18097D28F55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0CB7DFFA-2266-282C-4389-27902EA57164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BCB8D029-FBCB-1B75-296E-3894695F2F1B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B3BFFBF0-3E7E-C7F0-45D6-BA75D5D4C96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4DE0613E-B80A-53BA-F03F-F22DB86FC9D8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19F03269-4D33-7C67-D0F4-C2AB4C44998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996E588D-3F4E-A42B-2445-D049C599A57B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AA99D5C7-BDC4-9E0C-E23C-4EDF63211CAE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D2EA34E4-04CB-7E31-A751-6FD28ED8EFF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28F9F6ED-E8FA-697B-1B41-B486E705B71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DA8CD8D5-7C25-E1DB-55EC-A65A5682CE9C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50">
            <a:extLst>
              <a:ext uri="{FF2B5EF4-FFF2-40B4-BE49-F238E27FC236}">
                <a16:creationId xmlns:a16="http://schemas.microsoft.com/office/drawing/2014/main" id="{457C2A36-F00B-8281-43D0-868D42092EC6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72C71251-CE73-25A0-5FF1-A46B3C4F310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52">
            <a:extLst>
              <a:ext uri="{FF2B5EF4-FFF2-40B4-BE49-F238E27FC236}">
                <a16:creationId xmlns:a16="http://schemas.microsoft.com/office/drawing/2014/main" id="{7E9802DC-EFCF-E063-A0CE-535BED4AAA2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CF50257C-7002-8B88-8130-1DA854FF12C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2D82EF47-2097-BBB4-64EE-39B53B24023C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A5C6DA51-51B2-BEAA-799E-810EBA9E5653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73360835-9A8B-643A-9D37-2DB4A58CEF29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0A9010B0-5CB7-B434-ED87-E6669E53C67F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D28B25FC-E749-B4AD-A228-480BB931AA79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31B4F790-E0ED-6C5C-1BDB-F1EBE9EE62E8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34167AEA-9925-CACC-380A-5403008CB1E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6AD48D33-396D-B58A-6A7E-9E0FFA145C2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1" name="Group 73">
            <a:extLst>
              <a:ext uri="{FF2B5EF4-FFF2-40B4-BE49-F238E27FC236}">
                <a16:creationId xmlns:a16="http://schemas.microsoft.com/office/drawing/2014/main" id="{9C692136-D56D-1417-5064-90F0637D00E2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7" name="TextBox 156">
              <a:extLst>
                <a:ext uri="{FF2B5EF4-FFF2-40B4-BE49-F238E27FC236}">
                  <a16:creationId xmlns:a16="http://schemas.microsoft.com/office/drawing/2014/main" id="{F191E05A-AEE7-B708-8E12-8FC202A1FB2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913A8BA5-C780-83F7-8E92-8619FE7580C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74">
            <a:extLst>
              <a:ext uri="{FF2B5EF4-FFF2-40B4-BE49-F238E27FC236}">
                <a16:creationId xmlns:a16="http://schemas.microsoft.com/office/drawing/2014/main" id="{B6F191F0-C61E-B36B-9150-294F3FD66015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5" name="TextBox 154">
              <a:extLst>
                <a:ext uri="{FF2B5EF4-FFF2-40B4-BE49-F238E27FC236}">
                  <a16:creationId xmlns:a16="http://schemas.microsoft.com/office/drawing/2014/main" id="{31379F1E-18AC-52BE-034E-1E1DB7576D7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6" name="Straight Connector 155">
              <a:extLst>
                <a:ext uri="{FF2B5EF4-FFF2-40B4-BE49-F238E27FC236}">
                  <a16:creationId xmlns:a16="http://schemas.microsoft.com/office/drawing/2014/main" id="{F7C69C8F-98EF-7198-7753-EF3082C2738A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89">
            <a:extLst>
              <a:ext uri="{FF2B5EF4-FFF2-40B4-BE49-F238E27FC236}">
                <a16:creationId xmlns:a16="http://schemas.microsoft.com/office/drawing/2014/main" id="{EE858BED-1ECD-5A06-FA44-E911D84A641D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1" name="Straight Connector 150">
              <a:extLst>
                <a:ext uri="{FF2B5EF4-FFF2-40B4-BE49-F238E27FC236}">
                  <a16:creationId xmlns:a16="http://schemas.microsoft.com/office/drawing/2014/main" id="{BCF1B888-8629-7CAB-0BFF-B805C56FC3D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79">
              <a:extLst>
                <a:ext uri="{FF2B5EF4-FFF2-40B4-BE49-F238E27FC236}">
                  <a16:creationId xmlns:a16="http://schemas.microsoft.com/office/drawing/2014/main" id="{00F1E684-26D1-45E7-CA96-AF6094C6BC6C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0">
              <a:extLst>
                <a:ext uri="{FF2B5EF4-FFF2-40B4-BE49-F238E27FC236}">
                  <a16:creationId xmlns:a16="http://schemas.microsoft.com/office/drawing/2014/main" id="{F5F0DA57-D4A9-2942-C97D-0257C5F841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4" name="Straight Connector 88">
              <a:extLst>
                <a:ext uri="{FF2B5EF4-FFF2-40B4-BE49-F238E27FC236}">
                  <a16:creationId xmlns:a16="http://schemas.microsoft.com/office/drawing/2014/main" id="{F38A2556-7E95-51E1-6F98-5EDE27E5428E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4" name="Group 90">
            <a:extLst>
              <a:ext uri="{FF2B5EF4-FFF2-40B4-BE49-F238E27FC236}">
                <a16:creationId xmlns:a16="http://schemas.microsoft.com/office/drawing/2014/main" id="{D3A241B7-84FF-4135-862C-16E1EB316CE3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B4A5FD5D-5BBB-48CE-F58F-3D235B9C370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6D3B37EA-3F74-0BDD-01DF-8E25F9F7A65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E2163C56-8BFE-2502-6731-7315391DD34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B6D469D0-B519-C344-E68F-F3E693371522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31756B8-8020-D6F4-1742-2850E491D98D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5AFD4060-1670-7C95-AEE2-558C71B1779A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40BF63E8-39C8-BF7D-85AD-D4924E18AA13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Arrow Connector 137">
            <a:extLst>
              <a:ext uri="{FF2B5EF4-FFF2-40B4-BE49-F238E27FC236}">
                <a16:creationId xmlns:a16="http://schemas.microsoft.com/office/drawing/2014/main" id="{A8792191-AF5B-731E-9E07-68D7816535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9" name="Group 155">
            <a:extLst>
              <a:ext uri="{FF2B5EF4-FFF2-40B4-BE49-F238E27FC236}">
                <a16:creationId xmlns:a16="http://schemas.microsoft.com/office/drawing/2014/main" id="{A5ACD7FE-1A2B-6AD3-995C-3F67B330BB5E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C84A13E-91B7-272B-1BE8-4B53D93ECEC6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904A8C16-A183-20F6-47CF-750B2CD4B52F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6" name="Isosceles Triangle 145">
              <a:extLst>
                <a:ext uri="{FF2B5EF4-FFF2-40B4-BE49-F238E27FC236}">
                  <a16:creationId xmlns:a16="http://schemas.microsoft.com/office/drawing/2014/main" id="{B7B3A949-E014-D76E-84B7-042ECACB64B4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40" name="Group 134">
            <a:extLst>
              <a:ext uri="{FF2B5EF4-FFF2-40B4-BE49-F238E27FC236}">
                <a16:creationId xmlns:a16="http://schemas.microsoft.com/office/drawing/2014/main" id="{B052CC17-3D1C-DFFA-D2E6-03804835A895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A6DD079B-72CE-40CC-FE6B-497767F04774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6BC3769F-7232-1377-9F11-D5C408CC918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74BE7B0B-C365-B5E3-DDF5-AD3AA36F2E2F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244078</xdr:colOff>
      <xdr:row>12</xdr:row>
      <xdr:rowOff>74544</xdr:rowOff>
    </xdr:from>
    <xdr:to>
      <xdr:col>9</xdr:col>
      <xdr:colOff>248478</xdr:colOff>
      <xdr:row>47</xdr:row>
      <xdr:rowOff>101203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6E279A0-E757-47D7-B81F-F106962D4DC8}"/>
            </a:ext>
          </a:extLst>
        </xdr:cNvPr>
        <xdr:cNvCxnSpPr/>
      </xdr:nvCxnSpPr>
      <xdr:spPr>
        <a:xfrm flipH="1">
          <a:off x="3225817" y="1913283"/>
          <a:ext cx="4400" cy="5319246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214722</xdr:colOff>
      <xdr:row>27</xdr:row>
      <xdr:rowOff>39712</xdr:rowOff>
    </xdr:from>
    <xdr:to>
      <xdr:col>14</xdr:col>
      <xdr:colOff>65636</xdr:colOff>
      <xdr:row>29</xdr:row>
      <xdr:rowOff>23076</xdr:rowOff>
    </xdr:to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D96D85E2-1245-42E7-9BA4-1EB28891AC6D}"/>
            </a:ext>
          </a:extLst>
        </xdr:cNvPr>
        <xdr:cNvSpPr txBox="1"/>
      </xdr:nvSpPr>
      <xdr:spPr>
        <a:xfrm>
          <a:off x="4339461" y="4131321"/>
          <a:ext cx="612914" cy="281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200 kVA</a:t>
          </a:r>
        </a:p>
      </xdr:txBody>
    </xdr:sp>
    <xdr:clientData/>
  </xdr:twoCellAnchor>
  <xdr:twoCellAnchor>
    <xdr:from>
      <xdr:col>12</xdr:col>
      <xdr:colOff>326591</xdr:colOff>
      <xdr:row>26</xdr:row>
      <xdr:rowOff>54695</xdr:rowOff>
    </xdr:from>
    <xdr:to>
      <xdr:col>13</xdr:col>
      <xdr:colOff>297209</xdr:colOff>
      <xdr:row>27</xdr:row>
      <xdr:rowOff>63592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070509E2-9CBA-4F20-9A7D-2F5B1ECB35D4}"/>
            </a:ext>
          </a:extLst>
        </xdr:cNvPr>
        <xdr:cNvGrpSpPr/>
      </xdr:nvGrpSpPr>
      <xdr:grpSpPr>
        <a:xfrm>
          <a:off x="4441391" y="4055195"/>
          <a:ext cx="351618" cy="161297"/>
          <a:chOff x="5553123" y="2297950"/>
          <a:chExt cx="351618" cy="162337"/>
        </a:xfrm>
        <a:solidFill>
          <a:schemeClr val="tx1"/>
        </a:solidFill>
      </xdr:grpSpPr>
      <xdr:sp macro="" textlink="">
        <xdr:nvSpPr>
          <xdr:cNvPr id="199" name="Isosceles Triangle 198">
            <a:extLst>
              <a:ext uri="{FF2B5EF4-FFF2-40B4-BE49-F238E27FC236}">
                <a16:creationId xmlns:a16="http://schemas.microsoft.com/office/drawing/2014/main" id="{416B1917-3DD3-D3C6-71EE-08F4A183CF6F}"/>
              </a:ext>
            </a:extLst>
          </xdr:cNvPr>
          <xdr:cNvSpPr/>
        </xdr:nvSpPr>
        <xdr:spPr>
          <a:xfrm>
            <a:off x="5553123" y="2307624"/>
            <a:ext cx="217862" cy="132398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0" name="Isosceles Triangle 199">
            <a:extLst>
              <a:ext uri="{FF2B5EF4-FFF2-40B4-BE49-F238E27FC236}">
                <a16:creationId xmlns:a16="http://schemas.microsoft.com/office/drawing/2014/main" id="{D0DC95C3-E3D3-090F-1D68-048D67194FD5}"/>
              </a:ext>
            </a:extLst>
          </xdr:cNvPr>
          <xdr:cNvSpPr/>
        </xdr:nvSpPr>
        <xdr:spPr>
          <a:xfrm>
            <a:off x="5686879" y="2303571"/>
            <a:ext cx="217862" cy="132398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1" name="Isosceles Triangle 200">
            <a:extLst>
              <a:ext uri="{FF2B5EF4-FFF2-40B4-BE49-F238E27FC236}">
                <a16:creationId xmlns:a16="http://schemas.microsoft.com/office/drawing/2014/main" id="{70027DA5-122A-6340-A0BC-DA94D36E21E9}"/>
              </a:ext>
            </a:extLst>
          </xdr:cNvPr>
          <xdr:cNvSpPr/>
        </xdr:nvSpPr>
        <xdr:spPr>
          <a:xfrm>
            <a:off x="5625831" y="2297950"/>
            <a:ext cx="217862" cy="162337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190233</xdr:colOff>
      <xdr:row>25</xdr:row>
      <xdr:rowOff>147652</xdr:rowOff>
    </xdr:from>
    <xdr:to>
      <xdr:col>13</xdr:col>
      <xdr:colOff>140725</xdr:colOff>
      <xdr:row>26</xdr:row>
      <xdr:rowOff>23413</xdr:rowOff>
    </xdr:to>
    <xdr:cxnSp macro="">
      <xdr:nvCxnSpPr>
        <xdr:cNvPr id="365" name="Straight Connector 364">
          <a:extLst>
            <a:ext uri="{FF2B5EF4-FFF2-40B4-BE49-F238E27FC236}">
              <a16:creationId xmlns:a16="http://schemas.microsoft.com/office/drawing/2014/main" id="{D62F4737-D066-BE2F-6087-15BA96B6AB8C}"/>
            </a:ext>
          </a:extLst>
        </xdr:cNvPr>
        <xdr:cNvCxnSpPr>
          <a:stCxn id="231" idx="6"/>
          <a:endCxn id="30" idx="2"/>
        </xdr:cNvCxnSpPr>
      </xdr:nvCxnSpPr>
      <xdr:spPr>
        <a:xfrm flipV="1">
          <a:off x="3552972" y="3941087"/>
          <a:ext cx="1093492" cy="24848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233002</xdr:colOff>
      <xdr:row>21</xdr:row>
      <xdr:rowOff>27696</xdr:rowOff>
    </xdr:from>
    <xdr:to>
      <xdr:col>15</xdr:col>
      <xdr:colOff>254850</xdr:colOff>
      <xdr:row>24</xdr:row>
      <xdr:rowOff>65944</xdr:rowOff>
    </xdr:to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D485F348-347A-FA92-D01F-633A60265BCF}"/>
            </a:ext>
          </a:extLst>
        </xdr:cNvPr>
        <xdr:cNvSpPr txBox="1"/>
      </xdr:nvSpPr>
      <xdr:spPr>
        <a:xfrm>
          <a:off x="4350733" y="3288177"/>
          <a:ext cx="1164848" cy="49984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K3-169/19/56/27/11/3</a:t>
          </a:r>
        </a:p>
        <a:p>
          <a:pPr algn="l"/>
          <a:r>
            <a:rPr lang="en-US" sz="6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APP DAYA 197 KVA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DAYA 131 KVA</a:t>
          </a:r>
        </a:p>
      </xdr:txBody>
    </xdr:sp>
    <xdr:clientData/>
  </xdr:twoCellAnchor>
  <xdr:twoCellAnchor>
    <xdr:from>
      <xdr:col>12</xdr:col>
      <xdr:colOff>339508</xdr:colOff>
      <xdr:row>25</xdr:row>
      <xdr:rowOff>90688</xdr:rowOff>
    </xdr:from>
    <xdr:to>
      <xdr:col>13</xdr:col>
      <xdr:colOff>82558</xdr:colOff>
      <xdr:row>26</xdr:row>
      <xdr:rowOff>55528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69AAD8FD-069B-588E-E80A-DFFD8FC634FB}"/>
            </a:ext>
          </a:extLst>
        </xdr:cNvPr>
        <xdr:cNvGrpSpPr/>
      </xdr:nvGrpSpPr>
      <xdr:grpSpPr>
        <a:xfrm>
          <a:off x="4454308" y="3938788"/>
          <a:ext cx="124050" cy="1172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4555A2ED-A896-72AF-D079-08CBEE0960F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F87F3DE0-5ED5-A053-D8F6-2F7F6B92BC0B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CFC8C73-B251-2064-772E-5F6F634B0176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140725</xdr:colOff>
      <xdr:row>25</xdr:row>
      <xdr:rowOff>90688</xdr:rowOff>
    </xdr:from>
    <xdr:to>
      <xdr:col>13</xdr:col>
      <xdr:colOff>264775</xdr:colOff>
      <xdr:row>26</xdr:row>
      <xdr:rowOff>55528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E357C67-2838-CCE2-194A-D0E13129893B}"/>
            </a:ext>
          </a:extLst>
        </xdr:cNvPr>
        <xdr:cNvGrpSpPr/>
      </xdr:nvGrpSpPr>
      <xdr:grpSpPr>
        <a:xfrm>
          <a:off x="4636525" y="3938788"/>
          <a:ext cx="124050" cy="1172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" name="Oval 29">
            <a:extLst>
              <a:ext uri="{FF2B5EF4-FFF2-40B4-BE49-F238E27FC236}">
                <a16:creationId xmlns:a16="http://schemas.microsoft.com/office/drawing/2014/main" id="{9D07F77D-406C-4847-13F0-99114078E3F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6B11120A-3FF9-0606-4531-0CE4D9677F67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B0B8045A-A72B-5551-BD07-9188F6EBCD53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115957</xdr:colOff>
      <xdr:row>15</xdr:row>
      <xdr:rowOff>41413</xdr:rowOff>
    </xdr:from>
    <xdr:to>
      <xdr:col>10</xdr:col>
      <xdr:colOff>115957</xdr:colOff>
      <xdr:row>38</xdr:row>
      <xdr:rowOff>115957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A3237247-DF13-0280-D790-23175B791C06}"/>
            </a:ext>
          </a:extLst>
        </xdr:cNvPr>
        <xdr:cNvCxnSpPr/>
      </xdr:nvCxnSpPr>
      <xdr:spPr>
        <a:xfrm>
          <a:off x="3478696" y="2343978"/>
          <a:ext cx="0" cy="3528392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66183</xdr:colOff>
      <xdr:row>25</xdr:row>
      <xdr:rowOff>115536</xdr:rowOff>
    </xdr:from>
    <xdr:to>
      <xdr:col>10</xdr:col>
      <xdr:colOff>190233</xdr:colOff>
      <xdr:row>26</xdr:row>
      <xdr:rowOff>80376</xdr:rowOff>
    </xdr:to>
    <xdr:grpSp>
      <xdr:nvGrpSpPr>
        <xdr:cNvPr id="230" name="Group 229">
          <a:extLst>
            <a:ext uri="{FF2B5EF4-FFF2-40B4-BE49-F238E27FC236}">
              <a16:creationId xmlns:a16="http://schemas.microsoft.com/office/drawing/2014/main" id="{5495CBED-F899-4623-AD25-54D5BF990E71}"/>
            </a:ext>
          </a:extLst>
        </xdr:cNvPr>
        <xdr:cNvGrpSpPr/>
      </xdr:nvGrpSpPr>
      <xdr:grpSpPr>
        <a:xfrm>
          <a:off x="3418983" y="3963636"/>
          <a:ext cx="124050" cy="1172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1" name="Oval 230">
            <a:extLst>
              <a:ext uri="{FF2B5EF4-FFF2-40B4-BE49-F238E27FC236}">
                <a16:creationId xmlns:a16="http://schemas.microsoft.com/office/drawing/2014/main" id="{8D6864E7-8860-85D1-BB3C-0317B130164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448C3F24-DFE5-EF8A-A54D-71EE748D6B2F}"/>
              </a:ext>
            </a:extLst>
          </xdr:cNvPr>
          <xdr:cNvCxnSpPr>
            <a:stCxn id="231" idx="1"/>
            <a:endCxn id="23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403C1967-94E1-A66D-D0D3-85C0F7D6B9B8}"/>
              </a:ext>
            </a:extLst>
          </xdr:cNvPr>
          <xdr:cNvCxnSpPr>
            <a:stCxn id="231" idx="3"/>
            <a:endCxn id="23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74466</xdr:colOff>
      <xdr:row>16</xdr:row>
      <xdr:rowOff>107254</xdr:rowOff>
    </xdr:from>
    <xdr:to>
      <xdr:col>10</xdr:col>
      <xdr:colOff>198516</xdr:colOff>
      <xdr:row>17</xdr:row>
      <xdr:rowOff>72094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11B6051D-BC96-907B-F81B-E5E44BD84967}"/>
            </a:ext>
          </a:extLst>
        </xdr:cNvPr>
        <xdr:cNvGrpSpPr/>
      </xdr:nvGrpSpPr>
      <xdr:grpSpPr>
        <a:xfrm>
          <a:off x="3427266" y="2583754"/>
          <a:ext cx="124050" cy="1172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5339BD10-B665-2FE3-8984-48547950A0E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8BBFB84A-A8C0-E7FF-D0D8-170D59801F83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5D4597D2-588B-5844-9605-5AC654CE61D9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66182</xdr:colOff>
      <xdr:row>36</xdr:row>
      <xdr:rowOff>98970</xdr:rowOff>
    </xdr:from>
    <xdr:to>
      <xdr:col>10</xdr:col>
      <xdr:colOff>190232</xdr:colOff>
      <xdr:row>37</xdr:row>
      <xdr:rowOff>47245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AD9840D6-BE57-08A1-FD67-B77FBAB2CEEB}"/>
            </a:ext>
          </a:extLst>
        </xdr:cNvPr>
        <xdr:cNvGrpSpPr/>
      </xdr:nvGrpSpPr>
      <xdr:grpSpPr>
        <a:xfrm>
          <a:off x="3418982" y="5613945"/>
          <a:ext cx="124050" cy="11020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55056AC6-EDF8-B9FB-EC30-52F6DDA0662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96FC135-E790-677C-AA99-022ED6F40A23}"/>
              </a:ext>
            </a:extLst>
          </xdr:cNvPr>
          <xdr:cNvCxnSpPr>
            <a:stCxn id="21" idx="1"/>
            <a:endCxn id="2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5A5BDE4A-B281-B4F6-7A52-6AE91A9B6736}"/>
              </a:ext>
            </a:extLst>
          </xdr:cNvPr>
          <xdr:cNvCxnSpPr>
            <a:stCxn id="21" idx="3"/>
            <a:endCxn id="2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16</xdr:col>
      <xdr:colOff>121227</xdr:colOff>
      <xdr:row>38</xdr:row>
      <xdr:rowOff>69273</xdr:rowOff>
    </xdr:from>
    <xdr:to>
      <xdr:col>17</xdr:col>
      <xdr:colOff>17319</xdr:colOff>
      <xdr:row>38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>
          <a:off x="8503227" y="5957455"/>
          <a:ext cx="50222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588819</xdr:colOff>
      <xdr:row>37</xdr:row>
      <xdr:rowOff>86592</xdr:rowOff>
    </xdr:from>
    <xdr:to>
      <xdr:col>17</xdr:col>
      <xdr:colOff>242455</xdr:colOff>
      <xdr:row>39</xdr:row>
      <xdr:rowOff>17319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8970819" y="5818910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285749</xdr:colOff>
      <xdr:row>7</xdr:row>
      <xdr:rowOff>47624</xdr:rowOff>
    </xdr:from>
    <xdr:to>
      <xdr:col>22</xdr:col>
      <xdr:colOff>235839</xdr:colOff>
      <xdr:row>52</xdr:row>
      <xdr:rowOff>23812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41B6AB-0F89-3DA9-458D-4AD9B6CC66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384" t="15049" b="12257"/>
        <a:stretch/>
      </xdr:blipFill>
      <xdr:spPr>
        <a:xfrm>
          <a:off x="404812" y="1357312"/>
          <a:ext cx="12546902" cy="74771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  <sheetName val="Submission Form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  <sheetName val="HARGA SATUAN"/>
      <sheetName val="DETAIL 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  <sheetName val="HS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  <sheetName val="Sheet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  <sheetName val="PLGN"/>
      <sheetName val="JS_x005f_x0000__x005f_x0000_ꣀߗ_x005f_x000f_[lamba"/>
      <sheetName val="x"/>
      <sheetName val="NORMALISASI"/>
      <sheetName val="DATA BASE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  <sheetName val="x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  <sheetName val="Sensitivitas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  <sheetName val="DeVIASI"/>
      <sheetName val="KoMposisi"/>
      <sheetName val="Asumsi"/>
      <sheetName val="NRCPTK01"/>
      <sheetName val="Data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FORM-B"/>
      <sheetName val="MASTER"/>
      <sheetName val="prod03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  <sheetName val="MASTER"/>
      <sheetName val="JT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W-NAD"/>
      <sheetName val="Smg"/>
      <sheetName val="DeVIASI"/>
      <sheetName val="KoMposisi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  <sheetName val="Monitoring Gangguan Trafo"/>
      <sheetName val="Survey"/>
      <sheetName val="data"/>
      <sheetName val="prod03"/>
      <sheetName val="Assumptions"/>
      <sheetName val="AKTIVA"/>
      <sheetName val="D_ANALISA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  <sheetName val="JAN09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  <sheetName val="Sheet5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  <sheetName val="USAHA"/>
      <sheetName val="LK-1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  <sheetName val="MENU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  <sheetName val="Usulan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  <sheetName val="01 A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  <sheetName val="Resume"/>
      <sheetName val="DATA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  <sheetName val="DATA"/>
      <sheetName val="10 INDIKATOR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  <sheetName val="Harga BBM Indones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>
        <row r="120">
          <cell r="H120">
            <v>9000</v>
          </cell>
        </row>
      </sheetData>
      <sheetData sheetId="224">
        <row r="120">
          <cell r="H120">
            <v>9000</v>
          </cell>
        </row>
      </sheetData>
      <sheetData sheetId="225">
        <row r="120">
          <cell r="H120">
            <v>9000</v>
          </cell>
        </row>
      </sheetData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>
        <row r="120">
          <cell r="H120">
            <v>9000</v>
          </cell>
        </row>
      </sheetData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>
        <row r="120">
          <cell r="H120">
            <v>9000</v>
          </cell>
        </row>
      </sheetData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>
        <row r="120">
          <cell r="H120">
            <v>9000</v>
          </cell>
        </row>
      </sheetData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D2. ANALISA HS INSHAR"/>
      <sheetName val="Resume"/>
      <sheetName val="DTU"/>
      <sheetName val="DENPASA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  <sheetName val="JAN07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  <sheetName val="HARGA SATUAN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  <sheetName val="O &amp; M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  <sheetName val="NerSubsis"/>
      <sheetName val="Sm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  <sheetName val="D2. ANL WAKTU INSHAR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  <sheetName val="D2. ANL WAKTU INS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  <sheetName val="E3. ANALISA HS HAR TEK SUTM"/>
      <sheetName val="E6. ANALISA HS HA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  <sheetName val="TDL 2019"/>
      <sheetName val="JAN07"/>
      <sheetName val="bantu"/>
      <sheetName val="Sheet2"/>
      <sheetName val="Bantu_PM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  <sheetName val="LR"/>
      <sheetName val="L_23"/>
      <sheetName val="Kontrol"/>
      <sheetName val="Harga BBM Indonesia"/>
      <sheetName val="Catalog"/>
      <sheetName val="Smg"/>
      <sheetName val="master rab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  <sheetName val="PkRp"/>
      <sheetName val="CiMaPlbStd"/>
      <sheetName val=" RAB Lt2"/>
      <sheetName val="RAB Lt3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  <sheetName val="PMT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  <sheetName val="Data Base Konstru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  <sheetName val="Cove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  <sheetName val="pemel2012"/>
      <sheetName val="prod03"/>
    </sheetNames>
    <sheetDataSet>
      <sheetData sheetId="0" refreshError="1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 refreshError="1"/>
      <sheetData sheetId="2" refreshError="1"/>
      <sheetData sheetId="3" refreshError="1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  <sheetName val="Valuatio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JAN07"/>
      <sheetName val="TABEL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  <sheetName val="ASUMSI"/>
      <sheetName val="TDL 2019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  <sheetName val="profil 2021"/>
      <sheetName val="DTstok"/>
      <sheetName val="PK-ISIAN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  <sheetData sheetId="18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  <sheetName val="Sudah Berjalan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  <sheetName val="hrg uph+bhn"/>
      <sheetName val="Tiket ACBC lev"/>
      <sheetName val="REKAP RAP"/>
      <sheetName val="AN-E"/>
      <sheetName val="Table APJ"/>
      <sheetName val="data"/>
      <sheetName val="LAIN2"/>
      <sheetName val="ACUAN"/>
      <sheetName val="SPK"/>
      <sheetName val="ca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6" t="s">
        <v>1134</v>
      </c>
      <c r="C4" s="526"/>
      <c r="D4" s="526"/>
      <c r="E4" s="526"/>
      <c r="F4" s="526"/>
      <c r="G4" s="526"/>
      <c r="H4" s="52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7" t="s">
        <v>0</v>
      </c>
      <c r="C7" s="527" t="s">
        <v>1</v>
      </c>
      <c r="D7" s="528" t="s">
        <v>42</v>
      </c>
      <c r="E7" s="528" t="s">
        <v>43</v>
      </c>
      <c r="F7" s="528" t="s">
        <v>1135</v>
      </c>
      <c r="G7" s="529" t="s">
        <v>41</v>
      </c>
      <c r="H7" s="525" t="s">
        <v>1042</v>
      </c>
      <c r="I7" s="525" t="s">
        <v>1137</v>
      </c>
      <c r="J7" s="525" t="s">
        <v>1026</v>
      </c>
      <c r="K7" s="519" t="s">
        <v>1024</v>
      </c>
      <c r="L7" s="520"/>
    </row>
    <row r="8" spans="1:12" ht="15" customHeight="1">
      <c r="B8" s="527"/>
      <c r="C8" s="527"/>
      <c r="D8" s="528"/>
      <c r="E8" s="528"/>
      <c r="F8" s="528"/>
      <c r="G8" s="529"/>
      <c r="H8" s="525"/>
      <c r="I8" s="525"/>
      <c r="J8" s="525"/>
      <c r="K8" s="521"/>
      <c r="L8" s="522"/>
    </row>
    <row r="9" spans="1:12" ht="15" customHeight="1">
      <c r="B9" s="527"/>
      <c r="C9" s="527"/>
      <c r="D9" s="528"/>
      <c r="E9" s="528"/>
      <c r="F9" s="528"/>
      <c r="G9" s="529"/>
      <c r="H9" s="525"/>
      <c r="I9" s="525"/>
      <c r="J9" s="525"/>
      <c r="K9" s="523"/>
      <c r="L9" s="52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131 kVA MCCB 200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Kabel NYY 4 x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35</v>
      </c>
      <c r="G14" s="41">
        <f ca="1">IF(ISERROR(OFFSET('HARGA SATUAN'!$I$6,MATCH(C14,'HARGA SATUAN'!$C$7:$C$1492,0),0)),"",OFFSET('HARGA SATUAN'!$I$6,MATCH(C14,'HARGA SATUAN'!$C$7:$C$1492,0),0))</f>
        <v>421400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Unit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SUMIFS(RAB!$F$14:$F$53,RAB!$C$14:$C$53,C714)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SUMIFS(RAB!$F$14:$F$53,RAB!$C$14:$C$53,C715)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SUMIFS(RAB!$F$14:$F$53,RAB!$C$14:$C$53,C716)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SUMIFS(RAB!$F$14:$F$53,RAB!$C$14:$C$53,C717)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SUMIFS(RAB!$F$14:$F$53,RAB!$C$14:$C$53,C718)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SUMIFS(RAB!$F$14:$F$53,RAB!$C$14:$C$53,C719)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SUMIFS(RAB!$F$14:$F$53,RAB!$C$14:$C$53,C720)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SUMIFS(RAB!$F$14:$F$53,RAB!$C$14:$C$53,C721)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SUMIFS(RAB!$F$14:$F$53,RAB!$C$14:$C$53,C722)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SUMIFS(RAB!$F$14:$F$53,RAB!$C$14:$C$53,C723)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SUMIFS(RAB!$F$14:$F$53,RAB!$C$14:$C$53,C724)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SUMIFS(RAB!$F$14:$F$53,RAB!$C$14:$C$53,C725)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SUMIFS(RAB!$F$14:$F$53,RAB!$C$14:$C$53,C726)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SUMIFS(RAB!$F$14:$F$53,RAB!$C$14:$C$53,C727)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SUMIFS(RAB!$F$14:$F$53,RAB!$C$14:$C$53,C728)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SUMIFS(RAB!$F$14:$F$53,RAB!$C$14:$C$53,C729)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SUMIFS(RAB!$F$14:$F$53,RAB!$C$14:$C$53,C730)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SUMIFS(RAB!$F$14:$F$53,RAB!$C$14:$C$53,C731)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SUMIFS(RAB!$F$14:$F$53,RAB!$C$14:$C$53,C732)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SUMIFS(RAB!$F$14:$F$53,RAB!$C$14:$C$53,C733)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SUMIFS(RAB!$F$14:$F$53,RAB!$C$14:$C$53,C734)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SUMIFS(RAB!$F$14:$F$53,RAB!$C$14:$C$53,C735)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SUMIFS(RAB!$F$14:$F$53,RAB!$C$14:$C$53,C736)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SUMIFS(RAB!$F$14:$F$53,RAB!$C$14:$C$53,C737)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SUMIFS(RAB!$F$14:$F$53,RAB!$C$14:$C$53,C738)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SUMIFS(RAB!$F$14:$F$53,RAB!$C$14:$C$53,C739)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SUMIFS(RAB!$F$14:$F$53,RAB!$C$14:$C$53,C740)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SUMIFS(RAB!$F$14:$F$53,RAB!$C$14:$C$53,C741)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SUMIFS(RAB!$F$14:$F$53,RAB!$C$14:$C$53,C742)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SUMIFS(RAB!$F$14:$F$53,RAB!$C$14:$C$53,C743)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SUMIFS(RAB!$F$14:$F$53,RAB!$C$14:$C$53,C744)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SUMIFS(RAB!$F$14:$F$53,RAB!$C$14:$C$53,C745)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SUMIFS(RAB!$F$14:$F$53,RAB!$C$14:$C$53,C746)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SUMIFS(RAB!$F$14:$F$53,RAB!$C$14:$C$53,C747)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SUMIFS(RAB!$F$14:$F$53,RAB!$C$14:$C$53,C748)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SUMIFS(RAB!$F$14:$F$53,RAB!$C$14:$C$53,C749)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SUMIFS(RAB!$F$14:$F$53,RAB!$C$14:$C$53,C750)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SUMIFS(RAB!$F$14:$F$53,RAB!$C$14:$C$53,C751)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SUMIFS(RAB!$F$14:$F$53,RAB!$C$14:$C$53,C752)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SUMIFS(RAB!$F$14:$F$53,RAB!$C$14:$C$53,C753)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SUMIFS(RAB!$F$14:$F$53,RAB!$C$14:$C$53,C754)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SUMIFS(RAB!$F$14:$F$53,RAB!$C$14:$C$53,C755)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SUMIFS(RAB!$F$14:$F$53,RAB!$C$14:$C$53,C756)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SUMIFS(RAB!$F$14:$F$53,RAB!$C$14:$C$53,C757)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SUMIFS(RAB!$F$14:$F$53,RAB!$C$14:$C$53,C758)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SUMIFS(RAB!$F$14:$F$53,RAB!$C$14:$C$53,C759)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SUMIFS(RAB!$F$14:$F$53,RAB!$C$14:$C$53,C760)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SUMIFS(RAB!$F$14:$F$53,RAB!$C$14:$C$53,C761)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SUMIFS(RAB!$F$14:$F$53,RAB!$C$14:$C$53,C762)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SUMIFS(RAB!$F$14:$F$53,RAB!$C$14:$C$53,C763)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SUMIFS(RAB!$F$14:$F$53,RAB!$C$14:$C$53,C764)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SUMIFS(RAB!$F$14:$F$53,RAB!$C$14:$C$53,C765)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SUMIFS(RAB!$F$14:$F$53,RAB!$C$14:$C$53,C766)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SUMIFS(RAB!$F$14:$F$53,RAB!$C$14:$C$53,C767)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SUMIFS(RAB!$F$14:$F$53,RAB!$C$14:$C$53,C768)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SUMIFS(RAB!$F$14:$F$53,RAB!$C$14:$C$53,C769)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SUMIFS(RAB!$F$14:$F$53,RAB!$C$14:$C$53,C770)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SUMIFS(RAB!$F$14:$F$53,RAB!$C$14:$C$53,C771)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SUMIFS(RAB!$F$14:$F$53,RAB!$C$14:$C$53,C772)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SUMIFS(RAB!$F$14:$F$53,RAB!$C$14:$C$53,C773)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SUMIFS(RAB!$F$14:$F$53,RAB!$C$14:$C$53,C774)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SUMIFS(RAB!$F$14:$F$53,RAB!$C$14:$C$53,C775)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SUMIFS(RAB!$F$14:$F$53,RAB!$C$14:$C$53,C776)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SUMIFS(RAB!$F$14:$F$53,RAB!$C$14:$C$53,C777)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SUMIFS(RAB!$F$14:$F$53,RAB!$C$14:$C$53,C778)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SUMIFS(RAB!$F$14:$F$53,RAB!$C$14:$C$53,C779)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SUMIFS(RAB!$F$14:$F$53,RAB!$C$14:$C$53,C780)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SUMIFS(RAB!$F$14:$F$53,RAB!$C$14:$C$53,C781)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SUMIFS(RAB!$F$14:$F$53,RAB!$C$14:$C$53,C782)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SUMIFS(RAB!$F$14:$F$53,RAB!$C$14:$C$53,C783)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SUMIFS(RAB!$F$14:$F$53,RAB!$C$14:$C$53,C784)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SUMIFS(RAB!$F$14:$F$53,RAB!$C$14:$C$53,C785)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SUMIFS(RAB!$F$14:$F$53,RAB!$C$14:$C$53,C786)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SUMIFS(RAB!$F$14:$F$53,RAB!$C$14:$C$53,C787)</f>
        <v>1</v>
      </c>
      <c r="E787" s="26">
        <f t="shared" ca="1" si="34"/>
        <v>1</v>
      </c>
      <c r="F787" s="26">
        <f ca="1">IF(D787=0,0,SUM($E$713:E787))</f>
        <v>2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SUMIFS(RAB!$F$14:$F$53,RAB!$C$14:$C$53,C788)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SUMIFS(RAB!$F$14:$F$53,RAB!$C$14:$C$53,C789)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SUMIFS(RAB!$F$14:$F$53,RAB!$C$14:$C$53,C790)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SUMIFS(RAB!$F$14:$F$53,RAB!$C$14:$C$53,C791)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SUMIFS(RAB!$F$14:$F$53,RAB!$C$14:$C$53,C792)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SUMIFS(RAB!$F$14:$F$53,RAB!$C$14:$C$53,C793)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SUMIFS(RAB!$F$14:$F$53,RAB!$C$14:$C$53,C794)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SUMIFS(RAB!$F$14:$F$53,RAB!$C$14:$C$53,C795)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SUMIFS(RAB!$F$14:$F$53,RAB!$C$14:$C$53,C796)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SUMIFS(RAB!$F$14:$F$53,RAB!$C$14:$C$53,C797)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SUMIFS(RAB!$F$14:$F$53,RAB!$C$14:$C$53,C798)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SUMIFS(RAB!$F$14:$F$53,RAB!$C$14:$C$53,C799)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SUMIFS(RAB!$F$14:$F$53,RAB!$C$14:$C$53,C800)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SUMIFS(RAB!$F$14:$F$53,RAB!$C$14:$C$53,C801)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SUMIFS(RAB!$F$14:$F$53,RAB!$C$14:$C$53,C802)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SUMIFS(RAB!$F$14:$F$53,RAB!$C$14:$C$53,C803)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SUMIFS(RAB!$F$14:$F$53,RAB!$C$14:$C$53,C804)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SUMIFS(RAB!$F$14:$F$53,RAB!$C$14:$C$53,C805)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SUMIFS(RAB!$F$14:$F$53,RAB!$C$14:$C$53,C806)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SUMIFS(RAB!$F$14:$F$53,RAB!$C$14:$C$53,C807)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SUMIFS(RAB!$F$14:$F$53,RAB!$C$14:$C$53,C808)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SUMIFS(RAB!$F$14:$F$53,RAB!$C$14:$C$53,C809)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SUMIFS(RAB!$F$14:$F$53,RAB!$C$14:$C$53,C810)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SUMIFS(RAB!$F$14:$F$53,RAB!$C$14:$C$53,C811)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SUMIFS(RAB!$F$14:$F$53,RAB!$C$14:$C$53,C812)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SUMIFS(RAB!$F$14:$F$53,RAB!$C$14:$C$53,C813)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SUMIFS(RAB!$F$14:$F$53,RAB!$C$14:$C$53,C814)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SUMIFS(RAB!$F$14:$F$53,RAB!$C$14:$C$53,C815)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SUMIFS(RAB!$F$14:$F$53,RAB!$C$14:$C$53,C816)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SUMIFS(RAB!$F$14:$F$53,RAB!$C$14:$C$53,C817)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SUMIFS(RAB!$F$14:$F$53,RAB!$C$14:$C$53,C818)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SUMIFS(RAB!$F$14:$F$53,RAB!$C$14:$C$53,C819)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SUMIFS(RAB!$F$14:$F$53,RAB!$C$14:$C$53,C820)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SUMIFS(RAB!$F$14:$F$53,RAB!$C$14:$C$53,C821)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SUMIFS(RAB!$F$14:$F$53,RAB!$C$14:$C$53,C822)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SUMIFS(RAB!$F$14:$F$53,RAB!$C$14:$C$53,C823)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SUMIFS(RAB!$F$14:$F$53,RAB!$C$14:$C$53,C824)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SUMIFS(RAB!$F$14:$F$53,RAB!$C$14:$C$53,C825)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SUMIFS(RAB!$F$14:$F$53,RAB!$C$14:$C$53,C826)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SUMIFS(RAB!$F$14:$F$53,RAB!$C$14:$C$53,C827)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SUMIFS(RAB!$F$14:$F$53,RAB!$C$14:$C$53,C828)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SUMIFS(RAB!$F$14:$F$53,RAB!$C$14:$C$53,C829)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SUMIFS(RAB!$F$14:$F$53,RAB!$C$14:$C$53,C830)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SUMIFS(RAB!$F$14:$F$53,RAB!$C$14:$C$53,C831)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SUMIFS(RAB!$F$14:$F$53,RAB!$C$14:$C$53,C832)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SUMIFS(RAB!$F$14:$F$53,RAB!$C$14:$C$53,C833)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SUMIFS(RAB!$F$14:$F$53,RAB!$C$14:$C$53,C834)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SUMIFS(RAB!$F$14:$F$53,RAB!$C$14:$C$53,C835)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SUMIFS(RAB!$F$14:$F$53,RAB!$C$14:$C$53,C836)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SUMIFS(RAB!$F$14:$F$53,RAB!$C$14:$C$53,C837)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SUMIFS(RAB!$F$14:$F$53,RAB!$C$14:$C$53,C838)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SUMIFS(RAB!$F$14:$F$53,RAB!$C$14:$C$53,C839)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SUMIFS(RAB!$F$14:$F$53,RAB!$C$14:$C$53,C840)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SUMIFS(RAB!$F$14:$F$53,RAB!$C$14:$C$53,C841)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SUMIFS(RAB!$F$14:$F$53,RAB!$C$14:$C$53,C842)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SUMIFS(RAB!$F$14:$F$53,RAB!$C$14:$C$53,C843)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SUMIFS(RAB!$F$14:$F$53,RAB!$C$14:$C$53,C844)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SUMIFS(RAB!$F$14:$F$53,RAB!$C$14:$C$53,C845)</f>
        <v>35</v>
      </c>
      <c r="E845" s="26">
        <f t="shared" ca="1" si="35"/>
        <v>1</v>
      </c>
      <c r="F845" s="26">
        <f ca="1">IF(D845=0,0,SUM($E$713:E845))</f>
        <v>3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SUMIFS(RAB!$F$14:$F$53,RAB!$C$14:$C$53,C846)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SUMIFS(RAB!$F$14:$F$53,RAB!$C$14:$C$53,C847)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SUMIFS(RAB!$F$14:$F$53,RAB!$C$14:$C$53,C848)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SUMIFS(RAB!$F$14:$F$53,RAB!$C$14:$C$53,C849)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SUMIFS(RAB!$F$14:$F$53,RAB!$C$14:$C$53,C850)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SUMIFS(RAB!$F$14:$F$53,RAB!$C$14:$C$53,C851)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SUMIFS(RAB!$F$14:$F$53,RAB!$C$14:$C$53,C852)</f>
        <v>1</v>
      </c>
      <c r="E852" s="26">
        <f t="shared" ca="1" si="35"/>
        <v>1</v>
      </c>
      <c r="F852" s="26">
        <f ca="1">IF(D852=0,0,SUM($E$713:E852))</f>
        <v>4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SUMIFS(RAB!$F$14:$F$53,RAB!$C$14:$C$53,C853)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SUMIFS(RAB!$F$14:$F$53,RAB!$C$14:$C$53,C854)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SUMIFS(RAB!$F$14:$F$53,RAB!$C$14:$C$53,C855)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SUMIFS(RAB!$F$14:$F$53,RAB!$C$14:$C$53,C856)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SUMIFS(RAB!$F$14:$F$53,RAB!$C$14:$C$53,C857)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SUMIFS(RAB!$F$14:$F$53,RAB!$C$14:$C$53,C858)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SUMIFS(RAB!$F$14:$F$53,RAB!$C$14:$C$53,C859)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SUMIFS(RAB!$F$14:$F$53,RAB!$C$14:$C$53,C860)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SUMIFS(RAB!$F$14:$F$53,RAB!$C$14:$C$53,C861)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SUMIFS(RAB!$F$14:$F$53,RAB!$C$14:$C$53,C862)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SUMIFS(RAB!$F$14:$F$53,RAB!$C$14:$C$53,C863)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SUMIFS(RAB!$F$14:$F$53,RAB!$C$14:$C$53,C864)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SUMIFS(RAB!$F$14:$F$53,RAB!$C$14:$C$53,C865)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SUMIFS(RAB!$F$14:$F$53,RAB!$C$14:$C$53,C866)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SUMIFS(RAB!$F$14:$F$53,RAB!$C$14:$C$53,C867)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SUMIFS(RAB!$F$14:$F$53,RAB!$C$14:$C$53,C868)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SUMIFS(RAB!$F$14:$F$53,RAB!$C$14:$C$53,C869)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SUMIFS(RAB!$F$14:$F$53,RAB!$C$14:$C$53,C870)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SUMIFS(RAB!$F$14:$F$53,RAB!$C$14:$C$53,C871)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SUMIFS(RAB!$F$14:$F$53,RAB!$C$14:$C$53,C872)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SUMIFS(RAB!$F$14:$F$53,RAB!$C$14:$C$53,C873)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SUMIFS(RAB!$F$14:$F$53,RAB!$C$14:$C$53,C874)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SUMIFS(RAB!$F$14:$F$53,RAB!$C$14:$C$53,C875)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SUMIFS(RAB!$F$14:$F$53,RAB!$C$14:$C$53,C876)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SUMIFS(RAB!$F$14:$F$53,RAB!$C$14:$C$53,C877)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SUMIFS(RAB!$F$14:$F$53,RAB!$C$14:$C$53,C878)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SUMIFS(RAB!$F$14:$F$53,RAB!$C$14:$C$53,C879)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SUMIFS(RAB!$F$14:$F$53,RAB!$C$14:$C$53,C880)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SUMIFS(RAB!$F$14:$F$53,RAB!$C$14:$C$53,C881)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SUMIFS(RAB!$F$14:$F$53,RAB!$C$14:$C$53,C882)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SUMIFS(RAB!$F$14:$F$53,RAB!$C$14:$C$53,C883)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SUMIFS(RAB!$F$14:$F$53,RAB!$C$14:$C$53,C884)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SUMIFS(RAB!$F$14:$F$53,RAB!$C$14:$C$53,C885)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SUMIFS(RAB!$F$14:$F$53,RAB!$C$14:$C$53,C886)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SUMIFS(RAB!$F$14:$F$53,RAB!$C$14:$C$53,C887)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SUMIFS(RAB!$F$14:$F$53,RAB!$C$14:$C$53,C888)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SUMIFS(RAB!$F$14:$F$53,RAB!$C$14:$C$53,C889)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SUMIFS(RAB!$F$14:$F$53,RAB!$C$14:$C$53,C890)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SUMIFS(RAB!$F$14:$F$53,RAB!$C$14:$C$53,C891)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SUMIFS(RAB!$F$14:$F$53,RAB!$C$14:$C$53,C892)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SUMIFS(RAB!$F$14:$F$53,RAB!$C$14:$C$53,C893)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SUMIFS(RAB!$F$14:$F$53,RAB!$C$14:$C$53,C894)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SUMIFS(RAB!$F$14:$F$53,RAB!$C$14:$C$53,C895)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SUMIFS(RAB!$F$14:$F$53,RAB!$C$14:$C$53,C896)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SUMIFS(RAB!$F$14:$F$53,RAB!$C$14:$C$53,C897)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SUMIFS(RAB!$F$14:$F$53,RAB!$C$14:$C$53,C898)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SUMIFS(RAB!$F$14:$F$53,RAB!$C$14:$C$53,C899)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SUMIFS(RAB!$F$14:$F$53,RAB!$C$14:$C$53,C900)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SUMIFS(RAB!$F$14:$F$53,RAB!$C$14:$C$53,C901)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SUMIFS(RAB!$F$14:$F$53,RAB!$C$14:$C$53,C902)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SUMIFS(RAB!$F$14:$F$53,RAB!$C$14:$C$53,C903)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SUMIFS(RAB!$F$14:$F$53,RAB!$C$14:$C$53,C904)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SUMIFS(RAB!$F$14:$F$53,RAB!$C$14:$C$53,C905)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SUMIFS(RAB!$F$14:$F$53,RAB!$C$14:$C$53,C906)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SUMIFS(RAB!$F$14:$F$53,RAB!$C$14:$C$53,C907)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SUMIFS(RAB!$F$14:$F$53,RAB!$C$14:$C$53,C908)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SUMIFS(RAB!$F$14:$F$53,RAB!$C$14:$C$53,C909)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SUMIFS(RAB!$F$14:$F$53,RAB!$C$14:$C$53,C910)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SUMIFS(RAB!$F$14:$F$53,RAB!$C$14:$C$53,C911)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SUMIFS(RAB!$F$14:$F$53,RAB!$C$14:$C$53,C912)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SUMIFS(RAB!$F$14:$F$53,RAB!$C$14:$C$53,C913)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SUMIFS(RAB!$F$14:$F$53,RAB!$C$14:$C$53,C914)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SUMIFS(RAB!$F$14:$F$53,RAB!$C$14:$C$53,C915)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SUMIFS(RAB!$F$14:$F$53,RAB!$C$14:$C$53,C916)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SUMIFS(RAB!$F$14:$F$53,RAB!$C$14:$C$53,C917)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SUMIFS(RAB!$F$14:$F$53,RAB!$C$14:$C$53,C918)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SUMIFS(RAB!$F$14:$F$53,RAB!$C$14:$C$53,C919)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SUMIFS(RAB!$F$14:$F$53,RAB!$C$14:$C$53,C920)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SUMIFS(RAB!$F$14:$F$53,RAB!$C$14:$C$53,C921)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SUMIFS(RAB!$F$14:$F$53,RAB!$C$14:$C$53,C922)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SUMIFS(RAB!$F$14:$F$53,RAB!$C$14:$C$53,C923)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SUMIFS(RAB!$F$14:$F$53,RAB!$C$14:$C$53,C924)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SUMIFS(RAB!$F$14:$F$53,RAB!$C$14:$C$53,C925)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SUMIFS(RAB!$F$14:$F$53,RAB!$C$14:$C$53,C926)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SUMIFS(RAB!$F$14:$F$53,RAB!$C$14:$C$53,C927)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SUMIFS(RAB!$F$14:$F$53,RAB!$C$14:$C$53,C928)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SUMIFS(RAB!$F$14:$F$53,RAB!$C$14:$C$53,C929)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SUMIFS(RAB!$F$14:$F$53,RAB!$C$14:$C$53,C930)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SUMIFS(RAB!$F$14:$F$53,RAB!$C$14:$C$53,C931)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SUMIFS(RAB!$F$14:$F$53,RAB!$C$14:$C$53,C932)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SUMIFS(RAB!$F$14:$F$53,RAB!$C$14:$C$53,C933)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SUMIFS(RAB!$F$14:$F$53,RAB!$C$14:$C$53,C934)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SUMIFS(RAB!$F$14:$F$53,RAB!$C$14:$C$53,C935)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SUMIFS(RAB!$F$14:$F$53,RAB!$C$14:$C$53,C936)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SUMIFS(RAB!$F$14:$F$53,RAB!$C$14:$C$53,C937)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SUMIFS(RAB!$F$14:$F$53,RAB!$C$14:$C$53,C938)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SUMIFS(RAB!$F$14:$F$53,RAB!$C$14:$C$53,C939)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SUMIFS(RAB!$F$14:$F$53,RAB!$C$14:$C$53,C940)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SUMIFS(RAB!$F$14:$F$53,RAB!$C$14:$C$53,C941)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SUMIFS(RAB!$F$14:$F$53,RAB!$C$14:$C$53,C942)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SUMIFS(RAB!$F$14:$F$53,RAB!$C$14:$C$53,C943)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SUMIFS(RAB!$F$14:$F$53,RAB!$C$14:$C$53,C944)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SUMIFS(RAB!$F$14:$F$53,RAB!$C$14:$C$53,C945)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SUMIFS(RAB!$F$14:$F$53,RAB!$C$14:$C$53,C946)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SUMIFS(RAB!$F$14:$F$53,RAB!$C$14:$C$53,C947)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SUMIFS(RAB!$F$14:$F$53,RAB!$C$14:$C$53,C948)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SUMIFS(RAB!$F$14:$F$53,RAB!$C$14:$C$53,C949)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SUMIFS(RAB!$F$14:$F$53,RAB!$C$14:$C$53,C950)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SUMIFS(RAB!$F$14:$F$53,RAB!$C$14:$C$53,C951)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SUMIFS(RAB!$F$14:$F$53,RAB!$C$14:$C$53,C952)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SUMIFS(RAB!$F$14:$F$53,RAB!$C$14:$C$53,C953)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SUMIFS(RAB!$F$14:$F$53,RAB!$C$14:$C$53,C954)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SUMIFS(RAB!$F$14:$F$53,RAB!$C$14:$C$53,C955)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SUMIFS(RAB!$F$14:$F$53,RAB!$C$14:$C$53,C956)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SUMIFS(RAB!$F$14:$F$53,RAB!$C$14:$C$53,C957)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SUMIFS(RAB!$F$14:$F$53,RAB!$C$14:$C$53,C958)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SUMIFS(RAB!$F$14:$F$53,RAB!$C$14:$C$53,C959)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SUMIFS(RAB!$F$14:$F$53,RAB!$C$14:$C$53,C960)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SUMIFS(RAB!$F$14:$F$53,RAB!$C$14:$C$53,C961)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SUMIFS(RAB!$F$14:$F$53,RAB!$C$14:$C$53,C962)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SUMIFS(RAB!$F$14:$F$53,RAB!$C$14:$C$53,C963)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SUMIFS(RAB!$F$14:$F$53,RAB!$C$14:$C$53,C964)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SUMIFS(RAB!$F$14:$F$53,RAB!$C$14:$C$53,C965)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SUMIFS(RAB!$F$14:$F$53,RAB!$C$14:$C$53,C966)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SUMIFS(RAB!$F$14:$F$53,RAB!$C$14:$C$53,C967)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SUMIFS(RAB!$F$14:$F$53,RAB!$C$14:$C$53,C968)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SUMIFS(RAB!$F$14:$F$53,RAB!$C$14:$C$53,C969)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SUMIFS(RAB!$F$14:$F$53,RAB!$C$14:$C$53,C970)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SUMIFS(RAB!$F$14:$F$53,RAB!$C$14:$C$53,C971)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SUMIFS(RAB!$F$14:$F$53,RAB!$C$14:$C$53,C972)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SUMIFS(RAB!$F$14:$F$53,RAB!$C$14:$C$53,C973)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SUMIFS(RAB!$F$14:$F$53,RAB!$C$14:$C$53,C974)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SUMIFS(RAB!$F$14:$F$53,RAB!$C$14:$C$53,C975)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SUMIFS(RAB!$F$14:$F$53,RAB!$C$14:$C$53,C976)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SUMIFS(RAB!$F$14:$F$53,RAB!$C$14:$C$53,C977)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SUMIFS(RAB!$F$14:$F$53,RAB!$C$14:$C$53,C978)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SUMIFS(RAB!$F$14:$F$53,RAB!$C$14:$C$53,C979)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SUMIFS(RAB!$F$14:$F$53,RAB!$C$14:$C$53,C980)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SUMIFS(RAB!$F$14:$F$53,RAB!$C$14:$C$53,C981)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SUMIFS(RAB!$F$14:$F$53,RAB!$C$14:$C$53,C982)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SUMIFS(RAB!$F$14:$F$53,RAB!$C$14:$C$53,C983)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SUMIFS(RAB!$F$14:$F$53,RAB!$C$14:$C$53,C984)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SUMIFS(RAB!$F$14:$F$53,RAB!$C$14:$C$53,C985)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SUMIFS(RAB!$F$14:$F$53,RAB!$C$14:$C$53,C986)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SUMIFS(RAB!$F$14:$F$53,RAB!$C$14:$C$53,C987)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SUMIFS(RAB!$F$14:$F$53,RAB!$C$14:$C$53,C988)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SUMIFS(RAB!$F$14:$F$53,RAB!$C$14:$C$53,C989)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SUMIFS(RAB!$F$14:$F$53,RAB!$C$14:$C$53,C990)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SUMIFS(RAB!$F$14:$F$53,RAB!$C$14:$C$53,C991)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SUMIFS(RAB!$F$14:$F$53,RAB!$C$14:$C$53,C992)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SUMIFS(RAB!$F$14:$F$53,RAB!$C$14:$C$53,C993)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SUMIFS(RAB!$F$14:$F$53,RAB!$C$14:$C$53,C994)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SUMIFS(RAB!$F$14:$F$53,RAB!$C$14:$C$53,C995)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SUMIFS(RAB!$F$14:$F$53,RAB!$C$14:$C$53,C996)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SUMIFS(RAB!$F$14:$F$53,RAB!$C$14:$C$53,C997)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SUMIFS(RAB!$F$14:$F$53,RAB!$C$14:$C$53,C998)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SUMIFS(RAB!$F$14:$F$53,RAB!$C$14:$C$53,C999)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SUMIFS(RAB!$F$14:$F$53,RAB!$C$14:$C$53,C1000)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SUMIFS(RAB!$F$14:$F$53,RAB!$C$14:$C$53,C1001)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SUMIFS(RAB!$F$14:$F$53,RAB!$C$14:$C$53,C1002)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SUMIFS(RAB!$F$14:$F$53,RAB!$C$14:$C$53,C1003)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SUMIFS(RAB!$F$14:$F$53,RAB!$C$14:$C$53,C1004)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SUMIFS(RAB!$F$14:$F$53,RAB!$C$14:$C$53,C1005)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SUMIFS(RAB!$F$14:$F$53,RAB!$C$14:$C$53,C1006)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SUMIFS(RAB!$F$14:$F$53,RAB!$C$14:$C$53,C1007)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SUMIFS(RAB!$F$14:$F$53,RAB!$C$14:$C$53,C1008)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SUMIFS(RAB!$F$14:$F$53,RAB!$C$14:$C$53,C1009)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SUMIFS(RAB!$F$14:$F$53,RAB!$C$14:$C$53,C1010)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SUMIFS(RAB!$F$14:$F$53,RAB!$C$14:$C$53,C1011)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SUMIFS(RAB!$F$14:$F$53,RAB!$C$14:$C$53,C1012)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SUMIFS(RAB!$F$14:$F$53,RAB!$C$14:$C$53,C1013)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SUMIFS(RAB!$F$14:$F$53,RAB!$C$14:$C$53,C1014)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SUMIFS(RAB!$F$14:$F$53,RAB!$C$14:$C$53,C1015)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SUMIFS(RAB!$F$14:$F$53,RAB!$C$14:$C$53,C1016)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SUMIFS(RAB!$F$14:$F$53,RAB!$C$14:$C$53,C1017)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SUMIFS(RAB!$F$14:$F$53,RAB!$C$14:$C$53,C1018)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SUMIFS(RAB!$F$14:$F$53,RAB!$C$14:$C$53,C1019)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SUMIFS(RAB!$F$14:$F$53,RAB!$C$14:$C$53,C1020)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SUMIFS(RAB!$F$14:$F$53,RAB!$C$14:$C$53,C1021)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SUMIFS(RAB!$F$14:$F$53,RAB!$C$14:$C$53,C1022)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SUMIFS(RAB!$F$14:$F$53,RAB!$C$14:$C$53,C1023)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SUMIFS(RAB!$F$14:$F$53,RAB!$C$14:$C$53,C1024)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SUMIFS(RAB!$F$14:$F$53,RAB!$C$14:$C$53,C1025)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SUMIFS(RAB!$F$14:$F$53,RAB!$C$14:$C$53,C1026)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SUMIFS(RAB!$F$14:$F$53,RAB!$C$14:$C$53,C1027)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SUMIFS(RAB!$F$14:$F$53,RAB!$C$14:$C$53,C1028)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SUMIFS(RAB!$F$14:$F$53,RAB!$C$14:$C$53,C1029)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SUMIFS(RAB!$F$14:$F$53,RAB!$C$14:$C$53,C1030)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SUMIFS(RAB!$F$14:$F$53,RAB!$C$14:$C$53,C1031)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SUMIFS(RAB!$F$14:$F$53,RAB!$C$14:$C$53,C1032)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SUMIFS(RAB!$F$14:$F$53,RAB!$C$14:$C$53,C1033)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SUMIFS(RAB!$F$14:$F$53,RAB!$C$14:$C$53,C1034)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SUMIFS(RAB!$F$14:$F$53,RAB!$C$14:$C$53,C1035)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SUMIFS(RAB!$F$14:$F$53,RAB!$C$14:$C$53,C1036)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SUMIFS(RAB!$F$14:$F$53,RAB!$C$14:$C$53,C1037)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SUMIFS(RAB!$F$14:$F$53,RAB!$C$14:$C$53,C1038)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SUMIFS(RAB!$F$14:$F$53,RAB!$C$14:$C$53,C1039)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SUMIFS(RAB!$F$14:$F$53,RAB!$C$14:$C$53,C1040)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SUMIFS(RAB!$F$14:$F$53,RAB!$C$14:$C$53,C1041)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SUMIFS(RAB!$F$14:$F$53,RAB!$C$14:$C$53,C1042)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SUMIFS(RAB!$F$14:$F$53,RAB!$C$14:$C$53,C1043)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SUMIFS(RAB!$F$14:$F$53,RAB!$C$14:$C$53,C1044)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SUMIFS(RAB!$F$14:$F$53,RAB!$C$14:$C$53,C1045)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SUMIFS(RAB!$F$14:$F$53,RAB!$C$14:$C$53,C1046)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SUMIFS(RAB!$F$14:$F$53,RAB!$C$14:$C$53,C1047)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SUMIFS(RAB!$F$14:$F$53,RAB!$C$14:$C$53,C1048)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SUMIFS(RAB!$F$14:$F$53,RAB!$C$14:$C$53,C1049)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SUMIFS(RAB!$F$14:$F$53,RAB!$C$14:$C$53,C1050)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SUMIFS(RAB!$F$14:$F$53,RAB!$C$14:$C$53,C1051)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SUMIFS(RAB!$F$14:$F$53,RAB!$C$14:$C$53,C1052)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SUMIFS(RAB!$F$14:$F$53,RAB!$C$14:$C$53,C1053)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SUMIFS(RAB!$F$14:$F$53,RAB!$C$14:$C$53,C1054)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SUMIFS(RAB!$F$14:$F$53,RAB!$C$14:$C$53,C1055)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SUMIFS(RAB!$F$14:$F$53,RAB!$C$14:$C$53,C1056)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SUMIFS(RAB!$F$14:$F$53,RAB!$C$14:$C$53,C1057)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SUMIFS(RAB!$F$14:$F$53,RAB!$C$14:$C$53,C1058)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SUMIFS(RAB!$F$14:$F$53,RAB!$C$14:$C$53,C1059)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SUMIFS(RAB!$F$14:$F$53,RAB!$C$14:$C$53,C1060)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SUMIFS(RAB!$F$14:$F$53,RAB!$C$14:$C$53,C1061)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SUMIFS(RAB!$F$14:$F$53,RAB!$C$14:$C$53,C1062)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SUMIFS(RAB!$F$14:$F$53,RAB!$C$14:$C$53,C1063)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SUMIFS(RAB!$F$14:$F$53,RAB!$C$14:$C$53,C1064)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SUMIFS(RAB!$F$14:$F$53,RAB!$C$14:$C$53,C1065)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SUMIFS(RAB!$F$14:$F$53,RAB!$C$14:$C$53,C1066)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SUMIFS(RAB!$F$14:$F$53,RAB!$C$14:$C$53,C1067)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SUMIFS(RAB!$F$14:$F$53,RAB!$C$14:$C$53,C1068)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SUMIFS(RAB!$F$14:$F$53,RAB!$C$14:$C$53,C1069)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SUMIFS(RAB!$F$14:$F$53,RAB!$C$14:$C$53,C1070)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SUMIFS(RAB!$F$14:$F$53,RAB!$C$14:$C$53,C1071)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SUMIFS(RAB!$F$14:$F$53,RAB!$C$14:$C$53,C1072)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SUMIFS(RAB!$F$14:$F$53,RAB!$C$14:$C$53,C1073)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SUMIFS(RAB!$F$14:$F$53,RAB!$C$14:$C$53,C1074)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SUMIFS(RAB!$F$14:$F$53,RAB!$C$14:$C$53,C1075)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SUMIFS(RAB!$F$14:$F$53,RAB!$C$14:$C$53,C1076)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SUMIFS(RAB!$F$14:$F$53,RAB!$C$14:$C$53,C1077)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SUMIFS(RAB!$F$14:$F$53,RAB!$C$14:$C$53,C1078)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SUMIFS(RAB!$F$14:$F$53,RAB!$C$14:$C$53,C1079)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SUMIFS(RAB!$F$14:$F$53,RAB!$C$14:$C$53,C1080)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SUMIFS(RAB!$F$14:$F$53,RAB!$C$14:$C$53,C1081)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SUMIFS(RAB!$F$14:$F$53,RAB!$C$14:$C$53,C1082)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SUMIFS(RAB!$F$14:$F$53,RAB!$C$14:$C$53,C1083)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SUMIFS(RAB!$F$14:$F$53,RAB!$C$14:$C$53,C1084)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SUMIFS(RAB!$F$14:$F$53,RAB!$C$14:$C$53,C1085)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SUMIFS(RAB!$F$14:$F$53,RAB!$C$14:$C$53,C1086)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SUMIFS(RAB!$F$14:$F$53,RAB!$C$14:$C$53,C1087)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SUMIFS(RAB!$F$14:$F$53,RAB!$C$14:$C$53,C1088)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SUMIFS(RAB!$F$14:$F$53,RAB!$C$14:$C$53,C1089)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SUMIFS(RAB!$F$14:$F$53,RAB!$C$14:$C$53,C1090)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SUMIFS(RAB!$F$14:$F$53,RAB!$C$14:$C$53,C1091)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SUMIFS(RAB!$F$14:$F$53,RAB!$C$14:$C$53,C1092)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SUMIFS(RAB!$F$14:$F$53,RAB!$C$14:$C$53,C1093)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SUMIFS(RAB!$F$14:$F$53,RAB!$C$14:$C$53,C1094)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SUMIFS(RAB!$F$14:$F$53,RAB!$C$14:$C$53,C1095)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SUMIFS(RAB!$F$14:$F$53,RAB!$C$14:$C$53,C1096)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SUMIFS(RAB!$F$14:$F$53,RAB!$C$14:$C$53,C1097)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SUMIFS(RAB!$F$14:$F$53,RAB!$C$14:$C$53,C1098)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SUMIFS(RAB!$F$14:$F$53,RAB!$C$14:$C$53,C1099)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SUMIFS(RAB!$F$14:$F$53,RAB!$C$14:$C$53,C1100)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SUMIFS(RAB!$F$14:$F$53,RAB!$C$14:$C$53,C1101)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SUMIFS(RAB!$F$14:$F$53,RAB!$C$14:$C$53,C1102)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SUMIFS(RAB!$F$14:$F$53,RAB!$C$14:$C$53,C1103)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SUMIFS(RAB!$F$14:$F$53,RAB!$C$14:$C$53,C1104)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SUMIFS(RAB!$F$14:$F$53,RAB!$C$14:$C$53,C1105)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SUMIFS(RAB!$F$14:$F$53,RAB!$C$14:$C$53,C1106)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SUMIFS(RAB!$F$14:$F$53,RAB!$C$14:$C$53,C1107)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SUMIFS(RAB!$F$14:$F$53,RAB!$C$14:$C$53,C1108)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SUMIFS(RAB!$F$14:$F$53,RAB!$C$14:$C$53,C1109)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SUMIFS(RAB!$F$14:$F$53,RAB!$C$14:$C$53,C1110)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SUMIFS(RAB!$F$14:$F$53,RAB!$C$14:$C$53,C1111)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SUMIFS(RAB!$F$14:$F$53,RAB!$C$14:$C$53,C1112)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SUMIFS(RAB!$F$14:$F$53,RAB!$C$14:$C$53,C1113)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SUMIFS(RAB!$F$14:$F$53,RAB!$C$14:$C$53,C1114)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SUMIFS(RAB!$F$14:$F$53,RAB!$C$14:$C$53,C1115)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SUMIFS(RAB!$F$14:$F$53,RAB!$C$14:$C$53,C1116)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SUMIFS(RAB!$F$14:$F$53,RAB!$C$14:$C$53,C1117)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SUMIFS(RAB!$F$14:$F$53,RAB!$C$14:$C$53,C1118)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SUMIFS(RAB!$F$14:$F$53,RAB!$C$14:$C$53,C1119)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SUMIFS(RAB!$F$14:$F$53,RAB!$C$14:$C$53,C1120)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SUMIFS(RAB!$F$14:$F$53,RAB!$C$14:$C$53,C1121)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SUMIFS(RAB!$F$14:$F$53,RAB!$C$14:$C$53,C1122)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SUMIFS(RAB!$F$14:$F$53,RAB!$C$14:$C$53,C1123)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SUMIFS(RAB!$F$14:$F$53,RAB!$C$14:$C$53,C1124)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SUMIFS(RAB!$F$14:$F$53,RAB!$C$14:$C$53,C1125)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SUMIFS(RAB!$F$14:$F$53,RAB!$C$14:$C$53,C1126)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SUMIFS(RAB!$F$14:$F$53,RAB!$C$14:$C$53,C1127)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SUMIFS(RAB!$F$14:$F$53,RAB!$C$14:$C$53,C1128)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SUMIFS(RAB!$F$14:$F$53,RAB!$C$14:$C$53,C1129)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SUMIFS(RAB!$F$14:$F$53,RAB!$C$14:$C$53,C1130)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SUMIFS(RAB!$F$14:$F$53,RAB!$C$14:$C$53,C1131)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SUMIFS(RAB!$F$14:$F$53,RAB!$C$14:$C$53,C1132)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SUMIFS(RAB!$F$14:$F$53,RAB!$C$14:$C$53,C1133)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SUMIFS(RAB!$F$14:$F$53,RAB!$C$14:$C$53,C1134)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SUMIFS(RAB!$F$14:$F$53,RAB!$C$14:$C$53,C1135)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SUMIFS(RAB!$F$14:$F$53,RAB!$C$14:$C$53,C1136)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SUMIFS(RAB!$F$14:$F$53,RAB!$C$14:$C$53,C1137)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SUMIFS(RAB!$F$14:$F$53,RAB!$C$14:$C$53,C1138)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SUMIFS(RAB!$F$14:$F$53,RAB!$C$14:$C$53,C1139)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SUMIFS(RAB!$F$14:$F$53,RAB!$C$14:$C$53,C1140)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SUMIFS(RAB!$F$14:$F$53,RAB!$C$14:$C$53,C1141)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SUMIFS(RAB!$F$14:$F$53,RAB!$C$14:$C$53,C1142)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SUMIFS(RAB!$F$14:$F$53,RAB!$C$14:$C$53,C1143)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SUMIFS(RAB!$F$14:$F$53,RAB!$C$14:$C$53,C1144)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SUMIFS(RAB!$F$14:$F$53,RAB!$C$14:$C$53,C1145)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SUMIFS(RAB!$F$14:$F$53,RAB!$C$14:$C$53,C1146)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SUMIFS(RAB!$F$14:$F$53,RAB!$C$14:$C$53,C1147)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SUMIFS(RAB!$F$14:$F$53,RAB!$C$14:$C$53,C1148)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SUMIFS(RAB!$F$14:$F$53,RAB!$C$14:$C$53,C1149)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SUMIFS(RAB!$F$14:$F$53,RAB!$C$14:$C$53,C1150)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SUMIFS(RAB!$F$14:$F$53,RAB!$C$14:$C$53,C1151)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SUMIFS(RAB!$F$14:$F$53,RAB!$C$14:$C$53,C1152)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SUMIFS(RAB!$F$14:$F$53,RAB!$C$14:$C$53,C1153)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SUMIFS(RAB!$F$14:$F$53,RAB!$C$14:$C$53,C1154)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SUMIFS(RAB!$F$14:$F$53,RAB!$C$14:$C$53,C1155)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SUMIFS(RAB!$F$14:$F$53,RAB!$C$14:$C$53,C1156)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SUMIFS(RAB!$F$14:$F$53,RAB!$C$14:$C$53,C1157)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SUMIFS(RAB!$F$14:$F$53,RAB!$C$14:$C$53,C1158)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SUMIFS(RAB!$F$14:$F$53,RAB!$C$14:$C$53,C1159)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SUMIFS(RAB!$F$14:$F$53,RAB!$C$14:$C$53,C1160)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SUMIFS(RAB!$F$14:$F$53,RAB!$C$14:$C$53,C1161)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SUMIFS(RAB!$F$14:$F$53,RAB!$C$14:$C$53,C1162)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SUMIFS(RAB!$F$14:$F$53,RAB!$C$14:$C$53,C1163)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SUMIFS(RAB!$F$14:$F$53,RAB!$C$14:$C$53,C1164)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SUMIFS(RAB!$F$14:$F$53,RAB!$C$14:$C$53,C1165)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SUMIFS(RAB!$F$14:$F$53,RAB!$C$14:$C$53,C1166)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SUMIFS(RAB!$F$14:$F$53,RAB!$C$14:$C$53,C1167)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SUMIFS(RAB!$F$14:$F$53,RAB!$C$14:$C$53,C1168)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SUMIFS(RAB!$F$14:$F$53,RAB!$C$14:$C$53,C1169)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SUMIFS(RAB!$F$14:$F$53,RAB!$C$14:$C$53,C1170)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SUMIFS(RAB!$F$14:$F$53,RAB!$C$14:$C$53,C1171)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SUMIFS(RAB!$F$14:$F$53,RAB!$C$14:$C$53,C1172)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SUMIFS(RAB!$F$14:$F$53,RAB!$C$14:$C$53,C1173)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SUMIFS(RAB!$F$14:$F$53,RAB!$C$14:$C$53,C1174)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SUMIFS(RAB!$F$14:$F$53,RAB!$C$14:$C$53,C1175)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SUMIFS(RAB!$F$14:$F$53,RAB!$C$14:$C$53,C1176)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SUMIFS(RAB!$F$14:$F$53,RAB!$C$14:$C$53,C1177)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SUMIFS(RAB!$F$14:$F$53,RAB!$C$14:$C$53,C1178)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SUMIFS(RAB!$F$14:$F$53,RAB!$C$14:$C$53,C1179)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SUMIFS(RAB!$F$14:$F$53,RAB!$C$14:$C$53,C1180)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SUMIFS(RAB!$F$14:$F$53,RAB!$C$14:$C$53,C1181)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SUMIFS(RAB!$F$14:$F$53,RAB!$C$14:$C$53,C1182)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SUMIFS(RAB!$F$14:$F$53,RAB!$C$14:$C$53,C1183)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SUMIFS(RAB!$F$14:$F$53,RAB!$C$14:$C$53,C1184)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SUMIFS(RAB!$F$14:$F$53,RAB!$C$14:$C$53,C1185)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SUMIFS(RAB!$F$14:$F$53,RAB!$C$14:$C$53,C1186)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SUMIFS(RAB!$F$14:$F$53,RAB!$C$14:$C$53,C1187)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SUMIFS(RAB!$F$14:$F$53,RAB!$C$14:$C$53,C1188)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SUMIFS(RAB!$F$14:$F$53,RAB!$C$14:$C$53,C1189)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SUMIFS(RAB!$F$14:$F$53,RAB!$C$14:$C$53,C1190)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SUMIFS(RAB!$F$14:$F$53,RAB!$C$14:$C$53,C1191)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SUMIFS(RAB!$F$14:$F$53,RAB!$C$14:$C$53,C1192)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SUMIFS(RAB!$F$14:$F$53,RAB!$C$14:$C$53,C1193)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SUMIFS(RAB!$F$14:$F$53,RAB!$C$14:$C$53,C1194)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SUMIFS(RAB!$F$14:$F$53,RAB!$C$14:$C$53,C1195)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SUMIFS(RAB!$F$14:$F$53,RAB!$C$14:$C$53,C1196)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SUMIFS(RAB!$F$14:$F$53,RAB!$C$14:$C$53,C1197)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SUMIFS(RAB!$F$14:$F$53,RAB!$C$14:$C$53,C1198)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SUMIFS(RAB!$F$14:$F$53,RAB!$C$14:$C$53,C1199)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SUMIFS(RAB!$F$14:$F$53,RAB!$C$14:$C$53,C1200)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SUMIFS(RAB!$F$14:$F$53,RAB!$C$14:$C$53,C1201)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SUMIFS(RAB!$F$14:$F$53,RAB!$C$14:$C$53,C1202)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SUMIFS(RAB!$F$14:$F$53,RAB!$C$14:$C$53,C1203)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SUMIFS(RAB!$F$14:$F$53,RAB!$C$14:$C$53,C1204)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SUMIFS(RAB!$F$14:$F$53,RAB!$C$14:$C$53,C1205)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SUMIFS(RAB!$F$14:$F$53,RAB!$C$14:$C$53,C1206)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SUMIFS(RAB!$F$14:$F$53,RAB!$C$14:$C$53,C1207)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SUMIFS(RAB!$F$14:$F$53,RAB!$C$14:$C$53,C1208)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SUMIFS(RAB!$F$14:$F$53,RAB!$C$14:$C$53,C1209)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SUMIFS(RAB!$F$14:$F$53,RAB!$C$14:$C$53,C1210)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SUMIFS(RAB!$F$14:$F$53,RAB!$C$14:$C$53,C1211)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SUMIFS(RAB!$F$14:$F$53,RAB!$C$14:$C$53,C1212)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SUMIFS(RAB!$F$14:$F$53,RAB!$C$14:$C$53,C1213)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SUMIFS(RAB!$F$14:$F$53,RAB!$C$14:$C$53,C1214)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SUMIFS(RAB!$F$14:$F$53,RAB!$C$14:$C$53,C1215)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SUMIFS(RAB!$F$14:$F$53,RAB!$C$14:$C$53,C1216)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SUMIFS(RAB!$F$14:$F$53,RAB!$C$14:$C$53,C1217)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SUMIFS(RAB!$F$14:$F$53,RAB!$C$14:$C$53,C1218)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SUMIFS(RAB!$F$14:$F$53,RAB!$C$14:$C$53,C1219)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SUMIFS(RAB!$F$14:$F$53,RAB!$C$14:$C$53,C1220)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SUMIFS(RAB!$F$14:$F$53,RAB!$C$14:$C$53,C1221)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SUMIFS(RAB!$F$14:$F$53,RAB!$C$14:$C$53,C1222)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SUMIFS(RAB!$F$14:$F$53,RAB!$C$14:$C$53,C1223)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SUMIFS(RAB!$F$14:$F$53,RAB!$C$14:$C$53,C1224)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SUMIFS(RAB!$F$14:$F$53,RAB!$C$14:$C$53,C1225)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SUMIFS(RAB!$F$14:$F$53,RAB!$C$14:$C$53,C1226)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SUMIFS(RAB!$F$14:$F$53,RAB!$C$14:$C$53,C1227)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SUMIFS(RAB!$F$14:$F$53,RAB!$C$14:$C$53,C1228)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SUMIFS(RAB!$F$14:$F$53,RAB!$C$14:$C$53,C1229)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SUMIFS(RAB!$F$14:$F$53,RAB!$C$14:$C$53,C1230)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SUMIFS(RAB!$F$14:$F$53,RAB!$C$14:$C$53,C1231)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SUMIFS(RAB!$F$14:$F$53,RAB!$C$14:$C$53,C1232)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SUMIFS(RAB!$F$14:$F$53,RAB!$C$14:$C$53,C1233)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SUMIFS(RAB!$F$14:$F$53,RAB!$C$14:$C$53,C1234)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SUMIFS(RAB!$F$14:$F$53,RAB!$C$14:$C$53,C1235)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SUMIFS(RAB!$F$14:$F$53,RAB!$C$14:$C$53,C1236)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SUMIFS(RAB!$F$14:$F$53,RAB!$C$14:$C$53,C1237)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SUMIFS(RAB!$F$14:$F$53,RAB!$C$14:$C$53,C1238)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SUMIFS(RAB!$F$14:$F$53,RAB!$C$14:$C$53,C1239)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SUMIFS(RAB!$F$14:$F$53,RAB!$C$14:$C$53,C1240)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SUMIFS(RAB!$F$14:$F$53,RAB!$C$14:$C$53,C1241)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SUMIFS(RAB!$F$14:$F$53,RAB!$C$14:$C$53,C1242)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SUMIFS(RAB!$F$14:$F$53,RAB!$C$14:$C$53,C1243)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SUMIFS(RAB!$F$14:$F$53,RAB!$C$14:$C$53,C1244)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SUMIFS(RAB!$F$14:$F$53,RAB!$C$14:$C$53,C1245)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SUMIFS(RAB!$F$14:$F$53,RAB!$C$14:$C$53,C1246)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SUMIFS(RAB!$F$14:$F$53,RAB!$C$14:$C$53,C1247)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SUMIFS(RAB!$F$14:$F$53,RAB!$C$14:$C$53,C1248)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SUMIFS(RAB!$F$14:$F$53,RAB!$C$14:$C$53,C1249)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SUMIFS(RAB!$F$14:$F$53,RAB!$C$14:$C$53,C1250)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SUMIFS(RAB!$F$14:$F$53,RAB!$C$14:$C$53,C1251)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SUMIFS(RAB!$F$14:$F$53,RAB!$C$14:$C$53,C1252)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SUMIFS(RAB!$F$14:$F$53,RAB!$C$14:$C$53,C1253)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SUMIFS(RAB!$F$14:$F$53,RAB!$C$14:$C$53,C1254)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SUMIFS(RAB!$F$14:$F$53,RAB!$C$14:$C$53,C1255)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SUMIFS(RAB!$F$14:$F$53,RAB!$C$14:$C$53,C1256)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SUMIFS(RAB!$F$14:$F$53,RAB!$C$14:$C$53,C1257)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SUMIFS(RAB!$F$14:$F$53,RAB!$C$14:$C$53,C1258)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SUMIFS(RAB!$F$14:$F$53,RAB!$C$14:$C$53,C1259)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SUMIFS(RAB!$F$14:$F$53,RAB!$C$14:$C$53,C1260)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SUMIFS(RAB!$F$14:$F$53,RAB!$C$14:$C$53,C1261)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SUMIFS(RAB!$F$14:$F$53,RAB!$C$14:$C$53,C1262)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SUMIFS(RAB!$F$14:$F$53,RAB!$C$14:$C$53,C1263)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SUMIFS(RAB!$F$14:$F$53,RAB!$C$14:$C$53,C1264)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SUMIFS(RAB!$F$14:$F$53,RAB!$C$14:$C$53,C1265)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SUMIFS(RAB!$F$14:$F$53,RAB!$C$14:$C$53,C1266)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SUMIFS(RAB!$F$14:$F$53,RAB!$C$14:$C$53,C1267)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SUMIFS(RAB!$F$14:$F$53,RAB!$C$14:$C$53,C1268)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SUMIFS(RAB!$F$14:$F$53,RAB!$C$14:$C$53,C1269)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SUMIFS(RAB!$F$14:$F$53,RAB!$C$14:$C$53,C1270)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SUMIFS(RAB!$F$14:$F$53,RAB!$C$14:$C$53,C1271)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SUMIFS(RAB!$F$14:$F$53,RAB!$C$14:$C$53,C1272)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SUMIFS(RAB!$F$14:$F$53,RAB!$C$14:$C$53,C1273)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SUMIFS(RAB!$F$14:$F$53,RAB!$C$14:$C$53,C1274)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SUMIFS(RAB!$F$14:$F$53,RAB!$C$14:$C$53,C1275)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SUMIFS(RAB!$F$14:$F$53,RAB!$C$14:$C$53,C1276)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SUMIFS(RAB!$F$14:$F$53,RAB!$C$14:$C$53,C1277)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SUMIFS(RAB!$F$14:$F$53,RAB!$C$14:$C$53,C1278)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SUMIFS(RAB!$F$14:$F$53,RAB!$C$14:$C$53,C1279)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SUMIFS(RAB!$F$14:$F$53,RAB!$C$14:$C$53,C1280)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SUMIFS(RAB!$F$14:$F$53,RAB!$C$14:$C$53,C1281)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SUMIFS(RAB!$F$14:$F$53,RAB!$C$14:$C$53,C1282)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SUMIFS(RAB!$F$14:$F$53,RAB!$C$14:$C$53,C1283)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SUMIFS(RAB!$F$14:$F$53,RAB!$C$14:$C$53,C1284)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SUMIFS(RAB!$F$14:$F$53,RAB!$C$14:$C$53,C1285)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SUMIFS(RAB!$F$14:$F$53,RAB!$C$14:$C$53,C1286)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SUMIFS(RAB!$F$14:$F$53,RAB!$C$14:$C$53,C1287)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SUMIFS(RAB!$F$14:$F$53,RAB!$C$14:$C$53,C1288)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SUMIFS(RAB!$F$14:$F$53,RAB!$C$14:$C$53,C1289)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SUMIFS(RAB!$F$14:$F$53,RAB!$C$14:$C$53,C1290)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SUMIFS(RAB!$F$14:$F$53,RAB!$C$14:$C$53,C1291)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SUMIFS(RAB!$F$14:$F$53,RAB!$C$14:$C$53,C1292)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SUMIFS(RAB!$F$14:$F$53,RAB!$C$14:$C$53,C1293)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SUMIFS(RAB!$F$14:$F$53,RAB!$C$14:$C$53,C1294)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SUMIFS(RAB!$F$14:$F$53,RAB!$C$14:$C$53,C1295)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SUMIFS(RAB!$F$14:$F$53,RAB!$C$14:$C$53,C1296)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SUMIFS(RAB!$F$14:$F$53,RAB!$C$14:$C$53,C1297)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SUMIFS(RAB!$F$14:$F$53,RAB!$C$14:$C$53,C1298)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SUMIFS(RAB!$F$14:$F$53,RAB!$C$14:$C$53,C1299)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SUMIFS(RAB!$F$14:$F$53,RAB!$C$14:$C$53,C1300)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SUMIFS(RAB!$F$14:$F$53,RAB!$C$14:$C$53,C1301)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SUMIFS(RAB!$F$14:$F$53,RAB!$C$14:$C$53,C1302)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SUMIFS(RAB!$F$14:$F$53,RAB!$C$14:$C$53,C1303)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SUMIFS(RAB!$F$14:$F$53,RAB!$C$14:$C$53,C1304)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SUMIFS(RAB!$F$14:$F$53,RAB!$C$14:$C$53,C1305)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SUMIFS(RAB!$F$14:$F$53,RAB!$C$14:$C$53,C1306)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SUMIFS(RAB!$F$14:$F$53,RAB!$C$14:$C$53,C1307)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SUMIFS(RAB!$F$14:$F$53,RAB!$C$14:$C$53,C1308)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SUMIFS(RAB!$F$14:$F$53,RAB!$C$14:$C$53,C1309)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SUMIFS(RAB!$F$14:$F$53,RAB!$C$14:$C$53,C1310)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SUMIFS(RAB!$F$14:$F$53,RAB!$C$14:$C$53,C1311)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SUMIFS(RAB!$F$14:$F$53,RAB!$C$14:$C$53,C1312)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SUMIFS(RAB!$F$14:$F$53,RAB!$C$14:$C$53,C1313)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SUMIFS(RAB!$F$14:$F$53,RAB!$C$14:$C$53,C1314)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SUMIFS(RAB!$F$14:$F$53,RAB!$C$14:$C$53,C1315)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SUMIFS(RAB!$F$14:$F$53,RAB!$C$14:$C$53,C1316)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SUMIFS(RAB!$F$14:$F$53,RAB!$C$14:$C$53,C1317)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SUMIFS(RAB!$F$14:$F$53,RAB!$C$14:$C$53,C1318)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SUMIFS(RAB!$F$14:$F$53,RAB!$C$14:$C$53,C1319)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SUMIFS(RAB!$F$14:$F$53,RAB!$C$14:$C$53,C1320)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1127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4" t="str">
        <f>RAB!G6</f>
        <v>UD SRI REZEKI</v>
      </c>
      <c r="H6" s="554"/>
      <c r="I6" s="554"/>
      <c r="J6" s="554"/>
      <c r="K6" s="55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GEMPOLDENOK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8" t="s">
        <v>41</v>
      </c>
      <c r="H11" s="536" t="s">
        <v>3</v>
      </c>
      <c r="I11" s="536"/>
      <c r="J11" s="536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37"/>
      <c r="E12" s="537"/>
      <c r="F12" s="537"/>
      <c r="G12" s="539"/>
      <c r="H12" s="545" t="s">
        <v>46</v>
      </c>
      <c r="I12" s="545" t="s">
        <v>5</v>
      </c>
      <c r="J12" s="537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37"/>
      <c r="E13" s="537"/>
      <c r="F13" s="537"/>
      <c r="G13" s="540"/>
      <c r="H13" s="546"/>
      <c r="I13" s="546"/>
      <c r="J13" s="537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5" t="s">
        <v>1008</v>
      </c>
      <c r="D38" s="555"/>
      <c r="E38" s="555"/>
      <c r="F38" s="55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6" t="s">
        <v>462</v>
      </c>
      <c r="D39" s="556"/>
      <c r="E39" s="556"/>
      <c r="F39" s="55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7" t="s">
        <v>463</v>
      </c>
      <c r="D40" s="547"/>
      <c r="E40" s="547"/>
      <c r="F40" s="54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8" t="e">
        <f ca="1">"Terbilang : ( "&amp;L42&amp;" Rupiah )"</f>
        <v>#NAME?</v>
      </c>
      <c r="C41" s="549"/>
      <c r="D41" s="549"/>
      <c r="E41" s="549"/>
      <c r="F41" s="549"/>
      <c r="G41" s="549"/>
      <c r="H41" s="549"/>
      <c r="I41" s="549"/>
      <c r="J41" s="549"/>
      <c r="K41" s="550"/>
      <c r="L41" s="44"/>
      <c r="R41" s="58"/>
      <c r="S41" s="58"/>
      <c r="T41" s="58"/>
    </row>
    <row r="42" spans="1:20" s="36" customFormat="1">
      <c r="A42" s="30"/>
      <c r="B42" s="551"/>
      <c r="C42" s="552"/>
      <c r="D42" s="552"/>
      <c r="E42" s="552"/>
      <c r="F42" s="552"/>
      <c r="G42" s="552"/>
      <c r="H42" s="552"/>
      <c r="I42" s="552"/>
      <c r="J42" s="552"/>
      <c r="K42" s="55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2"/>
      <c r="I45" s="542"/>
      <c r="J45" s="543"/>
      <c r="K45" s="54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2"/>
      <c r="I46" s="542"/>
      <c r="J46" s="543"/>
      <c r="K46" s="54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2"/>
      <c r="I47" s="542"/>
      <c r="J47" s="543"/>
      <c r="K47" s="54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2"/>
      <c r="I52" s="542"/>
      <c r="J52" s="543"/>
      <c r="K52" s="54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SUMIFS(RAB!$F$14:$F$53,RAB!$C$14:$C$53,'REKAP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SUMIFS(RAB!$F$14:$F$53,RAB!$C$14:$C$53,'REKAP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SUMIFS(RAB!$F$14:$F$53,RAB!$C$14:$C$53,'REKAP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SUMIFS(RAB!$F$14:$F$53,RAB!$C$14:$C$53,'REKAP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SUMIFS(RAB!$F$14:$F$53,RAB!$C$14:$C$53,'REKAP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SUMIFS(RAB!$F$14:$F$53,RAB!$C$14:$C$53,'REKAP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SUMIFS(RAB!$F$14:$F$53,RAB!$C$14:$C$53,'REKAP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SUMIFS(RAB!$F$14:$F$53,RAB!$C$14:$C$53,'REKAP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SUMIFS(RAB!$F$14:$F$53,RAB!$C$14:$C$53,'REKAP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SUMIFS(RAB!$F$14:$F$53,RAB!$C$14:$C$53,'REKAP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SUMIFS(RAB!$F$14:$F$53,RAB!$C$14:$C$53,'REKAP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SUMIFS(RAB!$F$14:$F$53,RAB!$C$14:$C$53,'REKAP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SUMIFS(RAB!$F$14:$F$53,RAB!$C$14:$C$53,'REKAP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SUMIFS(RAB!$F$14:$F$53,RAB!$C$14:$C$53,'REKAP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SUMIFS(RAB!$F$14:$F$53,RAB!$C$14:$C$53,'REKAP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SUMIFS(RAB!$F$14:$F$53,RAB!$C$14:$C$53,'REKAP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SUMIFS(RAB!$F$14:$F$53,RAB!$C$14:$C$53,'REKAP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SUMIFS(RAB!$F$14:$F$53,RAB!$C$14:$C$53,'REKAP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SUMIFS(RAB!$F$14:$F$53,RAB!$C$14:$C$53,'REKAP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SUMIFS(RAB!$F$14:$F$53,RAB!$C$14:$C$53,'REKAP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1034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4" t="str">
        <f>RAB!G6</f>
        <v>UD SRI REZEKI</v>
      </c>
      <c r="H6" s="554"/>
      <c r="I6" s="554"/>
      <c r="J6" s="554"/>
      <c r="K6" s="55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GEMPOLDENOK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8" t="s">
        <v>41</v>
      </c>
      <c r="H11" s="536" t="s">
        <v>3</v>
      </c>
      <c r="I11" s="536"/>
      <c r="J11" s="536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37"/>
      <c r="E12" s="537"/>
      <c r="F12" s="537"/>
      <c r="G12" s="539"/>
      <c r="H12" s="545" t="s">
        <v>46</v>
      </c>
      <c r="I12" s="545" t="s">
        <v>5</v>
      </c>
      <c r="J12" s="537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37"/>
      <c r="E13" s="537"/>
      <c r="F13" s="537"/>
      <c r="G13" s="540"/>
      <c r="H13" s="546"/>
      <c r="I13" s="546"/>
      <c r="J13" s="537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131 kVA MCCB 200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Kabel NYY 4 x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35</v>
      </c>
      <c r="G18" s="41">
        <f ca="1">IF(ISERROR(OFFSET('HARGA SATUAN'!$I$6,MATCH(C18,'HARGA SATUAN'!$C$7:$C$1492,0),0)),"",OFFSET('HARGA SATUAN'!$I$6,MATCH(C18,'HARGA SATUAN'!$C$7:$C$1492,0),0))</f>
        <v>421400</v>
      </c>
      <c r="H18" s="42">
        <f t="shared" ca="1" si="1"/>
        <v>14749000</v>
      </c>
      <c r="I18" s="42">
        <f t="shared" ca="1" si="2"/>
        <v>0</v>
      </c>
      <c r="J18" s="42">
        <f t="shared" ca="1" si="3"/>
        <v>0</v>
      </c>
      <c r="K18" s="43">
        <f t="shared" ca="1" si="0"/>
        <v>14749000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5" t="s">
        <v>1008</v>
      </c>
      <c r="D168" s="555"/>
      <c r="E168" s="555"/>
      <c r="F168" s="555"/>
      <c r="G168" s="77" t="s">
        <v>9</v>
      </c>
      <c r="H168" s="55">
        <f ca="1">SUM(H14:H167)</f>
        <v>31228600</v>
      </c>
      <c r="I168" s="55">
        <f ca="1">SUM(I14:I167)</f>
        <v>0</v>
      </c>
      <c r="J168" s="55">
        <f ca="1">SUM(J14:J167)</f>
        <v>0</v>
      </c>
      <c r="K168" s="55">
        <f ca="1">SUM(K14:K167)</f>
        <v>31228600</v>
      </c>
      <c r="L168" s="44"/>
      <c r="R168" s="99"/>
      <c r="S168" s="99"/>
      <c r="T168" s="99"/>
    </row>
    <row r="169" spans="1:20" s="36" customFormat="1">
      <c r="A169" s="30"/>
      <c r="B169" s="56"/>
      <c r="C169" s="556" t="s">
        <v>462</v>
      </c>
      <c r="D169" s="556"/>
      <c r="E169" s="556"/>
      <c r="F169" s="556"/>
      <c r="G169" s="59" t="s">
        <v>9</v>
      </c>
      <c r="H169" s="60">
        <f ca="1">H168*0.1</f>
        <v>3122860</v>
      </c>
      <c r="I169" s="60">
        <f ca="1">I168*0.1</f>
        <v>0</v>
      </c>
      <c r="J169" s="60">
        <f ca="1">J168*0.1</f>
        <v>0</v>
      </c>
      <c r="K169" s="60">
        <f ca="1">K168*0.1</f>
        <v>3122860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7" t="s">
        <v>463</v>
      </c>
      <c r="D170" s="547"/>
      <c r="E170" s="547"/>
      <c r="F170" s="547"/>
      <c r="G170" s="61" t="s">
        <v>9</v>
      </c>
      <c r="H170" s="78">
        <f ca="1">SUM(H168:H169)</f>
        <v>34351460</v>
      </c>
      <c r="I170" s="78">
        <f ca="1">SUM(I168:I169)</f>
        <v>0</v>
      </c>
      <c r="J170" s="61">
        <f ca="1">SUM(J168:J169)</f>
        <v>0</v>
      </c>
      <c r="K170" s="61">
        <f ca="1">SUM(K168:K169)</f>
        <v>34351460</v>
      </c>
      <c r="L170" s="44"/>
      <c r="R170" s="99"/>
      <c r="S170" s="99"/>
      <c r="T170" s="99"/>
    </row>
    <row r="171" spans="1:20" s="36" customFormat="1">
      <c r="A171" s="30"/>
      <c r="B171" s="548" t="e">
        <f ca="1">"Terbilang : ( "&amp;L172&amp;" Rupiah )"</f>
        <v>#NAME?</v>
      </c>
      <c r="C171" s="549"/>
      <c r="D171" s="549"/>
      <c r="E171" s="549"/>
      <c r="F171" s="549"/>
      <c r="G171" s="549"/>
      <c r="H171" s="549"/>
      <c r="I171" s="549"/>
      <c r="J171" s="549"/>
      <c r="K171" s="550"/>
      <c r="L171" s="44"/>
      <c r="R171" s="58"/>
      <c r="S171" s="58"/>
      <c r="T171" s="58"/>
    </row>
    <row r="172" spans="1:20" s="36" customFormat="1">
      <c r="A172" s="30"/>
      <c r="B172" s="551"/>
      <c r="C172" s="552"/>
      <c r="D172" s="552"/>
      <c r="E172" s="552"/>
      <c r="F172" s="552"/>
      <c r="G172" s="552"/>
      <c r="H172" s="552"/>
      <c r="I172" s="552"/>
      <c r="J172" s="552"/>
      <c r="K172" s="55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2"/>
      <c r="I175" s="542"/>
      <c r="J175" s="543"/>
      <c r="K175" s="54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2"/>
      <c r="I176" s="542"/>
      <c r="J176" s="543"/>
      <c r="K176" s="54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2"/>
      <c r="I177" s="542"/>
      <c r="J177" s="543"/>
      <c r="K177" s="54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2"/>
      <c r="I182" s="542"/>
      <c r="J182" s="543"/>
      <c r="K182" s="54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SUMIFS(RAB!$F$14:$F$53,RAB!$C$14:$C$53,C224)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SUMIFS(RAB!$F$14:$F$53,RAB!$C$14:$C$53,C225)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SUMIFS(RAB!$F$14:$F$53,RAB!$C$14:$C$53,C226)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SUMIFS(RAB!$F$14:$F$53,RAB!$C$14:$C$53,C227)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SUMIFS(RAB!$F$14:$F$53,RAB!$C$14:$C$53,C228)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SUMIFS(RAB!$F$14:$F$53,RAB!$C$14:$C$53,C229)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SUMIFS(RAB!$F$14:$F$53,RAB!$C$14:$C$53,C230)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SUMIFS(RAB!$F$14:$F$53,RAB!$C$14:$C$53,C231)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SUMIFS(RAB!$F$14:$F$53,RAB!$C$14:$C$53,C232)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SUMIFS(RAB!$F$14:$F$53,RAB!$C$14:$C$53,C233)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SUMIFS(RAB!$F$14:$F$53,RAB!$C$14:$C$53,C234)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SUMIFS(RAB!$F$14:$F$53,RAB!$C$14:$C$53,C235)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SUMIFS(RAB!$F$14:$F$53,RAB!$C$14:$C$53,C236)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SUMIFS(RAB!$F$14:$F$53,RAB!$C$14:$C$53,C237)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SUMIFS(RAB!$F$14:$F$53,RAB!$C$14:$C$53,C238)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SUMIFS(RAB!$F$14:$F$53,RAB!$C$14:$C$53,C239)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SUMIFS(RAB!$F$14:$F$53,RAB!$C$14:$C$53,C240)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SUMIFS(RAB!$F$14:$F$53,RAB!$C$14:$C$53,C241)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SUMIFS(RAB!$F$14:$F$53,RAB!$C$14:$C$53,C242)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SUMIFS(RAB!$F$14:$F$53,RAB!$C$14:$C$53,C243)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SUMIFS(RAB!$F$14:$F$53,RAB!$C$14:$C$53,C244)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SUMIFS(RAB!$F$14:$F$53,RAB!$C$14:$C$53,C245)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SUMIFS(RAB!$F$14:$F$53,RAB!$C$14:$C$53,C246)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SUMIFS(RAB!$F$14:$F$53,RAB!$C$14:$C$53,C247)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SUMIFS(RAB!$F$14:$F$53,RAB!$C$14:$C$53,C248)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SUMIFS(RAB!$F$14:$F$53,RAB!$C$14:$C$53,C249)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SUMIFS(RAB!$F$14:$F$53,RAB!$C$14:$C$53,C250)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SUMIFS(RAB!$F$14:$F$53,RAB!$C$14:$C$53,C251)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SUMIFS(RAB!$F$14:$F$53,RAB!$C$14:$C$53,C252)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SUMIFS(RAB!$F$14:$F$53,RAB!$C$14:$C$53,C253)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SUMIFS(RAB!$F$14:$F$53,RAB!$C$14:$C$53,C254)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SUMIFS(RAB!$F$14:$F$53,RAB!$C$14:$C$53,C255)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SUMIFS(RAB!$F$14:$F$53,RAB!$C$14:$C$53,C256)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SUMIFS(RAB!$F$14:$F$53,RAB!$C$14:$C$53,C257)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SUMIFS(RAB!$F$14:$F$53,RAB!$C$14:$C$53,C258)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SUMIFS(RAB!$F$14:$F$53,RAB!$C$14:$C$53,C259)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SUMIFS(RAB!$F$14:$F$53,RAB!$C$14:$C$53,C260)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SUMIFS(RAB!$F$14:$F$53,RAB!$C$14:$C$53,C261)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SUMIFS(RAB!$F$14:$F$53,RAB!$C$14:$C$53,C262)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SUMIFS(RAB!$F$14:$F$53,RAB!$C$14:$C$53,C263)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SUMIFS(RAB!$F$14:$F$53,RAB!$C$14:$C$53,C264)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SUMIFS(RAB!$F$14:$F$53,RAB!$C$14:$C$53,C265)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SUMIFS(RAB!$F$14:$F$53,RAB!$C$14:$C$53,C266)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SUMIFS(RAB!$F$14:$F$53,RAB!$C$14:$C$53,C267)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SUMIFS(RAB!$F$14:$F$53,RAB!$C$14:$C$53,C268)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SUMIFS(RAB!$F$14:$F$53,RAB!$C$14:$C$53,C269)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SUMIFS(RAB!$F$14:$F$53,RAB!$C$14:$C$53,C270)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SUMIFS(RAB!$F$14:$F$53,RAB!$C$14:$C$53,C271)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SUMIFS(RAB!$F$14:$F$53,RAB!$C$14:$C$53,C272)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SUMIFS(RAB!$F$14:$F$53,RAB!$C$14:$C$53,C273)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SUMIFS(RAB!$F$14:$F$53,RAB!$C$14:$C$53,C274)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SUMIFS(RAB!$F$14:$F$53,RAB!$C$14:$C$53,C275)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SUMIFS(RAB!$F$14:$F$53,RAB!$C$14:$C$53,C276)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SUMIFS(RAB!$F$14:$F$53,RAB!$C$14:$C$53,C277)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SUMIFS(RAB!$F$14:$F$53,RAB!$C$14:$C$53,C278)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SUMIFS(RAB!$F$14:$F$53,RAB!$C$14:$C$53,C279)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SUMIFS(RAB!$F$14:$F$53,RAB!$C$14:$C$53,C280)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SUMIFS(RAB!$F$14:$F$53,RAB!$C$14:$C$53,C281)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SUMIFS(RAB!$F$14:$F$53,RAB!$C$14:$C$53,C282)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SUMIFS(RAB!$F$14:$F$53,RAB!$C$14:$C$53,C283)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SUMIFS(RAB!$F$14:$F$53,RAB!$C$14:$C$53,C284)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SUMIFS(RAB!$F$14:$F$53,RAB!$C$14:$C$53,C285)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SUMIFS(RAB!$F$14:$F$53,RAB!$C$14:$C$53,C286)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SUMIFS(RAB!$F$14:$F$53,RAB!$C$14:$C$53,C287)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SUMIFS(RAB!$F$14:$F$53,RAB!$C$14:$C$53,C288)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SUMIFS(RAB!$F$14:$F$53,RAB!$C$14:$C$53,C289)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SUMIFS(RAB!$F$14:$F$53,RAB!$C$14:$C$53,C290)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SUMIFS(RAB!$F$14:$F$53,RAB!$C$14:$C$53,C291)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SUMIFS(RAB!$F$14:$F$53,RAB!$C$14:$C$53,C292)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SUMIFS(RAB!$F$14:$F$53,RAB!$C$14:$C$53,C293)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SUMIFS(RAB!$F$14:$F$53,RAB!$C$14:$C$53,C294)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SUMIFS(RAB!$F$14:$F$53,RAB!$C$14:$C$53,C295)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SUMIFS(RAB!$F$14:$F$53,RAB!$C$14:$C$53,C296)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SUMIFS(RAB!$F$14:$F$53,RAB!$C$14:$C$53,C297)</f>
        <v>1</v>
      </c>
      <c r="E297" s="24">
        <f t="shared" ca="1" si="22"/>
        <v>1</v>
      </c>
      <c r="F297" s="24">
        <f ca="1">IF(D297=0,0,SUM($E$223:E297))</f>
        <v>2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SUMIFS(RAB!$F$14:$F$53,RAB!$C$14:$C$53,C298)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SUMIFS(RAB!$F$14:$F$53,RAB!$C$14:$C$53,C299)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SUMIFS(RAB!$F$14:$F$53,RAB!$C$14:$C$53,C300)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SUMIFS(RAB!$F$14:$F$53,RAB!$C$14:$C$53,C301)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SUMIFS(RAB!$F$14:$F$53,RAB!$C$14:$C$53,C302)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SUMIFS(RAB!$F$14:$F$53,RAB!$C$14:$C$53,C303)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SUMIFS(RAB!$F$14:$F$53,RAB!$C$14:$C$53,C304)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SUMIFS(RAB!$F$14:$F$53,RAB!$C$14:$C$53,C305)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SUMIFS(RAB!$F$14:$F$53,RAB!$C$14:$C$53,C306)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SUMIFS(RAB!$F$14:$F$53,RAB!$C$14:$C$53,C307)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SUMIFS(RAB!$F$14:$F$53,RAB!$C$14:$C$53,C308)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SUMIFS(RAB!$F$14:$F$53,RAB!$C$14:$C$53,C309)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SUMIFS(RAB!$F$14:$F$53,RAB!$C$14:$C$53,C310)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SUMIFS(RAB!$F$14:$F$53,RAB!$C$14:$C$53,C311)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SUMIFS(RAB!$F$14:$F$53,RAB!$C$14:$C$53,C312)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SUMIFS(RAB!$F$14:$F$53,RAB!$C$14:$C$53,C313)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SUMIFS(RAB!$F$14:$F$53,RAB!$C$14:$C$53,C314)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SUMIFS(RAB!$F$14:$F$53,RAB!$C$14:$C$53,C315)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SUMIFS(RAB!$F$14:$F$53,RAB!$C$14:$C$53,C316)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SUMIFS(RAB!$F$14:$F$53,RAB!$C$14:$C$53,C317)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SUMIFS(RAB!$F$14:$F$53,RAB!$C$14:$C$53,C318)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SUMIFS(RAB!$F$14:$F$53,RAB!$C$14:$C$53,C319)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SUMIFS(RAB!$F$14:$F$53,RAB!$C$14:$C$53,C320)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SUMIFS(RAB!$F$14:$F$53,RAB!$C$14:$C$53,C321)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SUMIFS(RAB!$F$14:$F$53,RAB!$C$14:$C$53,C322)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SUMIFS(RAB!$F$14:$F$53,RAB!$C$14:$C$53,C323)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SUMIFS(RAB!$F$14:$F$53,RAB!$C$14:$C$53,C324)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SUMIFS(RAB!$F$14:$F$53,RAB!$C$14:$C$53,C325)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SUMIFS(RAB!$F$14:$F$53,RAB!$C$14:$C$53,C326)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SUMIFS(RAB!$F$14:$F$53,RAB!$C$14:$C$53,C327)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SUMIFS(RAB!$F$14:$F$53,RAB!$C$14:$C$53,C328)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SUMIFS(RAB!$F$14:$F$53,RAB!$C$14:$C$53,C329)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SUMIFS(RAB!$F$14:$F$53,RAB!$C$14:$C$53,C330)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SUMIFS(RAB!$F$14:$F$53,RAB!$C$14:$C$53,C331)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SUMIFS(RAB!$F$14:$F$53,RAB!$C$14:$C$53,C332)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SUMIFS(RAB!$F$14:$F$53,RAB!$C$14:$C$53,C333)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SUMIFS(RAB!$F$14:$F$53,RAB!$C$14:$C$53,C334)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SUMIFS(RAB!$F$14:$F$53,RAB!$C$14:$C$53,C335)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SUMIFS(RAB!$F$14:$F$53,RAB!$C$14:$C$53,C336)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SUMIFS(RAB!$F$14:$F$53,RAB!$C$14:$C$53,C337)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SUMIFS(RAB!$F$14:$F$53,RAB!$C$14:$C$53,C338)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SUMIFS(RAB!$F$14:$F$53,RAB!$C$14:$C$53,C339)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SUMIFS(RAB!$F$14:$F$53,RAB!$C$14:$C$53,C340)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SUMIFS(RAB!$F$14:$F$53,RAB!$C$14:$C$53,C341)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SUMIFS(RAB!$F$14:$F$53,RAB!$C$14:$C$53,C342)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SUMIFS(RAB!$F$14:$F$53,RAB!$C$14:$C$53,C343)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SUMIFS(RAB!$F$14:$F$53,RAB!$C$14:$C$53,C344)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SUMIFS(RAB!$F$14:$F$53,RAB!$C$14:$C$53,C345)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SUMIFS(RAB!$F$14:$F$53,RAB!$C$14:$C$53,C346)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SUMIFS(RAB!$F$14:$F$53,RAB!$C$14:$C$53,C347)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SUMIFS(RAB!$F$14:$F$53,RAB!$C$14:$C$53,C348)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SUMIFS(RAB!$F$14:$F$53,RAB!$C$14:$C$53,C349)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SUMIFS(RAB!$F$14:$F$53,RAB!$C$14:$C$53,C350)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SUMIFS(RAB!$F$14:$F$53,RAB!$C$14:$C$53,C351)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SUMIFS(RAB!$F$14:$F$53,RAB!$C$14:$C$53,C352)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SUMIFS(RAB!$F$14:$F$53,RAB!$C$14:$C$53,C353)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SUMIFS(RAB!$F$14:$F$53,RAB!$C$14:$C$53,C354)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SUMIFS(RAB!$F$14:$F$53,RAB!$C$14:$C$53,C355)</f>
        <v>35</v>
      </c>
      <c r="E355" s="24">
        <f t="shared" ca="1" si="23"/>
        <v>1</v>
      </c>
      <c r="F355" s="24">
        <f ca="1">IF(D355=0,0,SUM($E$223:E355))</f>
        <v>3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SUMIFS(RAB!$F$14:$F$53,RAB!$C$14:$C$53,C356)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SUMIFS(RAB!$F$14:$F$53,RAB!$C$14:$C$53,C357)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SUMIFS(RAB!$F$14:$F$53,RAB!$C$14:$C$53,C358)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SUMIFS(RAB!$F$14:$F$53,RAB!$C$14:$C$53,C359)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SUMIFS(RAB!$F$14:$F$53,RAB!$C$14:$C$53,C360)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SUMIFS(RAB!$F$14:$F$53,RAB!$C$14:$C$53,C361)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SUMIFS(RAB!$F$14:$F$53,RAB!$C$14:$C$53,C362)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SUMIFS(RAB!$F$14:$F$53,RAB!$C$14:$C$53,C363)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SUMIFS(RAB!$F$14:$F$53,RAB!$C$14:$C$53,C364)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SUMIFS(RAB!$F$14:$F$53,RAB!$C$14:$C$53,C365)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SUMIFS(RAB!$F$14:$F$53,RAB!$C$14:$C$53,C366)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SUMIFS(RAB!$F$14:$F$53,RAB!$C$14:$C$53,C367)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SUMIFS(RAB!$F$14:$F$53,RAB!$C$14:$C$53,C368)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SUMIFS(RAB!$F$14:$F$53,RAB!$C$14:$C$53,C369)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SUMIFS(RAB!$F$14:$F$53,RAB!$C$14:$C$53,C370)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SUMIFS(RAB!$F$14:$F$53,RAB!$C$14:$C$53,C371)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SUMIFS(RAB!$F$14:$F$53,RAB!$C$14:$C$53,C372)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SUMIFS(RAB!$F$14:$F$53,RAB!$C$14:$C$53,C373)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G1:G115 E6:E15 H12:I12 N13 F14:F15 H14:K115 E166:K166 G166:G223 E167:F167 H167:K167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2"/>
    </row>
    <row r="4" spans="4:4" ht="57" customHeight="1">
      <c r="D4" s="462">
        <v>3</v>
      </c>
    </row>
    <row r="5" spans="4:4" ht="57" customHeight="1">
      <c r="D5" s="46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448" activePane="bottomRight" state="frozen"/>
      <selection activeCell="D209" sqref="D209"/>
      <selection pane="topRight" activeCell="D209" sqref="D209"/>
      <selection pane="bottomLeft" activeCell="D209" sqref="D209"/>
      <selection pane="bottomRight" activeCell="C1439" sqref="C143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8" t="s">
        <v>41</v>
      </c>
      <c r="C2" s="55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9" t="s">
        <v>23</v>
      </c>
      <c r="C4" s="560" t="s">
        <v>1012</v>
      </c>
      <c r="D4" s="560" t="s">
        <v>42</v>
      </c>
      <c r="E4" s="559" t="s">
        <v>43</v>
      </c>
      <c r="F4" s="108" t="s">
        <v>1612</v>
      </c>
      <c r="G4" s="108" t="s">
        <v>1611</v>
      </c>
      <c r="H4" s="55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9"/>
      <c r="C5" s="560"/>
      <c r="D5" s="560"/>
      <c r="E5" s="559"/>
      <c r="F5" s="93"/>
      <c r="G5" s="93"/>
      <c r="H5" s="557"/>
      <c r="I5" s="193" t="s">
        <v>1611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1555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1556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1557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1558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1559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1560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1561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1562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1563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1564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1565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1566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1567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1568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1569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1570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1571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1572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1573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1574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1575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1576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1577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1578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1579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1580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1581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1582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1583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1584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1585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1586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1587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1588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1589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1590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1591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1592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1593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1594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1595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1596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1597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1598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1599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1600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1601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1602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1603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1604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1605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1606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9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9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1607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1608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1609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1610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0">
        <v>2740</v>
      </c>
      <c r="G1433" s="49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1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1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1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1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1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6" priority="138" operator="equal">
      <formula>0</formula>
    </cfRule>
  </conditionalFormatting>
  <conditionalFormatting sqref="B8:C135">
    <cfRule type="cellIs" dxfId="25" priority="51" operator="equal">
      <formula>0</formula>
    </cfRule>
  </conditionalFormatting>
  <conditionalFormatting sqref="B150:G1493">
    <cfRule type="cellIs" dxfId="24" priority="1" operator="equal">
      <formula>0</formula>
    </cfRule>
  </conditionalFormatting>
  <conditionalFormatting sqref="C143:G149">
    <cfRule type="cellIs" dxfId="23" priority="5" operator="equal">
      <formula>0</formula>
    </cfRule>
  </conditionalFormatting>
  <conditionalFormatting sqref="D9:G142">
    <cfRule type="cellIs" dxfId="22" priority="11" operator="equal">
      <formula>0</formula>
    </cfRule>
  </conditionalFormatting>
  <conditionalFormatting sqref="D1:IV5 A1:C7 D6:K6 H1455:IV1457 H1458:XFD1485 H1486:H1493 I1486:XFD1494 A1494:H1494 A1495:XFD65536">
    <cfRule type="cellIs" dxfId="21" priority="163" operator="equal">
      <formula>0</formula>
    </cfRule>
  </conditionalFormatting>
  <conditionalFormatting sqref="D7:IV8 C136:C142 B136:B149">
    <cfRule type="cellIs" dxfId="20" priority="62" operator="equal">
      <formula>0</formula>
    </cfRule>
  </conditionalFormatting>
  <conditionalFormatting sqref="H9:H1418">
    <cfRule type="cellIs" dxfId="19" priority="129" operator="equal">
      <formula>0</formula>
    </cfRule>
  </conditionalFormatting>
  <conditionalFormatting sqref="H1419:I1454">
    <cfRule type="cellIs" dxfId="18" priority="128" operator="equal">
      <formula>0</formula>
    </cfRule>
  </conditionalFormatting>
  <conditionalFormatting sqref="I108:I1418">
    <cfRule type="cellIs" dxfId="17" priority="125" operator="equal">
      <formula>0</formula>
    </cfRule>
  </conditionalFormatting>
  <conditionalFormatting sqref="J108:IV1454">
    <cfRule type="cellIs" dxfId="16" priority="139" operator="equal">
      <formula>0</formula>
    </cfRule>
  </conditionalFormatting>
  <conditionalFormatting sqref="M6:IV6">
    <cfRule type="cellIs" dxfId="1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N27"/>
  <sheetViews>
    <sheetView topLeftCell="A15" zoomScale="70" zoomScaleNormal="70" zoomScaleSheetLayoutView="85" workbookViewId="0">
      <selection activeCell="M19" sqref="M19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4" s="205" customFormat="1" ht="18.75" customHeight="1">
      <c r="B2" s="592" t="s">
        <v>1454</v>
      </c>
      <c r="C2" s="592"/>
      <c r="D2" s="592"/>
      <c r="E2" s="592"/>
      <c r="I2" s="206"/>
    </row>
    <row r="3" spans="1:14" s="205" customFormat="1" ht="13.5" customHeight="1" thickBot="1">
      <c r="B3" s="278"/>
      <c r="C3" s="278"/>
      <c r="D3" s="278"/>
      <c r="E3" s="278"/>
      <c r="I3" s="206"/>
    </row>
    <row r="4" spans="1:14" s="205" customFormat="1" ht="29.25" customHeight="1">
      <c r="A4" s="209"/>
      <c r="B4" s="597" t="s">
        <v>1535</v>
      </c>
      <c r="C4" s="598"/>
      <c r="D4" s="598"/>
      <c r="E4" s="599"/>
      <c r="F4" s="444"/>
      <c r="G4" s="444"/>
      <c r="H4" s="445"/>
      <c r="I4" s="561" t="s">
        <v>1536</v>
      </c>
      <c r="J4" s="562"/>
      <c r="K4" s="562"/>
      <c r="L4" s="563"/>
    </row>
    <row r="5" spans="1:14" ht="34.5" customHeight="1">
      <c r="A5" s="204"/>
      <c r="B5" s="447" t="s">
        <v>1379</v>
      </c>
      <c r="C5" s="277" t="s">
        <v>9</v>
      </c>
      <c r="D5" s="593" t="str">
        <f>DATA!D14</f>
        <v>UD SRI REZEKI</v>
      </c>
      <c r="E5" s="594"/>
      <c r="F5" s="208"/>
      <c r="G5" s="208"/>
      <c r="I5" s="448" t="s">
        <v>1379</v>
      </c>
      <c r="J5" s="277" t="s">
        <v>9</v>
      </c>
      <c r="K5" s="564" t="str">
        <f>D5</f>
        <v>UD SRI REZEKI</v>
      </c>
      <c r="L5" s="565"/>
    </row>
    <row r="6" spans="1:14" ht="31.5" customHeight="1">
      <c r="A6" s="204"/>
      <c r="B6" s="447" t="s">
        <v>1532</v>
      </c>
      <c r="C6" s="277" t="s">
        <v>9</v>
      </c>
      <c r="D6" s="602">
        <f>DATA!D17*1000</f>
        <v>0</v>
      </c>
      <c r="E6" s="603"/>
      <c r="F6" s="208"/>
      <c r="G6" s="208"/>
      <c r="I6" s="448" t="s">
        <v>1533</v>
      </c>
      <c r="J6" s="277" t="s">
        <v>9</v>
      </c>
      <c r="K6" s="566">
        <f>DATA!D20*1000</f>
        <v>-66000</v>
      </c>
      <c r="L6" s="567"/>
    </row>
    <row r="7" spans="1:14" ht="30.75" customHeight="1">
      <c r="A7" s="204"/>
      <c r="B7" s="447" t="s">
        <v>1441</v>
      </c>
      <c r="C7" s="277" t="s">
        <v>9</v>
      </c>
      <c r="D7" s="600">
        <f>DATA!D18</f>
        <v>1</v>
      </c>
      <c r="E7" s="601"/>
      <c r="F7" s="446" t="s">
        <v>1453</v>
      </c>
      <c r="I7" s="448" t="s">
        <v>1441</v>
      </c>
      <c r="J7" s="277" t="s">
        <v>9</v>
      </c>
      <c r="K7" s="568">
        <f>DATA!D21</f>
        <v>3</v>
      </c>
      <c r="L7" s="569"/>
    </row>
    <row r="8" spans="1:14" ht="51" customHeight="1">
      <c r="A8" s="204"/>
      <c r="B8" s="447" t="s">
        <v>1442</v>
      </c>
      <c r="C8" s="277" t="s">
        <v>9</v>
      </c>
      <c r="D8" s="600">
        <f>DATA!D19</f>
        <v>220</v>
      </c>
      <c r="E8" s="601"/>
      <c r="F8" s="446" t="s">
        <v>1453</v>
      </c>
      <c r="G8" s="441">
        <v>220</v>
      </c>
      <c r="I8" s="448" t="s">
        <v>1442</v>
      </c>
      <c r="J8" s="277" t="s">
        <v>9</v>
      </c>
      <c r="K8" s="568">
        <f>DATA!D22</f>
        <v>380</v>
      </c>
      <c r="L8" s="569"/>
    </row>
    <row r="9" spans="1:14" ht="30" customHeight="1" thickBot="1">
      <c r="A9" s="204"/>
      <c r="B9" s="453" t="s">
        <v>1544</v>
      </c>
      <c r="C9" s="443" t="s">
        <v>9</v>
      </c>
      <c r="D9" s="595">
        <f>IF(D7=1,D6/(380/3^0.5),(D6/(380*3^0.5)))</f>
        <v>0</v>
      </c>
      <c r="E9" s="596"/>
      <c r="F9" s="207"/>
      <c r="G9" s="442">
        <v>380</v>
      </c>
      <c r="I9" s="454" t="s">
        <v>1544</v>
      </c>
      <c r="J9" s="443" t="s">
        <v>9</v>
      </c>
      <c r="K9" s="572">
        <f>IF(K7=1,K6/(380/3^0.5),(K6/(380*3^0.5)))</f>
        <v>-100.27662570135607</v>
      </c>
      <c r="L9" s="573"/>
    </row>
    <row r="10" spans="1:14" ht="24.75" customHeight="1">
      <c r="B10" s="455"/>
      <c r="C10" s="452"/>
      <c r="D10" s="456"/>
      <c r="E10" s="456"/>
      <c r="F10" s="207"/>
      <c r="G10" s="442"/>
      <c r="I10" s="455"/>
      <c r="J10" s="452"/>
      <c r="K10" s="456"/>
      <c r="L10" s="456"/>
    </row>
    <row r="11" spans="1:14" ht="16.5" thickBot="1">
      <c r="B11" s="449" t="s">
        <v>1545</v>
      </c>
      <c r="I11" s="449" t="s">
        <v>1539</v>
      </c>
    </row>
    <row r="12" spans="1:14" ht="34.5" customHeight="1">
      <c r="A12" s="204"/>
      <c r="B12" s="477" t="s">
        <v>1537</v>
      </c>
      <c r="C12" s="471" t="s">
        <v>9</v>
      </c>
      <c r="D12" s="604"/>
      <c r="E12" s="605"/>
      <c r="F12" s="208"/>
      <c r="G12" s="208"/>
      <c r="I12" s="470" t="s">
        <v>1537</v>
      </c>
      <c r="J12" s="471" t="s">
        <v>9</v>
      </c>
      <c r="K12" s="604" t="s">
        <v>1624</v>
      </c>
      <c r="L12" s="605"/>
    </row>
    <row r="13" spans="1:14" ht="31.5" customHeight="1">
      <c r="A13" s="204"/>
      <c r="B13" s="478" t="s">
        <v>1380</v>
      </c>
      <c r="C13" s="458" t="s">
        <v>9</v>
      </c>
      <c r="D13" s="570"/>
      <c r="E13" s="571"/>
      <c r="F13" s="208"/>
      <c r="G13" s="208"/>
      <c r="I13" s="472" t="s">
        <v>1380</v>
      </c>
      <c r="J13" s="458" t="s">
        <v>9</v>
      </c>
      <c r="K13" s="570" t="s">
        <v>1625</v>
      </c>
      <c r="L13" s="571"/>
    </row>
    <row r="14" spans="1:14" ht="30.75" customHeight="1">
      <c r="A14" s="204"/>
      <c r="B14" s="478" t="s">
        <v>1538</v>
      </c>
      <c r="C14" s="458" t="s">
        <v>9</v>
      </c>
      <c r="D14" s="574"/>
      <c r="E14" s="575"/>
      <c r="F14" s="446" t="s">
        <v>1453</v>
      </c>
      <c r="G14" s="450">
        <v>50</v>
      </c>
      <c r="I14" s="472" t="s">
        <v>1538</v>
      </c>
      <c r="J14" s="458" t="s">
        <v>9</v>
      </c>
      <c r="K14" s="576">
        <v>160</v>
      </c>
      <c r="L14" s="577"/>
    </row>
    <row r="15" spans="1:14" ht="57" customHeight="1">
      <c r="A15" s="204"/>
      <c r="B15" s="478" t="s">
        <v>1441</v>
      </c>
      <c r="C15" s="458" t="s">
        <v>9</v>
      </c>
      <c r="D15" s="464">
        <v>3</v>
      </c>
      <c r="E15" s="473"/>
      <c r="F15" s="446" t="s">
        <v>1453</v>
      </c>
      <c r="G15" s="450">
        <v>100</v>
      </c>
      <c r="I15" s="472" t="s">
        <v>1441</v>
      </c>
      <c r="J15" s="458" t="s">
        <v>9</v>
      </c>
      <c r="K15" s="464">
        <v>3</v>
      </c>
      <c r="L15" s="473"/>
    </row>
    <row r="16" spans="1:14" ht="44.25" customHeight="1">
      <c r="A16" s="204"/>
      <c r="B16" s="478" t="s">
        <v>1548</v>
      </c>
      <c r="C16" s="458"/>
      <c r="D16" s="578">
        <v>300</v>
      </c>
      <c r="E16" s="579"/>
      <c r="F16" s="446"/>
      <c r="G16" s="450">
        <v>160</v>
      </c>
      <c r="I16" s="472" t="s">
        <v>1540</v>
      </c>
      <c r="J16" s="458" t="s">
        <v>9</v>
      </c>
      <c r="K16" s="582">
        <f>K9</f>
        <v>-100.27662570135607</v>
      </c>
      <c r="L16" s="583"/>
      <c r="N16" s="202">
        <f>131000/658</f>
        <v>199.08814589665653</v>
      </c>
    </row>
    <row r="17" spans="1:12" ht="34.5" customHeight="1">
      <c r="A17" s="204"/>
      <c r="B17" s="478" t="s">
        <v>1541</v>
      </c>
      <c r="C17" s="458" t="s">
        <v>9</v>
      </c>
      <c r="D17" s="580">
        <f>IF(D15=1,D14/(20/3^0.5),(D14/(20*3^0.5)))</f>
        <v>0</v>
      </c>
      <c r="E17" s="581"/>
      <c r="F17" s="446" t="s">
        <v>1453</v>
      </c>
      <c r="G17" s="451">
        <v>200</v>
      </c>
      <c r="I17" s="472" t="s">
        <v>1541</v>
      </c>
      <c r="J17" s="458" t="s">
        <v>9</v>
      </c>
      <c r="K17" s="586">
        <f>IF(K15=1,K14/(20/3^0.5),(K14/(20*3^0.5)))</f>
        <v>4.6188021535170067</v>
      </c>
      <c r="L17" s="587"/>
    </row>
    <row r="18" spans="1:12" ht="34.5" customHeight="1">
      <c r="A18" s="204"/>
      <c r="B18" s="478" t="s">
        <v>1542</v>
      </c>
      <c r="C18" s="458" t="s">
        <v>9</v>
      </c>
      <c r="D18" s="580">
        <f>IF(D15=1,D14/(380/3^0.5),(D14/(380*3^0.5)))*1000</f>
        <v>0</v>
      </c>
      <c r="E18" s="581"/>
      <c r="F18" s="446" t="s">
        <v>1453</v>
      </c>
      <c r="G18" s="451">
        <v>250</v>
      </c>
      <c r="I18" s="472" t="s">
        <v>1542</v>
      </c>
      <c r="J18" s="458" t="s">
        <v>9</v>
      </c>
      <c r="K18" s="586">
        <f>IF(K15=1,K14/(380/3^0.5),(K14/(380*3^0.5)))*1000</f>
        <v>243.0948501851056</v>
      </c>
      <c r="L18" s="587"/>
    </row>
    <row r="19" spans="1:12" ht="30" customHeight="1">
      <c r="A19" s="204"/>
      <c r="B19" s="479" t="s">
        <v>1534</v>
      </c>
      <c r="C19" s="457" t="s">
        <v>9</v>
      </c>
      <c r="D19" s="580">
        <f>IF(D15=1,D14/(380/3^0.5),(D14/(380*3^0.5)))</f>
        <v>0</v>
      </c>
      <c r="E19" s="581"/>
      <c r="F19" s="207"/>
      <c r="G19" s="442"/>
      <c r="I19" s="474" t="s">
        <v>1534</v>
      </c>
      <c r="J19" s="457" t="s">
        <v>9</v>
      </c>
      <c r="K19" s="586">
        <f>IF(K15=1,K14/(380/3^0.5),(K14/(380*3^0.5)))</f>
        <v>0.2430948501851056</v>
      </c>
      <c r="L19" s="587"/>
    </row>
    <row r="20" spans="1:12" ht="30" customHeight="1" thickBot="1">
      <c r="A20" s="204"/>
      <c r="B20" s="480" t="s">
        <v>1543</v>
      </c>
      <c r="C20" s="476" t="s">
        <v>9</v>
      </c>
      <c r="D20" s="606" t="e">
        <f>D16/D18</f>
        <v>#DIV/0!</v>
      </c>
      <c r="E20" s="607"/>
      <c r="F20" s="207"/>
      <c r="G20" s="442"/>
      <c r="I20" s="475" t="s">
        <v>1534</v>
      </c>
      <c r="J20" s="476" t="s">
        <v>9</v>
      </c>
      <c r="K20" s="584">
        <f>K16/K18</f>
        <v>-0.41250000000000003</v>
      </c>
      <c r="L20" s="585"/>
    </row>
    <row r="21" spans="1:12" ht="9.75" customHeight="1">
      <c r="A21" s="204"/>
      <c r="B21" s="465" t="s">
        <v>1543</v>
      </c>
      <c r="C21" s="466" t="s">
        <v>9</v>
      </c>
      <c r="D21" s="591">
        <v>1</v>
      </c>
      <c r="E21" s="591"/>
      <c r="F21" s="467"/>
      <c r="G21" s="468"/>
      <c r="H21" s="469"/>
      <c r="I21" s="465" t="s">
        <v>1534</v>
      </c>
      <c r="J21" s="466" t="s">
        <v>9</v>
      </c>
      <c r="K21" s="591">
        <v>1</v>
      </c>
      <c r="L21" s="591"/>
    </row>
    <row r="22" spans="1:12" ht="6.75" customHeight="1">
      <c r="B22" s="455"/>
      <c r="C22" s="452"/>
      <c r="D22" s="463"/>
      <c r="E22" s="463"/>
      <c r="F22" s="207"/>
      <c r="G22" s="442"/>
      <c r="J22" s="452"/>
      <c r="K22" s="463"/>
      <c r="L22" s="463"/>
    </row>
    <row r="23" spans="1:12" ht="15.75" thickBot="1"/>
    <row r="24" spans="1:12" ht="200.25" customHeight="1" thickBot="1">
      <c r="B24" s="588"/>
      <c r="C24" s="589"/>
      <c r="D24" s="589"/>
      <c r="E24" s="590"/>
      <c r="I24" s="588"/>
      <c r="J24" s="589"/>
      <c r="K24" s="589"/>
      <c r="L24" s="590"/>
    </row>
    <row r="26" spans="1:12">
      <c r="D26" s="460"/>
    </row>
    <row r="27" spans="1:12">
      <c r="D27" s="461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D23" sqref="D23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8"/>
      <c r="C1" s="608"/>
      <c r="D1" s="60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3">
        <v>1084.1250458865841</v>
      </c>
      <c r="F5" s="488" t="s">
        <v>1614</v>
      </c>
      <c r="K5" s="487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8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-66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-51150000</v>
      </c>
    </row>
    <row r="10" spans="2:11" ht="20.100000000000001" customHeight="1">
      <c r="B10" s="291" t="s">
        <v>1446</v>
      </c>
      <c r="C10" s="292" t="s">
        <v>9</v>
      </c>
      <c r="D10" s="298">
        <f ca="1">RAB!K59</f>
        <v>38049924.570750006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760998.49141500017</v>
      </c>
    </row>
    <row r="12" spans="2:11" ht="9" customHeight="1">
      <c r="B12" s="609"/>
      <c r="C12" s="609"/>
      <c r="D12" s="609"/>
    </row>
    <row r="13" spans="2:11" ht="15.75" customHeight="1">
      <c r="B13" s="299"/>
      <c r="C13" s="299"/>
      <c r="D13" s="299"/>
    </row>
    <row r="14" spans="2:11" ht="33.75" customHeight="1">
      <c r="B14" s="417" t="s">
        <v>1379</v>
      </c>
      <c r="C14" s="418" t="s">
        <v>9</v>
      </c>
      <c r="D14" s="423" t="s">
        <v>1631</v>
      </c>
      <c r="E14" s="300" t="s">
        <v>1453</v>
      </c>
    </row>
    <row r="15" spans="2:11" ht="20.100000000000001" customHeight="1">
      <c r="B15" s="419" t="s">
        <v>1447</v>
      </c>
      <c r="C15" s="420" t="s">
        <v>9</v>
      </c>
      <c r="D15" s="424" t="s">
        <v>1620</v>
      </c>
      <c r="E15" s="300" t="s">
        <v>1453</v>
      </c>
    </row>
    <row r="16" spans="2:11" ht="20.100000000000001" customHeight="1">
      <c r="B16" s="419" t="s">
        <v>1448</v>
      </c>
      <c r="C16" s="420" t="s">
        <v>9</v>
      </c>
      <c r="D16" s="424" t="s">
        <v>1451</v>
      </c>
      <c r="E16" s="300" t="s">
        <v>1453</v>
      </c>
    </row>
    <row r="17" spans="2:5" ht="20.100000000000001" customHeight="1">
      <c r="B17" s="419" t="s">
        <v>1449</v>
      </c>
      <c r="C17" s="420" t="s">
        <v>9</v>
      </c>
      <c r="D17" s="425">
        <v>0</v>
      </c>
      <c r="E17" s="300" t="s">
        <v>1453</v>
      </c>
    </row>
    <row r="18" spans="2:5" ht="20.100000000000001" hidden="1" customHeight="1">
      <c r="B18" s="419" t="s">
        <v>1546</v>
      </c>
      <c r="C18" s="420"/>
      <c r="D18" s="425">
        <f>IF((D17&lt;=11),1,3)</f>
        <v>1</v>
      </c>
      <c r="E18" s="300"/>
    </row>
    <row r="19" spans="2:5" ht="20.100000000000001" hidden="1" customHeight="1">
      <c r="B19" s="419" t="s">
        <v>1547</v>
      </c>
      <c r="C19" s="420"/>
      <c r="D19" s="425">
        <f>IF((D17&lt;=11),220,380)</f>
        <v>220</v>
      </c>
      <c r="E19" s="300"/>
    </row>
    <row r="20" spans="2:5" ht="20.100000000000001" customHeight="1">
      <c r="B20" s="419" t="s">
        <v>1450</v>
      </c>
      <c r="C20" s="420" t="s">
        <v>9</v>
      </c>
      <c r="D20" s="425">
        <f>131-197</f>
        <v>-66</v>
      </c>
      <c r="E20" s="300" t="s">
        <v>1453</v>
      </c>
    </row>
    <row r="21" spans="2:5" ht="20.100000000000001" customHeight="1">
      <c r="B21" s="419" t="s">
        <v>1546</v>
      </c>
      <c r="C21" s="420"/>
      <c r="D21" s="425">
        <v>3</v>
      </c>
      <c r="E21" s="300"/>
    </row>
    <row r="22" spans="2:5" ht="20.100000000000001" customHeight="1">
      <c r="B22" s="419" t="s">
        <v>1547</v>
      </c>
      <c r="C22" s="420"/>
      <c r="D22" s="425">
        <v>380</v>
      </c>
      <c r="E22" s="300"/>
    </row>
    <row r="23" spans="2:5" ht="20.100000000000001" customHeight="1">
      <c r="B23" s="419" t="s">
        <v>1353</v>
      </c>
      <c r="C23" s="420" t="s">
        <v>9</v>
      </c>
      <c r="D23" s="424">
        <v>1444.7</v>
      </c>
      <c r="E23" s="300" t="s">
        <v>1453</v>
      </c>
    </row>
    <row r="24" spans="2:5" ht="20.100000000000001" customHeight="1">
      <c r="B24" s="419" t="s">
        <v>1354</v>
      </c>
      <c r="C24" s="420" t="s">
        <v>9</v>
      </c>
      <c r="D24" s="424">
        <v>1444.7</v>
      </c>
      <c r="E24" s="300" t="s">
        <v>1453</v>
      </c>
    </row>
    <row r="25" spans="2:5" ht="20.100000000000001" customHeight="1">
      <c r="B25" s="419" t="s">
        <v>1452</v>
      </c>
      <c r="C25" s="420" t="s">
        <v>9</v>
      </c>
      <c r="D25" s="425">
        <v>775</v>
      </c>
      <c r="E25" s="300" t="s">
        <v>1453</v>
      </c>
    </row>
    <row r="26" spans="2:5" ht="20.100000000000001" customHeight="1">
      <c r="B26" s="421" t="s">
        <v>1355</v>
      </c>
      <c r="C26" s="422" t="s">
        <v>9</v>
      </c>
      <c r="D26" s="42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H14" sqref="H14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6" t="s">
        <v>1357</v>
      </c>
      <c r="C3" s="616"/>
      <c r="D3" s="616"/>
      <c r="E3" s="616"/>
      <c r="F3" s="305" t="str">
        <f>DATA!D14</f>
        <v>UD SRI REZEKI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0" t="s">
        <v>1349</v>
      </c>
      <c r="C5" s="610" t="s">
        <v>1358</v>
      </c>
      <c r="D5" s="615" t="s">
        <v>1359</v>
      </c>
      <c r="E5" s="615" t="s">
        <v>1360</v>
      </c>
      <c r="F5" s="610" t="s">
        <v>1361</v>
      </c>
      <c r="G5" s="610"/>
      <c r="H5" s="610"/>
      <c r="I5" s="610"/>
      <c r="J5" s="610"/>
      <c r="K5" s="610" t="s">
        <v>1362</v>
      </c>
      <c r="L5" s="610"/>
      <c r="M5" s="307"/>
      <c r="N5" s="613" t="s">
        <v>1363</v>
      </c>
      <c r="O5" s="615" t="s">
        <v>1364</v>
      </c>
      <c r="P5" s="615" t="s">
        <v>1365</v>
      </c>
      <c r="Q5" s="615" t="s">
        <v>1366</v>
      </c>
      <c r="R5" s="308"/>
      <c r="S5" s="309"/>
      <c r="T5" s="611" t="s">
        <v>1367</v>
      </c>
      <c r="U5" s="310"/>
    </row>
    <row r="6" spans="1:21" ht="20.100000000000001" customHeight="1">
      <c r="B6" s="610"/>
      <c r="C6" s="610"/>
      <c r="D6" s="610"/>
      <c r="E6" s="61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4"/>
      <c r="O6" s="610"/>
      <c r="P6" s="610"/>
      <c r="Q6" s="610"/>
      <c r="R6" s="308"/>
      <c r="S6" s="309"/>
      <c r="T6" s="610"/>
      <c r="U6" s="312"/>
    </row>
    <row r="7" spans="1:21" ht="20.100000000000001" customHeight="1">
      <c r="A7" s="313">
        <v>0</v>
      </c>
      <c r="B7" s="314">
        <v>2023</v>
      </c>
      <c r="C7" s="481">
        <f>DATA!D8*DATA!D26*8</f>
        <v>-21120</v>
      </c>
      <c r="D7" s="316">
        <f>C7*4/24</f>
        <v>-3520</v>
      </c>
      <c r="E7" s="316">
        <f>C7-D7</f>
        <v>-17600</v>
      </c>
      <c r="F7" s="317">
        <f ca="1">DATA!D10/1000000</f>
        <v>38.049924570750008</v>
      </c>
      <c r="G7" s="318">
        <f ca="1">DATA!$D$11/1000000</f>
        <v>0.7609984914150002</v>
      </c>
      <c r="H7" s="318">
        <f>C7*DATA!$D$5/1000000</f>
        <v>-22.896720969124654</v>
      </c>
      <c r="I7" s="318">
        <f>(C7*DATA!$D$5*DATA!$D$7)/1000000</f>
        <v>-0.51517622180530476</v>
      </c>
      <c r="J7" s="316">
        <f ca="1">SUM(F7:I7)</f>
        <v>15.39902587123505</v>
      </c>
      <c r="K7" s="319">
        <f>DATA!D9/1000000</f>
        <v>-51.15</v>
      </c>
      <c r="L7" s="316">
        <f>((D7*DATA!$D$23)/1000000)+((E7*DATA!$D$24)/1000000)</f>
        <v>-30.512063999999999</v>
      </c>
      <c r="M7" s="316">
        <f>K7+L7</f>
        <v>-81.662064000000001</v>
      </c>
      <c r="N7" s="316">
        <f ca="1">M7-J7</f>
        <v>-97.061089871235055</v>
      </c>
      <c r="O7" s="314">
        <v>1</v>
      </c>
      <c r="P7" s="316">
        <f ca="1">O7*N7</f>
        <v>-97.061089871235055</v>
      </c>
      <c r="Q7" s="316">
        <f ca="1">P7</f>
        <v>-97.061089871235055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-31680</v>
      </c>
      <c r="D8" s="316">
        <f>C8*4/24</f>
        <v>-5280</v>
      </c>
      <c r="E8" s="316">
        <f t="shared" ref="E8:E32" si="0">C8-D8</f>
        <v>-26400</v>
      </c>
      <c r="F8" s="314"/>
      <c r="G8" s="318">
        <f ca="1">DATA!$D$11/1000000</f>
        <v>0.7609984914150002</v>
      </c>
      <c r="H8" s="318">
        <f>C8*DATA!$D$5/1000000</f>
        <v>-34.34508145368698</v>
      </c>
      <c r="I8" s="318">
        <f>(C8*DATA!$D$5*DATA!$D$7)/1000000</f>
        <v>-0.77276433270795708</v>
      </c>
      <c r="J8" s="316">
        <f t="shared" ref="J8:J32" ca="1" si="1">SUM(F8:I8)</f>
        <v>-34.356847294979936</v>
      </c>
      <c r="K8" s="321"/>
      <c r="L8" s="316">
        <f>((D8*DATA!$D$23)/1000000)+((E8*DATA!$D$24)/1000000)</f>
        <v>-45.768096</v>
      </c>
      <c r="M8" s="316">
        <f t="shared" ref="M8:M32" si="2">K8+L8</f>
        <v>-45.768096</v>
      </c>
      <c r="N8" s="316">
        <f ca="1">M8-J8</f>
        <v>-11.411248705020064</v>
      </c>
      <c r="O8" s="315">
        <f>1/(1+'[93]Asumsi I'!$C$3)^(KKF!A8)</f>
        <v>0.89285714285714279</v>
      </c>
      <c r="P8" s="316">
        <f ca="1">O8*N8</f>
        <v>-10.188614915196485</v>
      </c>
      <c r="Q8" s="316">
        <f ca="1">Q7+P8</f>
        <v>-107.24970478643154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-31680</v>
      </c>
      <c r="D9" s="316">
        <f t="shared" ref="D9:D32" si="5">C9*4/24</f>
        <v>-5280</v>
      </c>
      <c r="E9" s="316">
        <f t="shared" si="0"/>
        <v>-26400</v>
      </c>
      <c r="F9" s="314"/>
      <c r="G9" s="318">
        <f ca="1">DATA!$D$11/1000000</f>
        <v>0.7609984914150002</v>
      </c>
      <c r="H9" s="318">
        <f>C9*DATA!$D$5/1000000</f>
        <v>-34.34508145368698</v>
      </c>
      <c r="I9" s="318">
        <f>(C9*DATA!$D$5*DATA!$D$7)/1000000</f>
        <v>-0.77276433270795708</v>
      </c>
      <c r="J9" s="316">
        <f t="shared" ca="1" si="1"/>
        <v>-34.356847294979936</v>
      </c>
      <c r="K9" s="316"/>
      <c r="L9" s="316">
        <f>((D9*DATA!$D$23)/1000000)+((E9*DATA!$D$24)/1000000)</f>
        <v>-45.768096</v>
      </c>
      <c r="M9" s="316">
        <f t="shared" si="2"/>
        <v>-45.768096</v>
      </c>
      <c r="N9" s="316">
        <f t="shared" ref="N9:N32" ca="1" si="6">M9-J9</f>
        <v>-11.411248705020064</v>
      </c>
      <c r="O9" s="322">
        <f>1/(1+'[93]Asumsi I'!$C$3)^(KKF!A9)</f>
        <v>0.79719387755102034</v>
      </c>
      <c r="P9" s="316">
        <f t="shared" ref="P9:P32" ca="1" si="7">O9*N9</f>
        <v>-9.0969776028540039</v>
      </c>
      <c r="Q9" s="316">
        <f ca="1">Q8+P9</f>
        <v>-116.34668238928555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-31680</v>
      </c>
      <c r="D10" s="316">
        <f t="shared" si="5"/>
        <v>-5280</v>
      </c>
      <c r="E10" s="316">
        <f t="shared" si="0"/>
        <v>-26400</v>
      </c>
      <c r="F10" s="314"/>
      <c r="G10" s="318">
        <f ca="1">DATA!$D$11/1000000</f>
        <v>0.7609984914150002</v>
      </c>
      <c r="H10" s="318">
        <f>C10*DATA!$D$5/1000000</f>
        <v>-34.34508145368698</v>
      </c>
      <c r="I10" s="318">
        <f>(C10*DATA!$D$5*DATA!$D$7)/1000000</f>
        <v>-0.77276433270795708</v>
      </c>
      <c r="J10" s="316">
        <f t="shared" ca="1" si="1"/>
        <v>-34.356847294979936</v>
      </c>
      <c r="K10" s="314"/>
      <c r="L10" s="316">
        <f>((D10*DATA!$D$23)/1000000)+((E10*DATA!$D$24)/1000000)</f>
        <v>-45.768096</v>
      </c>
      <c r="M10" s="316">
        <f t="shared" si="2"/>
        <v>-45.768096</v>
      </c>
      <c r="N10" s="316">
        <f t="shared" ca="1" si="6"/>
        <v>-11.411248705020064</v>
      </c>
      <c r="O10" s="315">
        <f>1/(1+'[93]Asumsi I'!$C$3)^(KKF!A10)</f>
        <v>0.71178024781341087</v>
      </c>
      <c r="P10" s="316">
        <f t="shared" ca="1" si="7"/>
        <v>-8.1223014311196451</v>
      </c>
      <c r="Q10" s="316">
        <f t="shared" ref="Q10:Q30" ca="1" si="9">Q9+P10</f>
        <v>-124.46898382040519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-31680</v>
      </c>
      <c r="D11" s="316">
        <f t="shared" si="5"/>
        <v>-5280</v>
      </c>
      <c r="E11" s="316">
        <f t="shared" si="0"/>
        <v>-26400</v>
      </c>
      <c r="F11" s="314"/>
      <c r="G11" s="318">
        <f ca="1">DATA!$D$11/1000000</f>
        <v>0.7609984914150002</v>
      </c>
      <c r="H11" s="318">
        <f>C11*DATA!$D$5/1000000</f>
        <v>-34.34508145368698</v>
      </c>
      <c r="I11" s="318">
        <f>(C11*DATA!$D$5*DATA!$D$7)/1000000</f>
        <v>-0.77276433270795708</v>
      </c>
      <c r="J11" s="316">
        <f t="shared" ca="1" si="1"/>
        <v>-34.356847294979936</v>
      </c>
      <c r="K11" s="314"/>
      <c r="L11" s="316">
        <f>((D11*DATA!$D$23)/1000000)+((E11*DATA!$D$24)/1000000)</f>
        <v>-45.768096</v>
      </c>
      <c r="M11" s="316">
        <f t="shared" si="2"/>
        <v>-45.768096</v>
      </c>
      <c r="N11" s="316">
        <f t="shared" ca="1" si="6"/>
        <v>-11.411248705020064</v>
      </c>
      <c r="O11" s="315">
        <f>1/(1+'[93]Asumsi I'!$C$3)^(KKF!A11)</f>
        <v>0.63551807840483121</v>
      </c>
      <c r="P11" s="316">
        <f t="shared" ca="1" si="7"/>
        <v>-7.2520548492139696</v>
      </c>
      <c r="Q11" s="316">
        <f t="shared" ca="1" si="9"/>
        <v>-131.72103866961916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-31680</v>
      </c>
      <c r="D12" s="316">
        <f t="shared" si="5"/>
        <v>-5280</v>
      </c>
      <c r="E12" s="316">
        <f t="shared" si="0"/>
        <v>-26400</v>
      </c>
      <c r="F12" s="314"/>
      <c r="G12" s="318">
        <f ca="1">DATA!$D$11/1000000</f>
        <v>0.7609984914150002</v>
      </c>
      <c r="H12" s="318">
        <f>C12*DATA!$D$5/1000000</f>
        <v>-34.34508145368698</v>
      </c>
      <c r="I12" s="318">
        <f>(C12*DATA!$D$5*DATA!$D$7)/1000000</f>
        <v>-0.77276433270795708</v>
      </c>
      <c r="J12" s="316">
        <f t="shared" ca="1" si="1"/>
        <v>-34.356847294979936</v>
      </c>
      <c r="K12" s="314"/>
      <c r="L12" s="316">
        <f>((D12*DATA!$D$23)/1000000)+((E12*DATA!$D$24)/1000000)</f>
        <v>-45.768096</v>
      </c>
      <c r="M12" s="316">
        <f t="shared" si="2"/>
        <v>-45.768096</v>
      </c>
      <c r="N12" s="316">
        <f t="shared" ca="1" si="6"/>
        <v>-11.411248705020064</v>
      </c>
      <c r="O12" s="315">
        <f>1/(1+'[93]Asumsi I'!$C$3)^(KKF!A12)</f>
        <v>0.56742685571859919</v>
      </c>
      <c r="P12" s="316">
        <f t="shared" ca="1" si="7"/>
        <v>-6.4750489725124716</v>
      </c>
      <c r="Q12" s="316">
        <f t="shared" ca="1" si="9"/>
        <v>-138.19608764213163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-31680</v>
      </c>
      <c r="D13" s="316">
        <f t="shared" si="5"/>
        <v>-5280</v>
      </c>
      <c r="E13" s="316">
        <f t="shared" si="0"/>
        <v>-26400</v>
      </c>
      <c r="F13" s="314"/>
      <c r="G13" s="318">
        <f ca="1">DATA!$D$11/1000000</f>
        <v>0.7609984914150002</v>
      </c>
      <c r="H13" s="318">
        <f>C13*DATA!$D$5/1000000</f>
        <v>-34.34508145368698</v>
      </c>
      <c r="I13" s="318">
        <f>(C13*DATA!$D$5*DATA!$D$7)/1000000</f>
        <v>-0.77276433270795708</v>
      </c>
      <c r="J13" s="316">
        <f t="shared" ca="1" si="1"/>
        <v>-34.356847294979936</v>
      </c>
      <c r="K13" s="314"/>
      <c r="L13" s="316">
        <f>((D13*DATA!$D$23)/1000000)+((E13*DATA!$D$24)/1000000)</f>
        <v>-45.768096</v>
      </c>
      <c r="M13" s="316">
        <f t="shared" si="2"/>
        <v>-45.768096</v>
      </c>
      <c r="N13" s="316">
        <f t="shared" ca="1" si="6"/>
        <v>-11.411248705020064</v>
      </c>
      <c r="O13" s="315">
        <f>1/(1+'[93]Asumsi I'!$C$3)^(KKF!A13)</f>
        <v>0.50663112117732068</v>
      </c>
      <c r="P13" s="316">
        <f t="shared" ca="1" si="7"/>
        <v>-5.781293725457564</v>
      </c>
      <c r="Q13" s="316">
        <f t="shared" ca="1" si="9"/>
        <v>-143.9773813675892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-31680</v>
      </c>
      <c r="D14" s="316">
        <f t="shared" si="5"/>
        <v>-5280</v>
      </c>
      <c r="E14" s="316">
        <f t="shared" si="0"/>
        <v>-26400</v>
      </c>
      <c r="F14" s="314"/>
      <c r="G14" s="318">
        <f ca="1">DATA!$D$11/1000000</f>
        <v>0.7609984914150002</v>
      </c>
      <c r="H14" s="318">
        <f>C14*DATA!$D$5/1000000</f>
        <v>-34.34508145368698</v>
      </c>
      <c r="I14" s="318">
        <f>(C14*DATA!$D$5*DATA!$D$7)/1000000</f>
        <v>-0.77276433270795708</v>
      </c>
      <c r="J14" s="316">
        <f t="shared" ca="1" si="1"/>
        <v>-34.356847294979936</v>
      </c>
      <c r="K14" s="314"/>
      <c r="L14" s="316">
        <f>((D14*DATA!$D$23)/1000000)+((E14*DATA!$D$24)/1000000)</f>
        <v>-45.768096</v>
      </c>
      <c r="M14" s="316">
        <f t="shared" si="2"/>
        <v>-45.768096</v>
      </c>
      <c r="N14" s="316">
        <f t="shared" ca="1" si="6"/>
        <v>-11.411248705020064</v>
      </c>
      <c r="O14" s="315">
        <f>1/(1+'[93]Asumsi I'!$C$3)^(KKF!A14)</f>
        <v>0.45234921533689343</v>
      </c>
      <c r="P14" s="316">
        <f t="shared" ca="1" si="7"/>
        <v>-5.1618693977299674</v>
      </c>
      <c r="Q14" s="316">
        <f t="shared" ca="1" si="9"/>
        <v>-149.13925076531916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-31680</v>
      </c>
      <c r="D15" s="316">
        <f t="shared" si="5"/>
        <v>-5280</v>
      </c>
      <c r="E15" s="316">
        <f t="shared" si="0"/>
        <v>-26400</v>
      </c>
      <c r="F15" s="314"/>
      <c r="G15" s="318">
        <f ca="1">DATA!$D$11/1000000</f>
        <v>0.7609984914150002</v>
      </c>
      <c r="H15" s="318">
        <f>C15*DATA!$D$5/1000000</f>
        <v>-34.34508145368698</v>
      </c>
      <c r="I15" s="318">
        <f>(C15*DATA!$D$5*DATA!$D$7)/1000000</f>
        <v>-0.77276433270795708</v>
      </c>
      <c r="J15" s="316">
        <f t="shared" ca="1" si="1"/>
        <v>-34.356847294979936</v>
      </c>
      <c r="K15" s="314"/>
      <c r="L15" s="316">
        <f>((D15*DATA!$D$23)/1000000)+((E15*DATA!$D$24)/1000000)</f>
        <v>-45.768096</v>
      </c>
      <c r="M15" s="316">
        <f t="shared" si="2"/>
        <v>-45.768096</v>
      </c>
      <c r="N15" s="316">
        <f t="shared" ca="1" si="6"/>
        <v>-11.411248705020064</v>
      </c>
      <c r="O15" s="315">
        <f>1/(1+'[93]Asumsi I'!$C$3)^(KKF!A15)</f>
        <v>0.4038832279793691</v>
      </c>
      <c r="P15" s="316">
        <f t="shared" ca="1" si="7"/>
        <v>-4.6088119622588986</v>
      </c>
      <c r="Q15" s="316">
        <f t="shared" ca="1" si="9"/>
        <v>-153.74806272757806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-31680</v>
      </c>
      <c r="D16" s="316">
        <f t="shared" si="5"/>
        <v>-5280</v>
      </c>
      <c r="E16" s="316">
        <f t="shared" si="0"/>
        <v>-26400</v>
      </c>
      <c r="F16" s="314"/>
      <c r="G16" s="318">
        <f ca="1">DATA!$D$11/1000000</f>
        <v>0.7609984914150002</v>
      </c>
      <c r="H16" s="318">
        <f>C16*DATA!$D$5/1000000</f>
        <v>-34.34508145368698</v>
      </c>
      <c r="I16" s="318">
        <f>(C16*DATA!$D$5*DATA!$D$7)/1000000</f>
        <v>-0.77276433270795708</v>
      </c>
      <c r="J16" s="316">
        <f t="shared" ca="1" si="1"/>
        <v>-34.356847294979936</v>
      </c>
      <c r="K16" s="314"/>
      <c r="L16" s="316">
        <f>((D16*DATA!$D$23)/1000000)+((E16*DATA!$D$24)/1000000)</f>
        <v>-45.768096</v>
      </c>
      <c r="M16" s="316">
        <f t="shared" si="2"/>
        <v>-45.768096</v>
      </c>
      <c r="N16" s="316">
        <f t="shared" ca="1" si="6"/>
        <v>-11.411248705020064</v>
      </c>
      <c r="O16" s="315">
        <f>1/(1+'[93]Asumsi I'!$C$3)^(KKF!A16)</f>
        <v>0.36061002498157957</v>
      </c>
      <c r="P16" s="316">
        <f t="shared" ca="1" si="7"/>
        <v>-4.1150106805883029</v>
      </c>
      <c r="Q16" s="316">
        <f t="shared" ca="1" si="9"/>
        <v>-157.86307340816637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-31680</v>
      </c>
      <c r="D17" s="316">
        <f t="shared" si="5"/>
        <v>-5280</v>
      </c>
      <c r="E17" s="316">
        <f t="shared" si="0"/>
        <v>-26400</v>
      </c>
      <c r="F17" s="314"/>
      <c r="G17" s="318">
        <f ca="1">DATA!$D$11/1000000</f>
        <v>0.7609984914150002</v>
      </c>
      <c r="H17" s="318">
        <f>C17*DATA!$D$5/1000000</f>
        <v>-34.34508145368698</v>
      </c>
      <c r="I17" s="318">
        <f>(C17*DATA!$D$5*DATA!$D$7)/1000000</f>
        <v>-0.77276433270795708</v>
      </c>
      <c r="J17" s="316">
        <f t="shared" ca="1" si="1"/>
        <v>-34.356847294979936</v>
      </c>
      <c r="K17" s="314"/>
      <c r="L17" s="316">
        <f>((D17*DATA!$D$23)/1000000)+((E17*DATA!$D$24)/1000000)</f>
        <v>-45.768096</v>
      </c>
      <c r="M17" s="316">
        <f t="shared" si="2"/>
        <v>-45.768096</v>
      </c>
      <c r="N17" s="316">
        <f t="shared" ca="1" si="6"/>
        <v>-11.411248705020064</v>
      </c>
      <c r="O17" s="315">
        <f>1/(1+'[93]Asumsi I'!$C$3)^(KKF!A17)</f>
        <v>0.32197323659069599</v>
      </c>
      <c r="P17" s="316">
        <f t="shared" ca="1" si="7"/>
        <v>-3.6741166790966981</v>
      </c>
      <c r="Q17" s="316">
        <f t="shared" ca="1" si="9"/>
        <v>-161.53719008726307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-31680</v>
      </c>
      <c r="D18" s="316">
        <f t="shared" si="5"/>
        <v>-5280</v>
      </c>
      <c r="E18" s="316">
        <f t="shared" si="0"/>
        <v>-26400</v>
      </c>
      <c r="F18" s="314"/>
      <c r="G18" s="318">
        <f ca="1">DATA!$D$11/1000000</f>
        <v>0.7609984914150002</v>
      </c>
      <c r="H18" s="318">
        <f>C18*DATA!$D$5/1000000</f>
        <v>-34.34508145368698</v>
      </c>
      <c r="I18" s="318">
        <f>(C18*DATA!$D$5*DATA!$D$7)/1000000</f>
        <v>-0.77276433270795708</v>
      </c>
      <c r="J18" s="316">
        <f t="shared" ca="1" si="1"/>
        <v>-34.356847294979936</v>
      </c>
      <c r="K18" s="314"/>
      <c r="L18" s="316">
        <f>((D18*DATA!$D$23)/1000000)+((E18*DATA!$D$24)/1000000)</f>
        <v>-45.768096</v>
      </c>
      <c r="M18" s="316">
        <f t="shared" si="2"/>
        <v>-45.768096</v>
      </c>
      <c r="N18" s="316">
        <f t="shared" ca="1" si="6"/>
        <v>-11.411248705020064</v>
      </c>
      <c r="O18" s="315">
        <f>1/(1+'[93]Asumsi I'!$C$3)^(KKF!A18)</f>
        <v>0.28747610409883567</v>
      </c>
      <c r="P18" s="316">
        <f t="shared" ca="1" si="7"/>
        <v>-3.2804613206220519</v>
      </c>
      <c r="Q18" s="316">
        <f t="shared" ca="1" si="9"/>
        <v>-164.81765140788511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-31680</v>
      </c>
      <c r="D19" s="316">
        <f t="shared" si="5"/>
        <v>-5280</v>
      </c>
      <c r="E19" s="316">
        <f t="shared" si="0"/>
        <v>-26400</v>
      </c>
      <c r="F19" s="314"/>
      <c r="G19" s="318">
        <f ca="1">DATA!$D$11/1000000</f>
        <v>0.7609984914150002</v>
      </c>
      <c r="H19" s="318">
        <f>C19*DATA!$D$5/1000000</f>
        <v>-34.34508145368698</v>
      </c>
      <c r="I19" s="318">
        <f>(C19*DATA!$D$5*DATA!$D$7)/1000000</f>
        <v>-0.77276433270795708</v>
      </c>
      <c r="J19" s="316">
        <f t="shared" ca="1" si="1"/>
        <v>-34.356847294979936</v>
      </c>
      <c r="K19" s="314"/>
      <c r="L19" s="316">
        <f>((D19*DATA!$D$23)/1000000)+((E19*DATA!$D$24)/1000000)</f>
        <v>-45.768096</v>
      </c>
      <c r="M19" s="316">
        <f t="shared" si="2"/>
        <v>-45.768096</v>
      </c>
      <c r="N19" s="316">
        <f t="shared" ca="1" si="6"/>
        <v>-11.411248705020064</v>
      </c>
      <c r="O19" s="315">
        <f>1/(1+'[93]Asumsi I'!$C$3)^(KKF!A19)</f>
        <v>0.25667509294538904</v>
      </c>
      <c r="P19" s="316">
        <f t="shared" ca="1" si="7"/>
        <v>-2.9289833219839752</v>
      </c>
      <c r="Q19" s="316">
        <f t="shared" ca="1" si="9"/>
        <v>-167.74663472986907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-31680</v>
      </c>
      <c r="D20" s="316">
        <f t="shared" si="5"/>
        <v>-5280</v>
      </c>
      <c r="E20" s="316">
        <f t="shared" si="0"/>
        <v>-26400</v>
      </c>
      <c r="F20" s="314"/>
      <c r="G20" s="318">
        <f ca="1">DATA!$D$11/1000000</f>
        <v>0.7609984914150002</v>
      </c>
      <c r="H20" s="318">
        <f>C20*DATA!$D$5/1000000</f>
        <v>-34.34508145368698</v>
      </c>
      <c r="I20" s="318">
        <f>(C20*DATA!$D$5*DATA!$D$7)/1000000</f>
        <v>-0.77276433270795708</v>
      </c>
      <c r="J20" s="316">
        <f t="shared" ca="1" si="1"/>
        <v>-34.356847294979936</v>
      </c>
      <c r="K20" s="314"/>
      <c r="L20" s="316">
        <f>((D20*DATA!$D$23)/1000000)+((E20*DATA!$D$24)/1000000)</f>
        <v>-45.768096</v>
      </c>
      <c r="M20" s="316">
        <f t="shared" si="2"/>
        <v>-45.768096</v>
      </c>
      <c r="N20" s="316">
        <f t="shared" ca="1" si="6"/>
        <v>-11.411248705020064</v>
      </c>
      <c r="O20" s="315">
        <f>1/(1+'[93]Asumsi I'!$C$3)^(KKF!A20)</f>
        <v>0.22917419012981158</v>
      </c>
      <c r="P20" s="316">
        <f t="shared" ca="1" si="7"/>
        <v>-2.6151636803428344</v>
      </c>
      <c r="Q20" s="316">
        <f t="shared" ca="1" si="9"/>
        <v>-170.36179841021192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-31680</v>
      </c>
      <c r="D21" s="316">
        <f t="shared" si="5"/>
        <v>-5280</v>
      </c>
      <c r="E21" s="316">
        <f t="shared" si="0"/>
        <v>-26400</v>
      </c>
      <c r="F21" s="314"/>
      <c r="G21" s="318">
        <f ca="1">DATA!$D$11/1000000</f>
        <v>0.7609984914150002</v>
      </c>
      <c r="H21" s="318">
        <f>C21*DATA!$D$5/1000000</f>
        <v>-34.34508145368698</v>
      </c>
      <c r="I21" s="318">
        <f>(C21*DATA!$D$5*DATA!$D$7)/1000000</f>
        <v>-0.77276433270795708</v>
      </c>
      <c r="J21" s="316">
        <f t="shared" ca="1" si="1"/>
        <v>-34.356847294979936</v>
      </c>
      <c r="K21" s="314"/>
      <c r="L21" s="316">
        <f>((D21*DATA!$D$23)/1000000)+((E21*DATA!$D$24)/1000000)</f>
        <v>-45.768096</v>
      </c>
      <c r="M21" s="316">
        <f t="shared" si="2"/>
        <v>-45.768096</v>
      </c>
      <c r="N21" s="316">
        <f t="shared" ca="1" si="6"/>
        <v>-11.411248705020064</v>
      </c>
      <c r="O21" s="315">
        <f>1/(1+'[93]Asumsi I'!$C$3)^(KKF!A21)</f>
        <v>0.20461981261590317</v>
      </c>
      <c r="P21" s="316">
        <f t="shared" ca="1" si="7"/>
        <v>-2.3349675717346732</v>
      </c>
      <c r="Q21" s="316">
        <f t="shared" ca="1" si="9"/>
        <v>-172.69676598194658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-31680</v>
      </c>
      <c r="D22" s="316">
        <f t="shared" si="5"/>
        <v>-5280</v>
      </c>
      <c r="E22" s="316">
        <f t="shared" si="0"/>
        <v>-26400</v>
      </c>
      <c r="F22" s="314"/>
      <c r="G22" s="318">
        <f ca="1">DATA!$D$11/1000000</f>
        <v>0.7609984914150002</v>
      </c>
      <c r="H22" s="318">
        <f>C22*DATA!$D$5/1000000</f>
        <v>-34.34508145368698</v>
      </c>
      <c r="I22" s="318">
        <f>(C22*DATA!$D$5*DATA!$D$7)/1000000</f>
        <v>-0.77276433270795708</v>
      </c>
      <c r="J22" s="316">
        <f t="shared" ca="1" si="1"/>
        <v>-34.356847294979936</v>
      </c>
      <c r="K22" s="314"/>
      <c r="L22" s="316">
        <f>((D22*DATA!$D$23)/1000000)+((E22*DATA!$D$24)/1000000)</f>
        <v>-45.768096</v>
      </c>
      <c r="M22" s="316">
        <f t="shared" si="2"/>
        <v>-45.768096</v>
      </c>
      <c r="N22" s="316">
        <f t="shared" ca="1" si="6"/>
        <v>-11.411248705020064</v>
      </c>
      <c r="O22" s="315">
        <f>1/(1+'[93]Asumsi I'!$C$3)^(KKF!A22)</f>
        <v>0.18269626126419927</v>
      </c>
      <c r="P22" s="316">
        <f t="shared" ca="1" si="7"/>
        <v>-2.0847924747631015</v>
      </c>
      <c r="Q22" s="316">
        <f t="shared" ca="1" si="9"/>
        <v>-174.78155845670969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-31680</v>
      </c>
      <c r="D23" s="316">
        <f t="shared" si="5"/>
        <v>-5280</v>
      </c>
      <c r="E23" s="316">
        <f t="shared" si="0"/>
        <v>-26400</v>
      </c>
      <c r="F23" s="314"/>
      <c r="G23" s="318">
        <f ca="1">DATA!$D$11/1000000</f>
        <v>0.7609984914150002</v>
      </c>
      <c r="H23" s="318">
        <f>C23*DATA!$D$5/1000000</f>
        <v>-34.34508145368698</v>
      </c>
      <c r="I23" s="318">
        <f>(C23*DATA!$D$5*DATA!$D$7)/1000000</f>
        <v>-0.77276433270795708</v>
      </c>
      <c r="J23" s="316">
        <f t="shared" ca="1" si="1"/>
        <v>-34.356847294979936</v>
      </c>
      <c r="K23" s="314"/>
      <c r="L23" s="316">
        <f>((D23*DATA!$D$23)/1000000)+((E23*DATA!$D$24)/1000000)</f>
        <v>-45.768096</v>
      </c>
      <c r="M23" s="316">
        <f t="shared" si="2"/>
        <v>-45.768096</v>
      </c>
      <c r="N23" s="316">
        <f t="shared" ca="1" si="6"/>
        <v>-11.411248705020064</v>
      </c>
      <c r="O23" s="315">
        <f>1/(1+'[93]Asumsi I'!$C$3)^(KKF!A23)</f>
        <v>0.16312166184303503</v>
      </c>
      <c r="P23" s="316">
        <f t="shared" ca="1" si="7"/>
        <v>-1.8614218524670543</v>
      </c>
      <c r="Q23" s="316">
        <f t="shared" ca="1" si="9"/>
        <v>-176.64298030917675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-31680</v>
      </c>
      <c r="D24" s="316">
        <f t="shared" si="5"/>
        <v>-5280</v>
      </c>
      <c r="E24" s="316">
        <f t="shared" si="0"/>
        <v>-26400</v>
      </c>
      <c r="F24" s="314"/>
      <c r="G24" s="318">
        <f ca="1">DATA!$D$11/1000000</f>
        <v>0.7609984914150002</v>
      </c>
      <c r="H24" s="318">
        <f>C24*DATA!$D$5/1000000</f>
        <v>-34.34508145368698</v>
      </c>
      <c r="I24" s="318">
        <f>(C24*DATA!$D$5*DATA!$D$7)/1000000</f>
        <v>-0.77276433270795708</v>
      </c>
      <c r="J24" s="316">
        <f t="shared" ca="1" si="1"/>
        <v>-34.356847294979936</v>
      </c>
      <c r="K24" s="314"/>
      <c r="L24" s="316">
        <f>((D24*DATA!$D$23)/1000000)+((E24*DATA!$D$24)/1000000)</f>
        <v>-45.768096</v>
      </c>
      <c r="M24" s="316">
        <f t="shared" si="2"/>
        <v>-45.768096</v>
      </c>
      <c r="N24" s="316">
        <f t="shared" ca="1" si="6"/>
        <v>-11.411248705020064</v>
      </c>
      <c r="O24" s="315">
        <f>1/(1+'[93]Asumsi I'!$C$3)^(KKF!A24)</f>
        <v>0.14564434093128129</v>
      </c>
      <c r="P24" s="316">
        <f t="shared" ca="1" si="7"/>
        <v>-1.6619837968455844</v>
      </c>
      <c r="Q24" s="316">
        <f t="shared" ca="1" si="9"/>
        <v>-178.30496410602234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-31680</v>
      </c>
      <c r="D25" s="316">
        <f t="shared" si="5"/>
        <v>-5280</v>
      </c>
      <c r="E25" s="316">
        <f t="shared" si="0"/>
        <v>-26400</v>
      </c>
      <c r="F25" s="314"/>
      <c r="G25" s="318">
        <f ca="1">DATA!$D$11/1000000</f>
        <v>0.7609984914150002</v>
      </c>
      <c r="H25" s="318">
        <f>C25*DATA!$D$5/1000000</f>
        <v>-34.34508145368698</v>
      </c>
      <c r="I25" s="318">
        <f>(C25*DATA!$D$5*DATA!$D$7)/1000000</f>
        <v>-0.77276433270795708</v>
      </c>
      <c r="J25" s="316">
        <f t="shared" ca="1" si="1"/>
        <v>-34.356847294979936</v>
      </c>
      <c r="K25" s="314"/>
      <c r="L25" s="316">
        <f>((D25*DATA!$D$23)/1000000)+((E25*DATA!$D$24)/1000000)</f>
        <v>-45.768096</v>
      </c>
      <c r="M25" s="316">
        <f t="shared" si="2"/>
        <v>-45.768096</v>
      </c>
      <c r="N25" s="316">
        <f t="shared" ca="1" si="6"/>
        <v>-11.411248705020064</v>
      </c>
      <c r="O25" s="315">
        <f>1/(1+'[93]Asumsi I'!$C$3)^(KKF!A25)</f>
        <v>0.13003959011721541</v>
      </c>
      <c r="P25" s="316">
        <f t="shared" ca="1" si="7"/>
        <v>-1.4839141043264144</v>
      </c>
      <c r="Q25" s="316">
        <f t="shared" ca="1" si="9"/>
        <v>-179.78887821034874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-31680</v>
      </c>
      <c r="D26" s="316">
        <f t="shared" si="5"/>
        <v>-5280</v>
      </c>
      <c r="E26" s="316">
        <f t="shared" si="0"/>
        <v>-26400</v>
      </c>
      <c r="F26" s="314"/>
      <c r="G26" s="318">
        <f ca="1">DATA!$D$11/1000000</f>
        <v>0.7609984914150002</v>
      </c>
      <c r="H26" s="318">
        <f>C26*DATA!$D$5/1000000</f>
        <v>-34.34508145368698</v>
      </c>
      <c r="I26" s="318">
        <f>(C26*DATA!$D$5*DATA!$D$7)/1000000</f>
        <v>-0.77276433270795708</v>
      </c>
      <c r="J26" s="316">
        <f t="shared" ca="1" si="1"/>
        <v>-34.356847294979936</v>
      </c>
      <c r="K26" s="314"/>
      <c r="L26" s="316">
        <f>((D26*DATA!$D$23)/1000000)+((E26*DATA!$D$24)/1000000)</f>
        <v>-45.768096</v>
      </c>
      <c r="M26" s="316">
        <f t="shared" si="2"/>
        <v>-45.768096</v>
      </c>
      <c r="N26" s="316">
        <f t="shared" ca="1" si="6"/>
        <v>-11.411248705020064</v>
      </c>
      <c r="O26" s="315">
        <f>1/(1+'[93]Asumsi I'!$C$3)^(KKF!A26)</f>
        <v>0.1161067768903709</v>
      </c>
      <c r="P26" s="316">
        <f t="shared" ca="1" si="7"/>
        <v>-1.3249233074342983</v>
      </c>
      <c r="Q26" s="316">
        <f t="shared" ca="1" si="9"/>
        <v>-181.11380151778303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-31680</v>
      </c>
      <c r="D27" s="316">
        <f t="shared" si="5"/>
        <v>-5280</v>
      </c>
      <c r="E27" s="316">
        <f t="shared" si="0"/>
        <v>-26400</v>
      </c>
      <c r="F27" s="314"/>
      <c r="G27" s="318">
        <f ca="1">DATA!$D$11/1000000</f>
        <v>0.7609984914150002</v>
      </c>
      <c r="H27" s="318">
        <f>C27*DATA!$D$5/1000000</f>
        <v>-34.34508145368698</v>
      </c>
      <c r="I27" s="318">
        <f>(C27*DATA!$D$5*DATA!$D$7)/1000000</f>
        <v>-0.77276433270795708</v>
      </c>
      <c r="J27" s="316">
        <f t="shared" ca="1" si="1"/>
        <v>-34.356847294979936</v>
      </c>
      <c r="K27" s="314"/>
      <c r="L27" s="316">
        <f>((D27*DATA!$D$23)/1000000)+((E27*DATA!$D$24)/1000000)</f>
        <v>-45.768096</v>
      </c>
      <c r="M27" s="316">
        <f t="shared" si="2"/>
        <v>-45.768096</v>
      </c>
      <c r="N27" s="316">
        <f t="shared" ca="1" si="6"/>
        <v>-11.411248705020064</v>
      </c>
      <c r="O27" s="315">
        <f>1/(1+'[93]Asumsi I'!$C$3)^(KKF!A27)</f>
        <v>0.1036667650806883</v>
      </c>
      <c r="P27" s="316">
        <f t="shared" ca="1" si="7"/>
        <v>-1.1829672387806236</v>
      </c>
      <c r="Q27" s="316">
        <f t="shared" ca="1" si="9"/>
        <v>-182.29676875656367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-31680</v>
      </c>
      <c r="D28" s="316">
        <f t="shared" si="5"/>
        <v>-5280</v>
      </c>
      <c r="E28" s="316">
        <f t="shared" si="0"/>
        <v>-26400</v>
      </c>
      <c r="F28" s="314"/>
      <c r="G28" s="318">
        <f ca="1">DATA!$D$11/1000000</f>
        <v>0.7609984914150002</v>
      </c>
      <c r="H28" s="318">
        <f>C28*DATA!$D$5/1000000</f>
        <v>-34.34508145368698</v>
      </c>
      <c r="I28" s="318">
        <f>(C28*DATA!$D$5*DATA!$D$7)/1000000</f>
        <v>-0.77276433270795708</v>
      </c>
      <c r="J28" s="316">
        <f t="shared" ca="1" si="1"/>
        <v>-34.356847294979936</v>
      </c>
      <c r="K28" s="314"/>
      <c r="L28" s="316">
        <f>((D28*DATA!$D$23)/1000000)+((E28*DATA!$D$24)/1000000)</f>
        <v>-45.768096</v>
      </c>
      <c r="M28" s="316">
        <f t="shared" si="2"/>
        <v>-45.768096</v>
      </c>
      <c r="N28" s="316">
        <f t="shared" ca="1" si="6"/>
        <v>-11.411248705020064</v>
      </c>
      <c r="O28" s="315">
        <f>1/(1+'[93]Asumsi I'!$C$3)^(KKF!A28)</f>
        <v>9.2559611679185971E-2</v>
      </c>
      <c r="P28" s="316">
        <f t="shared" ca="1" si="7"/>
        <v>-1.0562207489112709</v>
      </c>
      <c r="Q28" s="316">
        <f t="shared" ca="1" si="9"/>
        <v>-183.35298950547494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-31680</v>
      </c>
      <c r="D29" s="316">
        <f t="shared" si="5"/>
        <v>-5280</v>
      </c>
      <c r="E29" s="316">
        <f t="shared" si="0"/>
        <v>-26400</v>
      </c>
      <c r="F29" s="314"/>
      <c r="G29" s="318">
        <f ca="1">DATA!$D$11/1000000</f>
        <v>0.7609984914150002</v>
      </c>
      <c r="H29" s="318">
        <f>C29*DATA!$D$5/1000000</f>
        <v>-34.34508145368698</v>
      </c>
      <c r="I29" s="318">
        <f>(C29*DATA!$D$5*DATA!$D$7)/1000000</f>
        <v>-0.77276433270795708</v>
      </c>
      <c r="J29" s="316">
        <f t="shared" ca="1" si="1"/>
        <v>-34.356847294979936</v>
      </c>
      <c r="K29" s="314"/>
      <c r="L29" s="316">
        <f>((D29*DATA!$D$23)/1000000)+((E29*DATA!$D$24)/1000000)</f>
        <v>-45.768096</v>
      </c>
      <c r="M29" s="316">
        <f t="shared" si="2"/>
        <v>-45.768096</v>
      </c>
      <c r="N29" s="316">
        <f t="shared" ca="1" si="6"/>
        <v>-11.411248705020064</v>
      </c>
      <c r="O29" s="315">
        <f>1/(1+'[93]Asumsi I'!$C$3)^(KKF!A29)</f>
        <v>8.2642510427844609E-2</v>
      </c>
      <c r="P29" s="316">
        <f t="shared" ca="1" si="7"/>
        <v>-0.94305424009934891</v>
      </c>
      <c r="Q29" s="316">
        <f t="shared" ca="1" si="9"/>
        <v>-184.29604374557428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-31680</v>
      </c>
      <c r="D30" s="316">
        <f t="shared" si="5"/>
        <v>-5280</v>
      </c>
      <c r="E30" s="316">
        <f t="shared" si="0"/>
        <v>-26400</v>
      </c>
      <c r="F30" s="314"/>
      <c r="G30" s="318">
        <f ca="1">DATA!$D$11/1000000</f>
        <v>0.7609984914150002</v>
      </c>
      <c r="H30" s="318">
        <f>C30*DATA!$D$5/1000000</f>
        <v>-34.34508145368698</v>
      </c>
      <c r="I30" s="318">
        <f>(C30*DATA!$D$5*DATA!$D$7)/1000000</f>
        <v>-0.77276433270795708</v>
      </c>
      <c r="J30" s="316">
        <f t="shared" ca="1" si="1"/>
        <v>-34.356847294979936</v>
      </c>
      <c r="K30" s="314"/>
      <c r="L30" s="316">
        <f>((D30*DATA!$D$23)/1000000)+((E30*DATA!$D$24)/1000000)</f>
        <v>-45.768096</v>
      </c>
      <c r="M30" s="316">
        <f t="shared" si="2"/>
        <v>-45.768096</v>
      </c>
      <c r="N30" s="316">
        <f t="shared" ca="1" si="6"/>
        <v>-11.411248705020064</v>
      </c>
      <c r="O30" s="315">
        <f>1/(1+'[93]Asumsi I'!$C$3)^(KKF!A30)</f>
        <v>7.3787955739146982E-2</v>
      </c>
      <c r="P30" s="316">
        <f t="shared" ca="1" si="7"/>
        <v>-0.84201271437441882</v>
      </c>
      <c r="Q30" s="316">
        <f t="shared" ca="1" si="9"/>
        <v>-185.1380564599487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-31680</v>
      </c>
      <c r="D31" s="316">
        <f t="shared" si="5"/>
        <v>-5280</v>
      </c>
      <c r="E31" s="316">
        <f t="shared" si="0"/>
        <v>-26400</v>
      </c>
      <c r="F31" s="314"/>
      <c r="G31" s="318">
        <f ca="1">DATA!$D$11/1000000</f>
        <v>0.7609984914150002</v>
      </c>
      <c r="H31" s="318">
        <f>C31*DATA!$D$5/1000000</f>
        <v>-34.34508145368698</v>
      </c>
      <c r="I31" s="318">
        <f>(C31*DATA!$D$5*DATA!$D$7)/1000000</f>
        <v>-0.77276433270795708</v>
      </c>
      <c r="J31" s="316">
        <f t="shared" ca="1" si="1"/>
        <v>-34.356847294979936</v>
      </c>
      <c r="K31" s="314"/>
      <c r="L31" s="316">
        <f>((D31*DATA!$D$23)/1000000)+((E31*DATA!$D$24)/1000000)</f>
        <v>-45.768096</v>
      </c>
      <c r="M31" s="316">
        <f t="shared" si="2"/>
        <v>-45.768096</v>
      </c>
      <c r="N31" s="316">
        <f t="shared" ca="1" si="6"/>
        <v>-11.411248705020064</v>
      </c>
      <c r="O31" s="315">
        <f>1/(1+'[93]Asumsi I'!$C$3)^(KKF!A31)</f>
        <v>6.5882103338524081E-2</v>
      </c>
      <c r="P31" s="316">
        <f t="shared" ca="1" si="7"/>
        <v>-0.75179706640573096</v>
      </c>
      <c r="Q31" s="316">
        <f ca="1">Q30+P31</f>
        <v>-185.88985352635444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-31680</v>
      </c>
      <c r="D32" s="316">
        <f t="shared" si="5"/>
        <v>-5280</v>
      </c>
      <c r="E32" s="316">
        <f t="shared" si="0"/>
        <v>-26400</v>
      </c>
      <c r="F32" s="314"/>
      <c r="G32" s="318">
        <f ca="1">DATA!$D$11/1000000</f>
        <v>0.7609984914150002</v>
      </c>
      <c r="H32" s="318">
        <f>C32*DATA!$D$5/1000000</f>
        <v>-34.34508145368698</v>
      </c>
      <c r="I32" s="318">
        <f>(C32*DATA!$D$5*DATA!$D$7)/1000000</f>
        <v>-0.77276433270795708</v>
      </c>
      <c r="J32" s="316">
        <f t="shared" ca="1" si="1"/>
        <v>-34.356847294979936</v>
      </c>
      <c r="K32" s="314"/>
      <c r="L32" s="316">
        <f>((D32*DATA!$D$23)/1000000)+((E32*DATA!$D$24)/1000000)</f>
        <v>-45.768096</v>
      </c>
      <c r="M32" s="316">
        <f t="shared" si="2"/>
        <v>-45.768096</v>
      </c>
      <c r="N32" s="316">
        <f t="shared" ca="1" si="6"/>
        <v>-11.411248705020064</v>
      </c>
      <c r="O32" s="315">
        <f>1/(1+'[93]Asumsi I'!$C$3)^(KKF!A32)</f>
        <v>5.8823306552253637E-2</v>
      </c>
      <c r="P32" s="316">
        <f t="shared" ca="1" si="7"/>
        <v>-0.6712473807194026</v>
      </c>
      <c r="Q32" s="316">
        <f ca="1">Q31+P32</f>
        <v>-186.56110090707384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2" t="s">
        <v>1374</v>
      </c>
      <c r="G33" s="612"/>
      <c r="H33" s="612"/>
      <c r="I33" s="324"/>
      <c r="J33" s="325">
        <f ca="1">SUM(J7:J32)</f>
        <v>-843.52215650326366</v>
      </c>
      <c r="K33" s="612" t="s">
        <v>1375</v>
      </c>
      <c r="L33" s="612"/>
      <c r="M33" s="325">
        <f>SUM(M7:M32)</f>
        <v>-1225.8644640000002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-1.3494601922452776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1.4532688377525236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-166.57241152417305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74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B34" sqref="B34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1" customWidth="1"/>
    <col min="4" max="4" width="13.7109375" style="41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5" t="s">
        <v>1036</v>
      </c>
      <c r="P3" s="635"/>
      <c r="Q3" s="346"/>
      <c r="T3" s="344"/>
      <c r="U3" s="345" t="s">
        <v>1041</v>
      </c>
      <c r="V3" s="344"/>
    </row>
    <row r="4" spans="1:22" ht="18.75">
      <c r="B4" s="636" t="s">
        <v>1023</v>
      </c>
      <c r="C4" s="636"/>
      <c r="D4" s="636"/>
      <c r="E4" s="636"/>
      <c r="F4" s="636"/>
      <c r="G4" s="636"/>
      <c r="H4" s="636"/>
      <c r="I4" s="636"/>
      <c r="J4" s="636"/>
      <c r="K4" s="636"/>
      <c r="O4" s="635"/>
      <c r="P4" s="635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9" t="str">
        <f>DATA!D14</f>
        <v>UD SRI REZEKI</v>
      </c>
      <c r="H6" s="619"/>
      <c r="I6" s="619"/>
      <c r="J6" s="619"/>
      <c r="K6" s="619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1626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1553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38" t="s">
        <v>0</v>
      </c>
      <c r="C11" s="640" t="s">
        <v>1</v>
      </c>
      <c r="D11" s="629" t="s">
        <v>42</v>
      </c>
      <c r="E11" s="629" t="s">
        <v>43</v>
      </c>
      <c r="F11" s="629" t="s">
        <v>2</v>
      </c>
      <c r="G11" s="643" t="s">
        <v>41</v>
      </c>
      <c r="H11" s="629" t="s">
        <v>3</v>
      </c>
      <c r="I11" s="629"/>
      <c r="J11" s="629"/>
      <c r="K11" s="630"/>
      <c r="O11" s="351"/>
      <c r="P11" s="352"/>
      <c r="Q11" s="351"/>
      <c r="S11" s="353"/>
      <c r="T11" s="354"/>
      <c r="U11" s="354"/>
      <c r="V11" s="354"/>
    </row>
    <row r="12" spans="1:22">
      <c r="B12" s="639"/>
      <c r="C12" s="641"/>
      <c r="D12" s="633"/>
      <c r="E12" s="633"/>
      <c r="F12" s="633"/>
      <c r="G12" s="644"/>
      <c r="H12" s="631" t="s">
        <v>46</v>
      </c>
      <c r="I12" s="631" t="s">
        <v>5</v>
      </c>
      <c r="J12" s="633" t="s">
        <v>47</v>
      </c>
      <c r="K12" s="634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39"/>
      <c r="C13" s="642"/>
      <c r="D13" s="633"/>
      <c r="E13" s="633"/>
      <c r="F13" s="633"/>
      <c r="G13" s="645"/>
      <c r="H13" s="632"/>
      <c r="I13" s="632"/>
      <c r="J13" s="633"/>
      <c r="K13" s="634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19" ca="1" si="8">IF(OR(D16="MDU",D16="MDU-KD"),(IF($O$3="RAB NON MDU","PLN KD",G16*F16)),0)</f>
        <v>0</v>
      </c>
      <c r="I16" s="361">
        <f t="shared" ref="I16:I19" ca="1" si="9">IF(D16="HDW",G16*F16,0)</f>
        <v>0</v>
      </c>
      <c r="J16" s="361">
        <f t="shared" ref="J16:J19" ca="1" si="10">IF(D16="JASA",G16*F16,0)</f>
        <v>0</v>
      </c>
      <c r="K16" s="362">
        <f t="shared" ref="K16:K19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/>
      <c r="C17" s="357"/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 t="e">
        <f>IF(AND(C18=0,#REF!=0,#REF!=0),"BLANKS",1)</f>
        <v>#REF!</v>
      </c>
      <c r="B18" s="371" t="s">
        <v>1456</v>
      </c>
      <c r="C18" s="372" t="s">
        <v>1621</v>
      </c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8"/>
        <v>0</v>
      </c>
      <c r="I18" s="361">
        <f t="shared" ca="1" si="9"/>
        <v>0</v>
      </c>
      <c r="J18" s="361">
        <f t="shared" ca="1" si="10"/>
        <v>0</v>
      </c>
      <c r="K18" s="362">
        <f t="shared" ca="1" si="11"/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495"/>
      <c r="C19" s="496"/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65" customFormat="1">
      <c r="A20" s="336"/>
      <c r="B20" s="511"/>
      <c r="C20" s="512"/>
      <c r="D20" s="358"/>
      <c r="E20" s="359"/>
      <c r="F20" s="505"/>
      <c r="G20" s="360"/>
      <c r="H20" s="361"/>
      <c r="I20" s="361"/>
      <c r="J20" s="361"/>
      <c r="K20" s="362"/>
      <c r="L20" s="342"/>
      <c r="M20" s="342"/>
      <c r="N20" s="369"/>
      <c r="O20" s="344"/>
      <c r="P20" s="344"/>
      <c r="Q20" s="398"/>
      <c r="R20" s="344"/>
      <c r="S20" s="398"/>
      <c r="T20" s="399"/>
      <c r="U20" s="399"/>
      <c r="V20" s="399"/>
    </row>
    <row r="21" spans="1:22" s="365" customFormat="1">
      <c r="A21" s="336"/>
      <c r="B21" s="502"/>
      <c r="C21" s="503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482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23" ca="1" si="12">IF(OR(D21="MDU",D21="MDU-KD"),(IF($O$3="RAB NON MDU","PLN KD",G21*F21)),0)</f>
        <v>0</v>
      </c>
      <c r="I21" s="361">
        <f t="shared" ref="I21:I23" ca="1" si="13">IF(D21="HDW",G21*F21,0)</f>
        <v>0</v>
      </c>
      <c r="J21" s="361">
        <f t="shared" ref="J21:J23" ca="1" si="14">IF(D21="JASA",G21*F21,0)</f>
        <v>0</v>
      </c>
      <c r="K21" s="362">
        <f t="shared" ref="K21:K23" ca="1" si="15">SUM(H21:J21)</f>
        <v>0</v>
      </c>
      <c r="L21" s="342"/>
      <c r="M21" s="342"/>
      <c r="N21" s="369"/>
      <c r="O21" s="344"/>
      <c r="P21" s="344"/>
      <c r="Q21" s="398"/>
      <c r="R21" s="344"/>
      <c r="S21" s="398"/>
      <c r="T21" s="399"/>
      <c r="U21" s="399"/>
      <c r="V21" s="399"/>
    </row>
    <row r="22" spans="1:22" s="365" customFormat="1">
      <c r="A22" s="336"/>
      <c r="B22" s="373" t="s">
        <v>1549</v>
      </c>
      <c r="C22" s="374" t="s">
        <v>1619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482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2"/>
        <v>0</v>
      </c>
      <c r="I22" s="361">
        <f t="shared" ca="1" si="13"/>
        <v>0</v>
      </c>
      <c r="J22" s="361">
        <f t="shared" ca="1" si="14"/>
        <v>0</v>
      </c>
      <c r="K22" s="362">
        <f t="shared" ca="1" si="15"/>
        <v>0</v>
      </c>
      <c r="L22" s="342"/>
      <c r="M22" s="342"/>
      <c r="N22" s="369"/>
      <c r="O22" s="344"/>
      <c r="P22" s="344"/>
      <c r="Q22" s="398"/>
      <c r="R22" s="344"/>
      <c r="S22" s="398"/>
      <c r="T22" s="399"/>
      <c r="U22" s="399"/>
      <c r="V22" s="399"/>
    </row>
    <row r="23" spans="1:22" s="365" customFormat="1">
      <c r="A23" s="336"/>
      <c r="B23" s="373"/>
      <c r="C23" s="374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482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  <c r="L23" s="342"/>
      <c r="M23" s="342"/>
      <c r="N23" s="369"/>
      <c r="O23" s="344"/>
      <c r="P23" s="344"/>
      <c r="Q23" s="398"/>
      <c r="R23" s="344"/>
      <c r="S23" s="398"/>
      <c r="T23" s="399"/>
      <c r="U23" s="399"/>
      <c r="V23" s="399"/>
    </row>
    <row r="24" spans="1:22">
      <c r="B24" s="502"/>
      <c r="C24" s="503"/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482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ref="H24:H52" ca="1" si="16">IF(OR(D24="MDU",D24="MDU-KD"),(IF($O$3="RAB NON MDU","PLN KD",G24*F24)),0)</f>
        <v>0</v>
      </c>
      <c r="I24" s="361">
        <f t="shared" ref="I24:I52" ca="1" si="17">IF(D24="HDW",G24*F24,0)</f>
        <v>0</v>
      </c>
      <c r="J24" s="361">
        <f t="shared" ref="J24:J52" ca="1" si="18">IF(D24="JASA",G24*F24,0)</f>
        <v>0</v>
      </c>
      <c r="K24" s="362">
        <f t="shared" ref="K24:K52" ca="1" si="19">SUM(H24:J24)</f>
        <v>0</v>
      </c>
    </row>
    <row r="25" spans="1:22">
      <c r="B25" s="373" t="s">
        <v>1550</v>
      </c>
      <c r="C25" s="374" t="s">
        <v>1457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482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6"/>
        <v>0</v>
      </c>
      <c r="I25" s="361">
        <f t="shared" ca="1" si="17"/>
        <v>0</v>
      </c>
      <c r="J25" s="361">
        <f t="shared" ca="1" si="18"/>
        <v>0</v>
      </c>
      <c r="K25" s="362">
        <f t="shared" ca="1" si="19"/>
        <v>0</v>
      </c>
    </row>
    <row r="26" spans="1:22">
      <c r="B26" s="502"/>
      <c r="C26" s="503"/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482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16"/>
        <v>0</v>
      </c>
      <c r="I26" s="361">
        <f t="shared" ca="1" si="17"/>
        <v>0</v>
      </c>
      <c r="J26" s="361">
        <f t="shared" ca="1" si="18"/>
        <v>0</v>
      </c>
      <c r="K26" s="362">
        <f t="shared" ca="1" si="19"/>
        <v>0</v>
      </c>
    </row>
    <row r="27" spans="1:22">
      <c r="B27" s="497" t="s">
        <v>1035</v>
      </c>
      <c r="C27" s="498" t="s">
        <v>1627</v>
      </c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1">
        <v>1</v>
      </c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6"/>
        <v>0</v>
      </c>
      <c r="I27" s="361">
        <f t="shared" ca="1" si="17"/>
        <v>0</v>
      </c>
      <c r="J27" s="361">
        <f t="shared" ca="1" si="18"/>
        <v>0</v>
      </c>
      <c r="K27" s="362">
        <f t="shared" ca="1" si="19"/>
        <v>0</v>
      </c>
    </row>
    <row r="28" spans="1:22" ht="30">
      <c r="B28" s="509">
        <v>1</v>
      </c>
      <c r="C28" s="109" t="s">
        <v>1196</v>
      </c>
      <c r="D28" s="358" t="str">
        <f ca="1">IF(ISERROR(OFFSET('HARGA SATUAN'!$D$6,MATCH(RAB!C28,'HARGA SATUAN'!$C$7:$C$1492,0),0)),"",OFFSET('HARGA SATUAN'!$D$6,MATCH(RAB!C28,'HARGA SATUAN'!$C$7:$C$1492,0),0))</f>
        <v>MDU-KD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1">
        <f>F27*1</f>
        <v>1</v>
      </c>
      <c r="G28" s="360">
        <f ca="1">IF(ISERROR(OFFSET('HARGA SATUAN'!$I$6,MATCH(RAB!C28,'HARGA SATUAN'!$C$7:$C$1492,0),0)),0,OFFSET('HARGA SATUAN'!$I$6,MATCH(RAB!C28,'HARGA SATUAN'!$C$7:$C$1492,0),0))</f>
        <v>1504200</v>
      </c>
      <c r="H28" s="361">
        <f t="shared" ca="1" si="16"/>
        <v>1504200</v>
      </c>
      <c r="I28" s="361">
        <f t="shared" ca="1" si="17"/>
        <v>0</v>
      </c>
      <c r="J28" s="361">
        <f t="shared" ca="1" si="18"/>
        <v>0</v>
      </c>
      <c r="K28" s="362">
        <f t="shared" ca="1" si="19"/>
        <v>1504200</v>
      </c>
    </row>
    <row r="29" spans="1:22">
      <c r="B29" s="509">
        <v>2</v>
      </c>
      <c r="C29" s="510" t="s">
        <v>519</v>
      </c>
      <c r="D29" s="358" t="str">
        <f ca="1">IF(ISERROR(OFFSET('HARGA SATUAN'!$D$6,MATCH(RAB!C29,'HARGA SATUAN'!$C$7:$C$1492,0),0)),"",OFFSET('HARGA SATUAN'!$D$6,MATCH(RAB!C29,'HARGA SATUAN'!$C$7:$C$1492,0),0))</f>
        <v>MDU-KD</v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1">
        <f>F27*1</f>
        <v>1</v>
      </c>
      <c r="G29" s="360">
        <f ca="1">IF(ISERROR(OFFSET('HARGA SATUAN'!$I$6,MATCH(RAB!C29,'HARGA SATUAN'!$C$7:$C$1492,0),0)),0,OFFSET('HARGA SATUAN'!$I$6,MATCH(RAB!C29,'HARGA SATUAN'!$C$7:$C$1492,0),0))</f>
        <v>14975400</v>
      </c>
      <c r="H29" s="361">
        <f t="shared" ca="1" si="16"/>
        <v>14975400</v>
      </c>
      <c r="I29" s="361">
        <f t="shared" ca="1" si="17"/>
        <v>0</v>
      </c>
      <c r="J29" s="361">
        <f t="shared" ca="1" si="18"/>
        <v>0</v>
      </c>
      <c r="K29" s="362">
        <f t="shared" ca="1" si="19"/>
        <v>14975400</v>
      </c>
    </row>
    <row r="30" spans="1:22">
      <c r="B30" s="509">
        <v>3</v>
      </c>
      <c r="C30" s="510" t="s">
        <v>1142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1">
        <f>F27*1</f>
        <v>1</v>
      </c>
      <c r="G30" s="360">
        <f ca="1">IF(ISERROR(OFFSET('HARGA SATUAN'!$I$6,MATCH(RAB!C30,'HARGA SATUAN'!$C$7:$C$1492,0),0)),0,OFFSET('HARGA SATUAN'!$I$6,MATCH(RAB!C30,'HARGA SATUAN'!$C$7:$C$1492,0),0))</f>
        <v>1113900</v>
      </c>
      <c r="H30" s="361">
        <f t="shared" ca="1" si="16"/>
        <v>0</v>
      </c>
      <c r="I30" s="361">
        <f t="shared" ca="1" si="17"/>
        <v>1113900</v>
      </c>
      <c r="J30" s="361">
        <f t="shared" ca="1" si="18"/>
        <v>0</v>
      </c>
      <c r="K30" s="362">
        <f t="shared" ca="1" si="19"/>
        <v>1113900</v>
      </c>
    </row>
    <row r="31" spans="1:22">
      <c r="B31" s="509">
        <v>4</v>
      </c>
      <c r="C31" s="109" t="s">
        <v>574</v>
      </c>
      <c r="D31" s="358" t="str">
        <f ca="1">IF(ISERROR(OFFSET('HARGA SATUAN'!$D$6,MATCH(RAB!C31,'HARGA SATUAN'!$C$7:$C$1492,0),0)),"",OFFSET('HARGA SATUAN'!$D$6,MATCH(RAB!C31,'HARGA SATUAN'!$C$7:$C$1492,0),0))</f>
        <v>MDU-KD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501">
        <f>F27*35</f>
        <v>35</v>
      </c>
      <c r="G31" s="360">
        <f ca="1">IF(ISERROR(OFFSET('HARGA SATUAN'!$I$6,MATCH(RAB!C31,'HARGA SATUAN'!$C$7:$C$1492,0),0)),0,OFFSET('HARGA SATUAN'!$I$6,MATCH(RAB!C31,'HARGA SATUAN'!$C$7:$C$1492,0),0))</f>
        <v>421400</v>
      </c>
      <c r="H31" s="361">
        <f t="shared" ca="1" si="16"/>
        <v>14749000</v>
      </c>
      <c r="I31" s="361">
        <f t="shared" ca="1" si="17"/>
        <v>0</v>
      </c>
      <c r="J31" s="361">
        <f t="shared" ca="1" si="18"/>
        <v>0</v>
      </c>
      <c r="K31" s="362">
        <f t="shared" ca="1" si="19"/>
        <v>14749000</v>
      </c>
    </row>
    <row r="32" spans="1:22">
      <c r="B32" s="509">
        <v>5</v>
      </c>
      <c r="C32" s="510" t="s">
        <v>799</v>
      </c>
      <c r="D32" s="358" t="str">
        <f ca="1">IF(ISERROR(OFFSET('HARGA SATUAN'!$D$6,MATCH(RAB!C32,'HARGA SATUAN'!$C$7:$C$1492,0),0)),"",OFFSET('HARGA SATUAN'!$D$6,MATCH(RAB!C32,'HARGA SATUAN'!$C$7:$C$1492,0),0))</f>
        <v>JASA</v>
      </c>
      <c r="E32" s="359" t="str">
        <f ca="1">IF(B32="+","Unit",IF(ISERROR(OFFSET('HARGA SATUAN'!$E$6,MATCH(RAB!C32,'HARGA SATUAN'!$C$7:$C$1492,0),0)),"",OFFSET('HARGA SATUAN'!$E$6,MATCH(RAB!C32,'HARGA SATUAN'!$C$7:$C$1492,0),0)))</f>
        <v>Unit</v>
      </c>
      <c r="F32" s="501">
        <f>F27*1</f>
        <v>1</v>
      </c>
      <c r="G32" s="360">
        <f ca="1">IF(ISERROR(OFFSET('HARGA SATUAN'!$I$6,MATCH(RAB!C32,'HARGA SATUAN'!$C$7:$C$1492,0),0)),0,OFFSET('HARGA SATUAN'!$I$6,MATCH(RAB!C32,'HARGA SATUAN'!$C$7:$C$1492,0),0))</f>
        <v>106400</v>
      </c>
      <c r="H32" s="361">
        <f t="shared" ca="1" si="16"/>
        <v>0</v>
      </c>
      <c r="I32" s="361">
        <f t="shared" ca="1" si="17"/>
        <v>0</v>
      </c>
      <c r="J32" s="361">
        <f t="shared" ca="1" si="18"/>
        <v>106400</v>
      </c>
      <c r="K32" s="362">
        <f t="shared" ca="1" si="19"/>
        <v>106400</v>
      </c>
    </row>
    <row r="33" spans="2:11">
      <c r="B33" s="502">
        <v>6</v>
      </c>
      <c r="C33" s="109" t="s">
        <v>982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82"/>
      <c r="G33" s="360">
        <f ca="1">IF(ISERROR(OFFSET('HARGA SATUAN'!$I$6,MATCH(RAB!C33,'HARGA SATUAN'!$C$7:$C$1492,0),0)),0,OFFSET('HARGA SATUAN'!$I$6,MATCH(RAB!C33,'HARGA SATUAN'!$C$7:$C$1492,0),0))</f>
        <v>63840</v>
      </c>
      <c r="H33" s="361">
        <f t="shared" ref="H33" ca="1" si="20">IF(OR(D33="MDU",D33="MDU-KD"),(IF($O$3="RAB NON MDU","PLN KD",G33*F33)),0)</f>
        <v>0</v>
      </c>
      <c r="I33" s="361">
        <f t="shared" ref="I33" ca="1" si="21">IF(D33="HDW",G33*F33,0)</f>
        <v>0</v>
      </c>
      <c r="J33" s="361">
        <f t="shared" ref="J33" ca="1" si="22">IF(D33="JASA",G33*F33,0)</f>
        <v>0</v>
      </c>
      <c r="K33" s="362">
        <f t="shared" ref="K33" ca="1" si="23">SUM(H33:J33)</f>
        <v>0</v>
      </c>
    </row>
    <row r="34" spans="2:11">
      <c r="B34" s="502"/>
      <c r="C34" s="503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482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16"/>
        <v>0</v>
      </c>
      <c r="I34" s="361">
        <f t="shared" ca="1" si="17"/>
        <v>0</v>
      </c>
      <c r="J34" s="361">
        <f t="shared" ca="1" si="18"/>
        <v>0</v>
      </c>
      <c r="K34" s="362">
        <f t="shared" ca="1" si="19"/>
        <v>0</v>
      </c>
    </row>
    <row r="35" spans="2:11">
      <c r="B35" s="502" t="s">
        <v>1035</v>
      </c>
      <c r="C35" s="504" t="s">
        <v>1622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1">
        <v>1</v>
      </c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16"/>
        <v>0</v>
      </c>
      <c r="I35" s="361">
        <f t="shared" ca="1" si="17"/>
        <v>0</v>
      </c>
      <c r="J35" s="361">
        <f t="shared" ca="1" si="18"/>
        <v>0</v>
      </c>
      <c r="K35" s="362">
        <f t="shared" ca="1" si="19"/>
        <v>0</v>
      </c>
    </row>
    <row r="36" spans="2:11">
      <c r="B36" s="502">
        <v>1</v>
      </c>
      <c r="C36" s="504" t="s">
        <v>163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1">
        <f>F35*4</f>
        <v>4</v>
      </c>
      <c r="G36" s="360">
        <f ca="1">IF(ISERROR(OFFSET('HARGA SATUAN'!$I$6,MATCH(RAB!C36,'HARGA SATUAN'!$C$7:$C$1492,0),0)),0,OFFSET('HARGA SATUAN'!$I$6,MATCH(RAB!C36,'HARGA SATUAN'!$C$7:$C$1492,0),0))</f>
        <v>7938</v>
      </c>
      <c r="H36" s="361">
        <f t="shared" ca="1" si="16"/>
        <v>0</v>
      </c>
      <c r="I36" s="361">
        <f t="shared" ca="1" si="17"/>
        <v>31752</v>
      </c>
      <c r="J36" s="361">
        <f t="shared" ca="1" si="18"/>
        <v>0</v>
      </c>
      <c r="K36" s="362">
        <f t="shared" ca="1" si="19"/>
        <v>31752</v>
      </c>
    </row>
    <row r="37" spans="2:11">
      <c r="B37" s="502">
        <v>2</v>
      </c>
      <c r="C37" s="504" t="s">
        <v>593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F35*1</f>
        <v>1</v>
      </c>
      <c r="G37" s="360">
        <f ca="1">IF(ISERROR(OFFSET('HARGA SATUAN'!$I$6,MATCH(RAB!C37,'HARGA SATUAN'!$C$7:$C$1492,0),0)),0,OFFSET('HARGA SATUAN'!$I$6,MATCH(RAB!C37,'HARGA SATUAN'!$C$7:$C$1492,0),0))</f>
        <v>380500</v>
      </c>
      <c r="H37" s="361">
        <f t="shared" ca="1" si="16"/>
        <v>0</v>
      </c>
      <c r="I37" s="361">
        <f t="shared" ca="1" si="17"/>
        <v>380500</v>
      </c>
      <c r="J37" s="361">
        <f t="shared" ca="1" si="18"/>
        <v>0</v>
      </c>
      <c r="K37" s="362">
        <f t="shared" ca="1" si="19"/>
        <v>380500</v>
      </c>
    </row>
    <row r="38" spans="2:11">
      <c r="B38" s="502">
        <v>3</v>
      </c>
      <c r="C38" s="504" t="s">
        <v>248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F35*2</f>
        <v>2</v>
      </c>
      <c r="G38" s="360">
        <f ca="1">IF(ISERROR(OFFSET('HARGA SATUAN'!$I$6,MATCH(RAB!C38,'HARGA SATUAN'!$C$7:$C$1492,0),0)),0,OFFSET('HARGA SATUAN'!$I$6,MATCH(RAB!C38,'HARGA SATUAN'!$C$7:$C$1492,0),0))</f>
        <v>60300</v>
      </c>
      <c r="H38" s="361">
        <f t="shared" ca="1" si="16"/>
        <v>0</v>
      </c>
      <c r="I38" s="361">
        <f t="shared" ca="1" si="17"/>
        <v>120600</v>
      </c>
      <c r="J38" s="361">
        <f t="shared" ca="1" si="18"/>
        <v>0</v>
      </c>
      <c r="K38" s="362">
        <f t="shared" ca="1" si="19"/>
        <v>120600</v>
      </c>
    </row>
    <row r="39" spans="2:11">
      <c r="B39" s="502">
        <v>4</v>
      </c>
      <c r="C39" s="503" t="s">
        <v>595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82">
        <f>F35*1</f>
        <v>1</v>
      </c>
      <c r="G39" s="360">
        <f ca="1">IF(ISERROR(OFFSET('HARGA SATUAN'!$I$6,MATCH(RAB!C39,'HARGA SATUAN'!$C$7:$C$1492,0),0)),0,OFFSET('HARGA SATUAN'!$I$6,MATCH(RAB!C39,'HARGA SATUAN'!$C$7:$C$1492,0),0))</f>
        <v>78500</v>
      </c>
      <c r="H39" s="361">
        <f t="shared" ca="1" si="16"/>
        <v>0</v>
      </c>
      <c r="I39" s="361">
        <f t="shared" ca="1" si="17"/>
        <v>78500</v>
      </c>
      <c r="J39" s="361">
        <f t="shared" ca="1" si="18"/>
        <v>0</v>
      </c>
      <c r="K39" s="362">
        <f t="shared" ca="1" si="19"/>
        <v>78500</v>
      </c>
    </row>
    <row r="40" spans="2:11">
      <c r="B40" s="502">
        <v>5</v>
      </c>
      <c r="C40" s="503" t="s">
        <v>229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82">
        <f>F35*1</f>
        <v>1</v>
      </c>
      <c r="G40" s="360">
        <f ca="1">IF(ISERROR(OFFSET('HARGA SATUAN'!$I$6,MATCH(RAB!C40,'HARGA SATUAN'!$C$7:$C$1492,0),0)),0,OFFSET('HARGA SATUAN'!$I$6,MATCH(RAB!C40,'HARGA SATUAN'!$C$7:$C$1492,0),0))</f>
        <v>4212</v>
      </c>
      <c r="H40" s="361">
        <f t="shared" ca="1" si="16"/>
        <v>0</v>
      </c>
      <c r="I40" s="361">
        <f t="shared" ca="1" si="17"/>
        <v>4212</v>
      </c>
      <c r="J40" s="361">
        <f t="shared" ca="1" si="18"/>
        <v>0</v>
      </c>
      <c r="K40" s="362">
        <f t="shared" ca="1" si="19"/>
        <v>4212</v>
      </c>
    </row>
    <row r="41" spans="2:11">
      <c r="B41" s="502">
        <v>6</v>
      </c>
      <c r="C41" s="503" t="s">
        <v>266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Mtr</v>
      </c>
      <c r="F41" s="482">
        <f>F35*1</f>
        <v>1</v>
      </c>
      <c r="G41" s="360">
        <f ca="1">IF(ISERROR(OFFSET('HARGA SATUAN'!$I$6,MATCH(RAB!C41,'HARGA SATUAN'!$C$7:$C$1492,0),0)),0,OFFSET('HARGA SATUAN'!$I$6,MATCH(RAB!C41,'HARGA SATUAN'!$C$7:$C$1492,0),0))</f>
        <v>23310</v>
      </c>
      <c r="H41" s="361">
        <f t="shared" ca="1" si="16"/>
        <v>0</v>
      </c>
      <c r="I41" s="361">
        <f t="shared" ca="1" si="17"/>
        <v>23310</v>
      </c>
      <c r="J41" s="361">
        <f t="shared" ca="1" si="18"/>
        <v>0</v>
      </c>
      <c r="K41" s="362">
        <f t="shared" ca="1" si="19"/>
        <v>23310</v>
      </c>
    </row>
    <row r="42" spans="2:11">
      <c r="B42" s="502">
        <v>7</v>
      </c>
      <c r="C42" s="503" t="s">
        <v>35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82">
        <f>F35*1</f>
        <v>1</v>
      </c>
      <c r="G42" s="360">
        <f ca="1">IF(ISERROR(OFFSET('HARGA SATUAN'!$I$6,MATCH(RAB!C42,'HARGA SATUAN'!$C$7:$C$1492,0),0)),0,OFFSET('HARGA SATUAN'!$I$6,MATCH(RAB!C42,'HARGA SATUAN'!$C$7:$C$1492,0),0))</f>
        <v>2300</v>
      </c>
      <c r="H42" s="361">
        <f t="shared" ca="1" si="16"/>
        <v>0</v>
      </c>
      <c r="I42" s="361">
        <f t="shared" ca="1" si="17"/>
        <v>2300</v>
      </c>
      <c r="J42" s="361">
        <f t="shared" ca="1" si="18"/>
        <v>0</v>
      </c>
      <c r="K42" s="362">
        <f t="shared" ca="1" si="19"/>
        <v>2300</v>
      </c>
    </row>
    <row r="43" spans="2:11">
      <c r="B43" s="502"/>
      <c r="C43" s="503"/>
      <c r="D43" s="358"/>
      <c r="E43" s="359"/>
      <c r="F43" s="482"/>
      <c r="G43" s="360"/>
      <c r="H43" s="361"/>
      <c r="I43" s="361"/>
      <c r="J43" s="361"/>
      <c r="K43" s="362"/>
    </row>
    <row r="44" spans="2:11">
      <c r="B44" s="502" t="s">
        <v>1035</v>
      </c>
      <c r="C44" s="503" t="s">
        <v>1623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482">
        <v>1</v>
      </c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16"/>
        <v>0</v>
      </c>
      <c r="I44" s="361">
        <f t="shared" ca="1" si="17"/>
        <v>0</v>
      </c>
      <c r="J44" s="361">
        <f t="shared" ca="1" si="18"/>
        <v>0</v>
      </c>
      <c r="K44" s="362">
        <f t="shared" ca="1" si="19"/>
        <v>0</v>
      </c>
    </row>
    <row r="45" spans="2:11">
      <c r="B45" s="502">
        <v>1</v>
      </c>
      <c r="C45" s="503" t="s">
        <v>29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82">
        <f>F44*1</f>
        <v>1</v>
      </c>
      <c r="G45" s="360">
        <f ca="1">IF(ISERROR(OFFSET('HARGA SATUAN'!$I$6,MATCH(RAB!C45,'HARGA SATUAN'!$C$7:$C$1492,0),0)),0,OFFSET('HARGA SATUAN'!$I$6,MATCH(RAB!C45,'HARGA SATUAN'!$C$7:$C$1492,0),0))</f>
        <v>185200</v>
      </c>
      <c r="H45" s="361">
        <f t="shared" ca="1" si="16"/>
        <v>0</v>
      </c>
      <c r="I45" s="361">
        <f t="shared" ca="1" si="17"/>
        <v>185200</v>
      </c>
      <c r="J45" s="361">
        <f t="shared" ca="1" si="18"/>
        <v>0</v>
      </c>
      <c r="K45" s="362">
        <f t="shared" ca="1" si="19"/>
        <v>185200</v>
      </c>
    </row>
    <row r="46" spans="2:11">
      <c r="B46" s="502">
        <v>2</v>
      </c>
      <c r="C46" s="503" t="s">
        <v>30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82">
        <f>F44*1</f>
        <v>1</v>
      </c>
      <c r="G46" s="360">
        <f ca="1">IF(ISERROR(OFFSET('HARGA SATUAN'!$I$6,MATCH(RAB!C46,'HARGA SATUAN'!$C$7:$C$1492,0),0)),0,OFFSET('HARGA SATUAN'!$I$6,MATCH(RAB!C46,'HARGA SATUAN'!$C$7:$C$1492,0),0))</f>
        <v>47459</v>
      </c>
      <c r="H46" s="361">
        <f t="shared" ca="1" si="16"/>
        <v>0</v>
      </c>
      <c r="I46" s="361">
        <f t="shared" ca="1" si="17"/>
        <v>47459</v>
      </c>
      <c r="J46" s="361">
        <f t="shared" ca="1" si="18"/>
        <v>0</v>
      </c>
      <c r="K46" s="362">
        <f t="shared" ca="1" si="19"/>
        <v>47459</v>
      </c>
    </row>
    <row r="47" spans="2:11">
      <c r="B47" s="502">
        <v>3</v>
      </c>
      <c r="C47" s="503" t="s">
        <v>32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482">
        <f>F44*1.5</f>
        <v>1.5</v>
      </c>
      <c r="G47" s="360">
        <f ca="1">IF(ISERROR(OFFSET('HARGA SATUAN'!$I$6,MATCH(RAB!C47,'HARGA SATUAN'!$C$7:$C$1492,0),0)),0,OFFSET('HARGA SATUAN'!$I$6,MATCH(RAB!C47,'HARGA SATUAN'!$C$7:$C$1492,0),0))</f>
        <v>30000</v>
      </c>
      <c r="H47" s="361">
        <f t="shared" ca="1" si="16"/>
        <v>0</v>
      </c>
      <c r="I47" s="361">
        <f t="shared" ca="1" si="17"/>
        <v>45000</v>
      </c>
      <c r="J47" s="361">
        <f t="shared" ca="1" si="18"/>
        <v>0</v>
      </c>
      <c r="K47" s="362">
        <f t="shared" ca="1" si="19"/>
        <v>45000</v>
      </c>
    </row>
    <row r="48" spans="2:11">
      <c r="B48" s="502">
        <v>4</v>
      </c>
      <c r="C48" s="503" t="s">
        <v>33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82">
        <f>F44*2</f>
        <v>2</v>
      </c>
      <c r="G48" s="360">
        <f ca="1">IF(ISERROR(OFFSET('HARGA SATUAN'!$I$6,MATCH(RAB!C48,'HARGA SATUAN'!$C$7:$C$1492,0),0)),0,OFFSET('HARGA SATUAN'!$I$6,MATCH(RAB!C48,'HARGA SATUAN'!$C$7:$C$1492,0),0))</f>
        <v>9500</v>
      </c>
      <c r="H48" s="361">
        <f t="shared" ca="1" si="16"/>
        <v>0</v>
      </c>
      <c r="I48" s="361">
        <f t="shared" ca="1" si="17"/>
        <v>19000</v>
      </c>
      <c r="J48" s="361">
        <f t="shared" ca="1" si="18"/>
        <v>0</v>
      </c>
      <c r="K48" s="362">
        <f t="shared" ca="1" si="19"/>
        <v>19000</v>
      </c>
    </row>
    <row r="49" spans="2:13">
      <c r="B49" s="502">
        <v>5</v>
      </c>
      <c r="C49" s="503" t="s">
        <v>735</v>
      </c>
      <c r="D49" s="358" t="str">
        <f ca="1">IF(ISERROR(OFFSET('HARGA SATUAN'!$D$6,MATCH(RAB!C49,'HARGA SATUAN'!$C$7:$C$1492,0),0)),"",OFFSET('HARGA SATUAN'!$D$6,MATCH(RAB!C49,'HARGA SATUAN'!$C$7:$C$1492,0),0))</f>
        <v>JASA</v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482">
        <f>F44*1</f>
        <v>1</v>
      </c>
      <c r="G49" s="360">
        <f ca="1">IF(ISERROR(OFFSET('HARGA SATUAN'!$I$6,MATCH(RAB!C49,'HARGA SATUAN'!$C$7:$C$1492,0),0)),0,OFFSET('HARGA SATUAN'!$I$6,MATCH(RAB!C49,'HARGA SATUAN'!$C$7:$C$1492,0),0))</f>
        <v>56400</v>
      </c>
      <c r="H49" s="361">
        <f t="shared" ca="1" si="16"/>
        <v>0</v>
      </c>
      <c r="I49" s="361">
        <f t="shared" ca="1" si="17"/>
        <v>0</v>
      </c>
      <c r="J49" s="361">
        <f t="shared" ca="1" si="18"/>
        <v>56400</v>
      </c>
      <c r="K49" s="362">
        <f t="shared" ca="1" si="19"/>
        <v>56400</v>
      </c>
    </row>
    <row r="50" spans="2:13">
      <c r="B50" s="502"/>
      <c r="C50" s="503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482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16"/>
        <v>0</v>
      </c>
      <c r="I50" s="361">
        <f t="shared" ca="1" si="17"/>
        <v>0</v>
      </c>
      <c r="J50" s="361">
        <f t="shared" ca="1" si="18"/>
        <v>0</v>
      </c>
      <c r="K50" s="362">
        <f t="shared" ca="1" si="19"/>
        <v>0</v>
      </c>
    </row>
    <row r="51" spans="2:13">
      <c r="B51" s="373" t="s">
        <v>1550</v>
      </c>
      <c r="C51" s="374" t="s">
        <v>1615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/>
      </c>
      <c r="F51" s="482"/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16"/>
        <v>0</v>
      </c>
      <c r="I51" s="361">
        <f t="shared" ca="1" si="17"/>
        <v>0</v>
      </c>
      <c r="J51" s="361">
        <f t="shared" ca="1" si="18"/>
        <v>0</v>
      </c>
      <c r="K51" s="362">
        <f t="shared" ca="1" si="19"/>
        <v>0</v>
      </c>
    </row>
    <row r="52" spans="2:13">
      <c r="B52" s="375"/>
      <c r="C52" s="109"/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482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16"/>
        <v>0</v>
      </c>
      <c r="I52" s="361">
        <f t="shared" ca="1" si="17"/>
        <v>0</v>
      </c>
      <c r="J52" s="361">
        <f t="shared" ca="1" si="18"/>
        <v>0</v>
      </c>
      <c r="K52" s="362">
        <f t="shared" ca="1" si="19"/>
        <v>0</v>
      </c>
    </row>
    <row r="53" spans="2:13">
      <c r="B53" s="376"/>
      <c r="C53" s="377" t="s">
        <v>475</v>
      </c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482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ref="H53" ca="1" si="24">IF(OR(D53="MDU",D53="MDU-KD"),(IF($O$3="RAB NON MDU","PLN KD",G53*F53)),0)</f>
        <v>0</v>
      </c>
      <c r="I53" s="361">
        <f t="shared" ref="I53" ca="1" si="25">IF(D53="HDW",G53*F53,0)</f>
        <v>0</v>
      </c>
      <c r="J53" s="361">
        <f t="shared" ref="J53" ca="1" si="26">IF(D53="JASA",G53*F53,0)</f>
        <v>0</v>
      </c>
      <c r="K53" s="362">
        <f t="shared" ref="K53" ca="1" si="27">SUM(H53:J53)</f>
        <v>0</v>
      </c>
    </row>
    <row r="54" spans="2:13">
      <c r="B54" s="379">
        <v>1</v>
      </c>
      <c r="C54" s="380" t="s">
        <v>1091</v>
      </c>
      <c r="D54" s="381" t="str">
        <f ca="1">IF(ISERROR(OFFSET('HARGA SATUAN'!$D$6,MATCH(RAB!C54,'HARGA SATUAN'!$C$7:$C$1492,0),0)),"",OFFSET('HARGA SATUAN'!$D$6,MATCH(RAB!C54,'HARGA SATUAN'!$C$7:$C$1492,0),0))</f>
        <v>JASA</v>
      </c>
      <c r="E54" s="382" t="str">
        <f ca="1">IF(ISERROR(OFFSET('HARGA SATUAN'!$E$6,MATCH(RAB!C54,'HARGA SATUAN'!$C$7:$C$1492,0),0)),"",OFFSET('HARGA SATUAN'!$E$6,MATCH(RAB!C54,'HARGA SATUAN'!$C$7:$C$1492,0),0))</f>
        <v>Lot</v>
      </c>
      <c r="F54" s="383">
        <v>1</v>
      </c>
      <c r="G54" s="384">
        <f ca="1">IF(ISERROR(OFFSET('HARGA SATUAN'!$I$6,MATCH(RAB!C54,'HARGA SATUAN'!$C$7:$C$1492,0),0)),0,OFFSET('HARGA SATUAN'!$I$6,MATCH(RAB!C54,'HARGA SATUAN'!$C$7:$C$1492,0),0))</f>
        <v>2.5000000000000001E-2</v>
      </c>
      <c r="H54" s="385">
        <f ca="1">2.5%*(SUM(H14:H53))</f>
        <v>780715</v>
      </c>
      <c r="I54" s="385">
        <f t="shared" ref="I54" ca="1" si="28">2.5%*(SUM(I14:I53))</f>
        <v>51293.325000000004</v>
      </c>
      <c r="J54" s="385">
        <f ca="1">2.5%*(SUM(J14:J53))</f>
        <v>4070</v>
      </c>
      <c r="K54" s="386">
        <f ca="1">SUM(H54:J54)</f>
        <v>836078.32499999995</v>
      </c>
    </row>
    <row r="55" spans="2:13">
      <c r="B55" s="387"/>
      <c r="C55" s="388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IF(ISERROR(OFFSET('HARGA SATUAN'!$E$6,MATCH(RAB!C55,'HARGA SATUAN'!$C$7:$C$1492,0),0)),"",OFFSET('HARGA SATUAN'!$E$6,MATCH(RAB!C55,'HARGA SATUAN'!$C$7:$C$1492,0),0))</f>
        <v/>
      </c>
      <c r="F55" s="378"/>
      <c r="G55" s="360" t="str">
        <f ca="1">IF(ISERROR(OFFSET('HARGA SATUAN'!$I$6,MATCH(RAB!C55,'HARGA SATUAN'!$C$7:$C$1492,0),0)),"",OFFSET('HARGA SATUAN'!$I$6,MATCH(RAB!C55,'HARGA SATUAN'!$C$7:$C$1492,0),0))</f>
        <v/>
      </c>
      <c r="H55" s="361">
        <f ca="1">IF(OR(D55="MDU",D55="MDU-KD"),IF(G55="PLN",0,G55*F55),0)</f>
        <v>0</v>
      </c>
      <c r="I55" s="361">
        <f ca="1">IF(D55="HDW",IF(G55="PLN",0,G55*F55),0)</f>
        <v>0</v>
      </c>
      <c r="J55" s="361">
        <f ca="1">IF(D55="JASA",IF(G55="PLN",0,G55*F55),0)</f>
        <v>0</v>
      </c>
      <c r="K55" s="362">
        <f ca="1">SUM(H55:J55)</f>
        <v>0</v>
      </c>
    </row>
    <row r="56" spans="2:13" ht="15.75" thickBot="1">
      <c r="B56" s="389"/>
      <c r="C56" s="390"/>
      <c r="D56" s="391"/>
      <c r="E56" s="392"/>
      <c r="F56" s="392"/>
      <c r="G56" s="392"/>
      <c r="H56" s="393"/>
      <c r="I56" s="393"/>
      <c r="J56" s="393"/>
      <c r="K56" s="394"/>
    </row>
    <row r="57" spans="2:13">
      <c r="B57" s="395"/>
      <c r="C57" s="637" t="s">
        <v>1008</v>
      </c>
      <c r="D57" s="637"/>
      <c r="E57" s="637"/>
      <c r="F57" s="637"/>
      <c r="G57" s="396" t="s">
        <v>9</v>
      </c>
      <c r="H57" s="397">
        <f ca="1">SUM(H14:H55)</f>
        <v>32009315</v>
      </c>
      <c r="I57" s="397">
        <f ca="1">SUM(I14:I55)</f>
        <v>2103026.3250000002</v>
      </c>
      <c r="J57" s="397">
        <f ca="1">SUM(J14:J55)</f>
        <v>166870</v>
      </c>
      <c r="K57" s="397">
        <f ca="1">SUM(K14:K55)</f>
        <v>34279211.325000003</v>
      </c>
    </row>
    <row r="58" spans="2:13">
      <c r="B58" s="400"/>
      <c r="C58" s="620" t="s">
        <v>1460</v>
      </c>
      <c r="D58" s="620"/>
      <c r="E58" s="620"/>
      <c r="F58" s="620"/>
      <c r="G58" s="401" t="s">
        <v>9</v>
      </c>
      <c r="H58" s="402">
        <f ca="1">H57*0.11</f>
        <v>3521024.65</v>
      </c>
      <c r="I58" s="402">
        <f ca="1">I57*0.11</f>
        <v>231332.89575000003</v>
      </c>
      <c r="J58" s="402">
        <f ca="1">J57*0.11</f>
        <v>18355.7</v>
      </c>
      <c r="K58" s="402">
        <f ca="1">K57*0.11</f>
        <v>3770713.2457500002</v>
      </c>
    </row>
    <row r="59" spans="2:13" ht="15.75" thickBot="1">
      <c r="B59" s="400"/>
      <c r="C59" s="618" t="s">
        <v>463</v>
      </c>
      <c r="D59" s="618"/>
      <c r="E59" s="618"/>
      <c r="F59" s="618"/>
      <c r="G59" s="403" t="s">
        <v>9</v>
      </c>
      <c r="H59" s="404">
        <f ca="1">SUM(H57:H58)</f>
        <v>35530339.649999999</v>
      </c>
      <c r="I59" s="404">
        <f ca="1">SUM(I57:I58)</f>
        <v>2334359.2207500003</v>
      </c>
      <c r="J59" s="403">
        <f ca="1">SUM(J57:J58)</f>
        <v>185225.7</v>
      </c>
      <c r="K59" s="403">
        <f ca="1">SUM(K57:K58)</f>
        <v>38049924.570750006</v>
      </c>
      <c r="M59" s="486"/>
    </row>
    <row r="60" spans="2:13">
      <c r="B60" s="621" t="str">
        <f ca="1">"Terbilang : "&amp;PROPER(IF(K59=0,"nol",IF(K59&lt;0,"minus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IF(--MID(TEXT(ABS(K59),"000000000000000"),1,3)=0,"",MID(TEXT(ABS(K59),"000000000000000"),1,1)&amp;" ratus "&amp;MID(TEXT(ABS(K59),"000000000000000"),2,1)&amp;" puluh "&amp;MID(TEXT(ABS(K59),"000000000000000"),3,1)&amp;" trilyun ")&amp; IF(--MID(TEXT(ABS(K59),"000000000000000"),4,3)=0,"",MID(TEXT(ABS(K59),"000000000000000"),4,1)&amp;" ratus "&amp;MID(TEXT(ABS(K59),"000000000000000"),5,1)&amp;" puluh "&amp;MID(TEXT(ABS(K59),"000000000000000"),6,1)&amp;" milyar ")&amp; IF(--MID(TEXT(ABS(K59),"000000000000000"),7,3)=0,"",MID(TEXT(ABS(K59),"000000000000000"),7,1)&amp;" ratus "&amp;MID(TEXT(ABS(K59),"000000000000000"),8,1)&amp;" puluh "&amp;MID(TEXT(ABS(K59),"000000000000000"),9,1)&amp;" juta ")&amp; IF(--MID(TEXT(ABS(K59),"000000000000000"),10,3)=0,"",IF(--MID(TEXT(ABS(K59),"000000000000000"),10,3)=1,"*",MID(TEXT(ABS(K59),"000000000000000"),10,1)&amp;" ratus "&amp;MID(TEXT(ABS(K59),"000000000000000"),11,1)&amp;" puluh ")&amp;MID(TEXT(ABS(K59),"000000000000000"),12,1)&amp;" ribu ")&amp; IF(--MID(TEXT(ABS(K59),"000000000000000"),13,3)=0,"",MID(TEXT(ABS(K59),"000000000000000"),13,1)&amp;" ratus "&amp;MID(TEXT(ABS(K59),"000000000000000"),14,1)&amp;" puluh "&amp;MID(TEXT(ABS(K59),"000000000000000"),15,1)),1,"satu"),2,"dua"),3,"tiga"),4,"empat"),5,"lima"),6,"enam"),7,"tujuh"),8,"delapan"),9,"sembilan"),"0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Delapan Juta Empat Puluh Sembilan Ribu Sembilan Ratus Dua Puluh Lima Rupiah</v>
      </c>
      <c r="C60" s="622"/>
      <c r="D60" s="622"/>
      <c r="E60" s="622"/>
      <c r="F60" s="622"/>
      <c r="G60" s="622"/>
      <c r="H60" s="622"/>
      <c r="I60" s="622"/>
      <c r="J60" s="622"/>
      <c r="K60" s="623"/>
    </row>
    <row r="61" spans="2:13">
      <c r="B61" s="624"/>
      <c r="C61" s="625"/>
      <c r="D61" s="625"/>
      <c r="E61" s="625"/>
      <c r="F61" s="625"/>
      <c r="G61" s="625"/>
      <c r="H61" s="625"/>
      <c r="I61" s="625"/>
      <c r="J61" s="625"/>
      <c r="K61" s="626"/>
    </row>
    <row r="62" spans="2:13" ht="15.75" thickBot="1">
      <c r="B62" s="405" t="str">
        <f>"Harga yang dipakai adalah "&amp;'HARGA SATUAN'!I5&amp;""</f>
        <v>Harga yang dipakai adalah RAB HSS 2023</v>
      </c>
      <c r="C62" s="406"/>
      <c r="D62" s="407"/>
      <c r="E62" s="407"/>
      <c r="F62" s="407"/>
      <c r="G62" s="408"/>
      <c r="H62" s="408"/>
      <c r="I62" s="408"/>
      <c r="J62" s="408"/>
      <c r="K62" s="409"/>
    </row>
    <row r="63" spans="2:13">
      <c r="C63" s="410"/>
      <c r="E63" s="412"/>
      <c r="F63" s="412"/>
      <c r="G63" s="412"/>
    </row>
    <row r="64" spans="2:13">
      <c r="C64" s="337"/>
      <c r="E64" s="412"/>
      <c r="F64" s="412"/>
      <c r="G64" s="412"/>
      <c r="H64" s="627"/>
      <c r="I64" s="627"/>
      <c r="J64" s="628"/>
      <c r="K64" s="628"/>
    </row>
    <row r="65" spans="3:11">
      <c r="C65" s="337"/>
      <c r="E65" s="412"/>
      <c r="F65" s="412"/>
      <c r="G65" s="412"/>
      <c r="H65" s="413"/>
      <c r="I65" s="617" t="s">
        <v>1613</v>
      </c>
      <c r="J65" s="617"/>
      <c r="K65" s="617"/>
    </row>
    <row r="66" spans="3:11">
      <c r="C66" s="337"/>
      <c r="E66" s="412"/>
      <c r="F66" s="412"/>
      <c r="G66" s="412"/>
      <c r="H66" s="413"/>
      <c r="I66" s="617" t="s">
        <v>1551</v>
      </c>
      <c r="J66" s="617"/>
      <c r="K66" s="617"/>
    </row>
    <row r="67" spans="3:11">
      <c r="C67" s="337"/>
      <c r="E67" s="412"/>
      <c r="F67" s="412"/>
      <c r="G67" s="412"/>
      <c r="H67" s="414"/>
      <c r="I67" s="415"/>
      <c r="J67" s="415"/>
      <c r="K67" s="415"/>
    </row>
    <row r="68" spans="3:11">
      <c r="C68" s="337"/>
      <c r="E68" s="412"/>
      <c r="F68" s="412"/>
      <c r="G68" s="412"/>
      <c r="H68" s="414"/>
      <c r="I68" s="414"/>
      <c r="J68" s="414"/>
      <c r="K68" s="414"/>
    </row>
    <row r="69" spans="3:11">
      <c r="C69" s="337"/>
      <c r="E69" s="412"/>
      <c r="F69" s="412"/>
      <c r="G69" s="412"/>
      <c r="H69" s="414"/>
      <c r="I69" s="414"/>
      <c r="J69" s="414"/>
      <c r="K69" s="414"/>
    </row>
    <row r="70" spans="3:11">
      <c r="C70" s="337"/>
      <c r="E70" s="412"/>
      <c r="F70" s="412"/>
      <c r="G70" s="412"/>
      <c r="H70" s="414"/>
      <c r="I70" s="414"/>
      <c r="J70" s="414"/>
      <c r="K70" s="414"/>
    </row>
    <row r="71" spans="3:11">
      <c r="C71" s="337"/>
      <c r="E71" s="412"/>
      <c r="F71" s="412"/>
      <c r="G71" s="412"/>
      <c r="H71" s="416"/>
      <c r="I71" s="617" t="s">
        <v>1552</v>
      </c>
      <c r="J71" s="617"/>
      <c r="K71" s="617"/>
    </row>
    <row r="72" spans="3:11">
      <c r="C72" s="410"/>
      <c r="E72" s="412"/>
      <c r="F72" s="412"/>
      <c r="G72" s="412"/>
      <c r="H72" s="414"/>
      <c r="I72" s="414"/>
      <c r="J72" s="414"/>
      <c r="K72" s="414"/>
    </row>
    <row r="73" spans="3:11">
      <c r="C73" s="410"/>
      <c r="E73" s="412"/>
      <c r="F73" s="412"/>
      <c r="G73" s="412"/>
      <c r="H73" s="414"/>
      <c r="I73" s="414"/>
      <c r="J73" s="414"/>
      <c r="K73" s="414"/>
    </row>
    <row r="74" spans="3:11">
      <c r="C74" s="410"/>
      <c r="E74" s="412"/>
      <c r="F74" s="412"/>
      <c r="G74" s="412"/>
      <c r="H74" s="414"/>
      <c r="I74" s="414"/>
      <c r="J74" s="414"/>
      <c r="K74" s="414"/>
    </row>
  </sheetData>
  <sheetProtection sort="0" autoFilter="0"/>
  <protectedRanges>
    <protectedRange sqref="B52" name="Range1_1"/>
    <protectedRange sqref="F14:F19" name="Range1_1_2_2"/>
    <protectedRange sqref="B51:C51 B25:C25 B22:C23" name="Range1_1_1"/>
    <protectedRange sqref="C52" name="Range1_1_3_12"/>
    <protectedRange sqref="C31" name="Range1_1_3_13"/>
    <protectedRange sqref="C33" name="Range1_1_3"/>
  </protectedRanges>
  <mergeCells count="22">
    <mergeCell ref="O3:P4"/>
    <mergeCell ref="B4:K4"/>
    <mergeCell ref="C57:F57"/>
    <mergeCell ref="B11:B13"/>
    <mergeCell ref="C11:C13"/>
    <mergeCell ref="D11:D13"/>
    <mergeCell ref="E11:E13"/>
    <mergeCell ref="F11:F13"/>
    <mergeCell ref="G11:G13"/>
    <mergeCell ref="I12:I13"/>
    <mergeCell ref="I66:K66"/>
    <mergeCell ref="I71:K71"/>
    <mergeCell ref="C59:F59"/>
    <mergeCell ref="G6:K6"/>
    <mergeCell ref="I65:K65"/>
    <mergeCell ref="C58:F58"/>
    <mergeCell ref="B60:K61"/>
    <mergeCell ref="H64:K64"/>
    <mergeCell ref="H11:K11"/>
    <mergeCell ref="H12:H13"/>
    <mergeCell ref="J12:J13"/>
    <mergeCell ref="K12:K13"/>
  </mergeCells>
  <phoneticPr fontId="136" type="noConversion"/>
  <conditionalFormatting sqref="C15">
    <cfRule type="cellIs" dxfId="6" priority="579" operator="equal">
      <formula>0</formula>
    </cfRule>
  </conditionalFormatting>
  <conditionalFormatting sqref="C28">
    <cfRule type="cellIs" dxfId="5" priority="108" operator="equal">
      <formula>0</formula>
    </cfRule>
  </conditionalFormatting>
  <conditionalFormatting sqref="C31">
    <cfRule type="cellIs" dxfId="4" priority="107" operator="equal">
      <formula>0</formula>
    </cfRule>
  </conditionalFormatting>
  <conditionalFormatting sqref="C52">
    <cfRule type="cellIs" dxfId="3" priority="177" operator="equal">
      <formula>0</formula>
    </cfRule>
  </conditionalFormatting>
  <conditionalFormatting sqref="E1:E3 G1:G13 E5:E13 H12:I12 O13 E54:G54 H54:K56 E55:H55 E56:F56 S14:V19 E14:K53">
    <cfRule type="cellIs" dxfId="2" priority="1159" stopIfTrue="1" operator="equal">
      <formula>0</formula>
    </cfRule>
  </conditionalFormatting>
  <conditionalFormatting sqref="G55:G65521 E60:E65521">
    <cfRule type="cellIs" dxfId="1" priority="293" stopIfTrue="1" operator="equal">
      <formula>0</formula>
    </cfRule>
  </conditionalFormatting>
  <conditionalFormatting sqref="C3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33:F34 F39:F53 F20:F26 H14:K5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Normal="115" zoomScaleSheetLayoutView="100" workbookViewId="0">
      <selection activeCell="E7" sqref="E7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6" t="s">
        <v>1439</v>
      </c>
      <c r="X2" s="697"/>
      <c r="Y2" s="697"/>
      <c r="Z2" s="697"/>
      <c r="AA2" s="697"/>
      <c r="AB2" s="697"/>
      <c r="AC2" s="697"/>
      <c r="AD2" s="698"/>
    </row>
    <row r="3" spans="3:30">
      <c r="C3" s="238"/>
      <c r="W3" s="699"/>
      <c r="X3" s="700"/>
      <c r="Y3" s="700"/>
      <c r="Z3" s="700"/>
      <c r="AA3" s="700"/>
      <c r="AB3" s="700"/>
      <c r="AC3" s="700"/>
      <c r="AD3" s="701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>
      <c r="C6" s="238"/>
      <c r="W6" s="241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238"/>
      <c r="E7" s="492" t="str">
        <f>PETA!$C$6</f>
        <v>KOORDINAT : -6.9229835, 110.7567094</v>
      </c>
      <c r="W7" s="241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238"/>
      <c r="W8" s="241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 ht="12.75">
      <c r="C9" s="238"/>
      <c r="O9" s="506"/>
      <c r="W9" s="241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238"/>
      <c r="W10" s="241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238"/>
      <c r="W11" s="241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238"/>
      <c r="W12" s="241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238"/>
      <c r="W13" s="241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238"/>
      <c r="W14" s="241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238"/>
      <c r="W15" s="241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238"/>
      <c r="W16" s="241">
        <v>11</v>
      </c>
      <c r="X16" s="649" t="s">
        <v>1458</v>
      </c>
      <c r="Y16" s="649"/>
      <c r="Z16" s="649"/>
      <c r="AA16" s="649"/>
      <c r="AB16" s="649"/>
      <c r="AC16" s="649"/>
      <c r="AD16" s="650"/>
    </row>
    <row r="17" spans="3:30">
      <c r="C17" s="238"/>
      <c r="S17" s="242"/>
      <c r="W17" s="241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243"/>
      <c r="D18" s="244"/>
      <c r="E18" s="244"/>
      <c r="W18" s="241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238"/>
      <c r="W19" s="245"/>
      <c r="X19" s="694"/>
      <c r="Y19" s="694"/>
      <c r="Z19" s="694"/>
      <c r="AA19" s="694"/>
      <c r="AB19" s="694"/>
      <c r="AC19" s="694"/>
      <c r="AD19" s="695"/>
    </row>
    <row r="20" spans="3:30">
      <c r="C20" s="238"/>
      <c r="W20" s="679" t="s">
        <v>992</v>
      </c>
      <c r="X20" s="680"/>
      <c r="Y20" s="680"/>
      <c r="Z20" s="680"/>
      <c r="AA20" s="680"/>
      <c r="AB20" s="680"/>
      <c r="AC20" s="680"/>
      <c r="AD20" s="681"/>
    </row>
    <row r="21" spans="3:30">
      <c r="C21" s="238"/>
      <c r="W21" s="682" t="s">
        <v>985</v>
      </c>
      <c r="X21" s="683"/>
      <c r="Y21" s="683"/>
      <c r="Z21" s="684"/>
      <c r="AA21" s="685" t="s">
        <v>986</v>
      </c>
      <c r="AB21" s="686"/>
      <c r="AC21" s="686"/>
      <c r="AD21" s="687"/>
    </row>
    <row r="22" spans="3:30">
      <c r="C22" s="238"/>
      <c r="W22" s="688" t="s">
        <v>1628</v>
      </c>
      <c r="X22" s="689"/>
      <c r="Y22" s="712" t="s">
        <v>1058</v>
      </c>
      <c r="Z22" s="499">
        <v>1</v>
      </c>
      <c r="AA22" s="690" t="s">
        <v>1629</v>
      </c>
      <c r="AB22" s="691"/>
      <c r="AC22" s="248" t="s">
        <v>1058</v>
      </c>
      <c r="AD22" s="249">
        <v>1</v>
      </c>
    </row>
    <row r="23" spans="3:30">
      <c r="C23" s="238"/>
      <c r="W23" s="688"/>
      <c r="X23" s="689"/>
      <c r="Y23" s="494"/>
      <c r="Z23" s="499"/>
      <c r="AA23" s="677"/>
      <c r="AB23" s="678"/>
      <c r="AC23" s="248"/>
      <c r="AD23" s="249"/>
    </row>
    <row r="24" spans="3:30">
      <c r="C24" s="238"/>
      <c r="W24" s="675"/>
      <c r="X24" s="676"/>
      <c r="Y24" s="246"/>
      <c r="Z24" s="247"/>
      <c r="AA24" s="692"/>
      <c r="AB24" s="693"/>
      <c r="AC24" s="248"/>
      <c r="AD24" s="249"/>
    </row>
    <row r="25" spans="3:30">
      <c r="C25" s="238"/>
      <c r="W25" s="675"/>
      <c r="X25" s="676"/>
      <c r="Y25" s="246"/>
      <c r="Z25" s="247"/>
      <c r="AA25" s="677"/>
      <c r="AB25" s="678"/>
      <c r="AC25" s="248"/>
      <c r="AD25" s="249"/>
    </row>
    <row r="26" spans="3:30">
      <c r="C26" s="238"/>
      <c r="W26" s="483"/>
      <c r="X26" s="484"/>
      <c r="Y26" s="246"/>
      <c r="Z26" s="247"/>
      <c r="AA26" s="677"/>
      <c r="AB26" s="678"/>
      <c r="AC26" s="248"/>
      <c r="AD26" s="249"/>
    </row>
    <row r="27" spans="3:30">
      <c r="C27" s="238"/>
      <c r="W27" s="483"/>
      <c r="X27" s="484"/>
      <c r="Y27" s="246"/>
      <c r="Z27" s="247"/>
      <c r="AA27" s="670"/>
      <c r="AB27" s="671"/>
      <c r="AC27" s="248"/>
      <c r="AD27" s="249"/>
    </row>
    <row r="28" spans="3:30">
      <c r="C28" s="238"/>
      <c r="W28" s="483"/>
      <c r="X28" s="484"/>
      <c r="Y28" s="246"/>
      <c r="Z28" s="247"/>
      <c r="AA28" s="670"/>
      <c r="AB28" s="671"/>
      <c r="AC28" s="248"/>
      <c r="AD28" s="249"/>
    </row>
    <row r="29" spans="3:30">
      <c r="C29" s="238"/>
      <c r="W29" s="483"/>
      <c r="X29" s="484"/>
      <c r="Y29" s="246"/>
      <c r="Z29" s="247"/>
      <c r="AA29" s="670"/>
      <c r="AB29" s="671"/>
      <c r="AC29" s="248"/>
      <c r="AD29" s="249"/>
    </row>
    <row r="30" spans="3:30" ht="11.25" customHeight="1">
      <c r="C30" s="238"/>
      <c r="W30" s="483"/>
      <c r="X30" s="484"/>
      <c r="Y30" s="246"/>
      <c r="Z30" s="247"/>
      <c r="AA30" s="670"/>
      <c r="AB30" s="671"/>
      <c r="AC30" s="248"/>
      <c r="AD30" s="249"/>
    </row>
    <row r="31" spans="3:30">
      <c r="C31" s="238"/>
      <c r="U31" s="250"/>
      <c r="W31" s="508"/>
      <c r="X31" s="485"/>
      <c r="Y31" s="246"/>
      <c r="Z31" s="247"/>
      <c r="AA31" s="670"/>
      <c r="AB31" s="671"/>
      <c r="AC31" s="248"/>
      <c r="AD31" s="249"/>
    </row>
    <row r="32" spans="3:30">
      <c r="C32" s="238"/>
      <c r="U32" s="250"/>
      <c r="W32" s="483"/>
      <c r="X32" s="484"/>
      <c r="Y32" s="246"/>
      <c r="Z32" s="247"/>
      <c r="AA32" s="670"/>
      <c r="AB32" s="671"/>
      <c r="AC32" s="248"/>
      <c r="AD32" s="249"/>
    </row>
    <row r="33" spans="3:30">
      <c r="C33" s="238"/>
      <c r="W33" s="483"/>
      <c r="X33" s="484"/>
      <c r="Y33" s="246"/>
      <c r="Z33" s="247"/>
      <c r="AA33" s="670"/>
      <c r="AB33" s="671"/>
      <c r="AC33" s="248"/>
      <c r="AD33" s="249"/>
    </row>
    <row r="34" spans="3:30">
      <c r="C34" s="238"/>
      <c r="W34" s="483"/>
      <c r="X34" s="484"/>
      <c r="Y34" s="246"/>
      <c r="Z34" s="247"/>
      <c r="AA34" s="670"/>
      <c r="AB34" s="671"/>
      <c r="AC34" s="248"/>
      <c r="AD34" s="249"/>
    </row>
    <row r="35" spans="3:30">
      <c r="C35" s="238"/>
      <c r="W35" s="483"/>
      <c r="X35" s="484"/>
      <c r="Y35" s="246"/>
      <c r="Z35" s="247"/>
      <c r="AA35" s="670"/>
      <c r="AB35" s="671"/>
      <c r="AC35" s="248"/>
      <c r="AD35" s="249"/>
    </row>
    <row r="36" spans="3:30">
      <c r="C36" s="238"/>
      <c r="W36" s="483"/>
      <c r="X36" s="484"/>
      <c r="Y36" s="246"/>
      <c r="Z36" s="251"/>
      <c r="AA36" s="672"/>
      <c r="AB36" s="671"/>
      <c r="AC36" s="248"/>
      <c r="AD36" s="249"/>
    </row>
    <row r="37" spans="3:30" ht="12.75" customHeight="1">
      <c r="C37" s="238"/>
      <c r="W37" s="513"/>
      <c r="X37" s="514"/>
      <c r="Y37" s="246"/>
      <c r="Z37" s="251"/>
      <c r="AA37" s="673"/>
      <c r="AB37" s="674"/>
      <c r="AC37" s="252"/>
      <c r="AD37" s="253"/>
    </row>
    <row r="38" spans="3:30" ht="12.75" customHeight="1">
      <c r="C38" s="238"/>
      <c r="W38" s="660"/>
      <c r="X38" s="661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0"/>
      <c r="X39" s="661"/>
      <c r="Y39" s="254"/>
      <c r="Z39" s="257"/>
      <c r="AA39" s="662"/>
      <c r="AB39" s="663"/>
      <c r="AC39" s="252"/>
      <c r="AD39" s="253"/>
    </row>
    <row r="40" spans="3:30" ht="12" customHeight="1">
      <c r="C40" s="238"/>
      <c r="W40" s="664"/>
      <c r="X40" s="66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6"/>
      <c r="X41" s="667"/>
      <c r="Y41" s="260"/>
      <c r="Z41" s="261"/>
      <c r="AA41" s="662"/>
      <c r="AB41" s="663"/>
      <c r="AC41" s="252"/>
      <c r="AD41" s="253"/>
    </row>
    <row r="42" spans="3:30" ht="12" customHeight="1">
      <c r="C42" s="238"/>
      <c r="W42" s="668" t="s">
        <v>1459</v>
      </c>
      <c r="X42" s="669"/>
      <c r="Y42" s="669"/>
      <c r="Z42" s="66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6" t="s">
        <v>11</v>
      </c>
      <c r="X44" s="647"/>
      <c r="Y44" s="649"/>
      <c r="Z44" s="649"/>
      <c r="AA44" s="649"/>
      <c r="AB44" s="649"/>
      <c r="AC44" s="649"/>
      <c r="AD44" s="650"/>
    </row>
    <row r="45" spans="3:30" ht="14.25">
      <c r="C45" s="268"/>
      <c r="D45" s="269"/>
      <c r="E45" s="269"/>
      <c r="F45" s="269"/>
      <c r="G45" s="269"/>
      <c r="H45" s="269"/>
      <c r="I45" s="269"/>
      <c r="J45" s="269"/>
      <c r="K45" s="507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6" t="s">
        <v>984</v>
      </c>
      <c r="X45" s="647"/>
      <c r="Y45" s="649">
        <v>1</v>
      </c>
      <c r="Z45" s="649"/>
      <c r="AA45" s="649"/>
      <c r="AB45" s="649" t="s">
        <v>12</v>
      </c>
      <c r="AC45" s="64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6" t="s">
        <v>15</v>
      </c>
      <c r="X46" s="647"/>
      <c r="Y46" s="657"/>
      <c r="Z46" s="657"/>
      <c r="AA46" s="657"/>
      <c r="AB46" s="649" t="s">
        <v>16</v>
      </c>
      <c r="AC46" s="64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8" t="s">
        <v>17</v>
      </c>
      <c r="X47" s="658"/>
      <c r="Y47" s="658"/>
      <c r="Z47" s="658"/>
      <c r="AA47" s="658"/>
      <c r="AB47" s="658"/>
      <c r="AC47" s="658"/>
      <c r="AD47" s="65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T48" s="269"/>
      <c r="U48" s="269"/>
      <c r="V48" s="264"/>
      <c r="W48" s="654" t="str">
        <f>RAB!G6</f>
        <v>UD SRI REZEKI</v>
      </c>
      <c r="X48" s="655"/>
      <c r="Y48" s="655"/>
      <c r="Z48" s="655"/>
      <c r="AA48" s="655"/>
      <c r="AB48" s="655"/>
      <c r="AC48" s="655"/>
      <c r="AD48" s="656"/>
    </row>
    <row r="49" spans="3:30" ht="12.75" customHeight="1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T49" s="269"/>
      <c r="U49" s="269"/>
      <c r="V49" s="264"/>
      <c r="W49" s="654" t="str">
        <f>RAB!G7</f>
        <v>DS GEMPOLDENOK KEC. DEMPET</v>
      </c>
      <c r="X49" s="655"/>
      <c r="Y49" s="655"/>
      <c r="Z49" s="655"/>
      <c r="AA49" s="655"/>
      <c r="AB49" s="655"/>
      <c r="AC49" s="655"/>
      <c r="AD49" s="656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515"/>
      <c r="X50" s="515"/>
      <c r="Y50" s="515"/>
      <c r="Z50" s="515"/>
      <c r="AA50" s="515"/>
      <c r="AB50" s="515"/>
      <c r="AC50" s="515"/>
      <c r="AD50" s="516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517"/>
      <c r="X51" s="517"/>
      <c r="Y51" s="517"/>
      <c r="Z51" s="517"/>
      <c r="AA51" s="517"/>
      <c r="AB51" s="517"/>
      <c r="AC51" s="517"/>
      <c r="AD51" s="518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6" t="s">
        <v>18</v>
      </c>
      <c r="X52" s="647"/>
      <c r="Y52" s="649" t="s">
        <v>1616</v>
      </c>
      <c r="Z52" s="649"/>
      <c r="AA52" s="649"/>
      <c r="AB52" s="649"/>
      <c r="AC52" s="649"/>
      <c r="AD52" s="65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6" t="s">
        <v>19</v>
      </c>
      <c r="X53" s="647"/>
      <c r="Y53" s="649" t="s">
        <v>1617</v>
      </c>
      <c r="Z53" s="649"/>
      <c r="AA53" s="649"/>
      <c r="AB53" s="649"/>
      <c r="AC53" s="649"/>
      <c r="AD53" s="65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6" t="s">
        <v>20</v>
      </c>
      <c r="X54" s="647"/>
      <c r="Y54" s="648" t="s">
        <v>1618</v>
      </c>
      <c r="Z54" s="648"/>
      <c r="AA54" s="648"/>
      <c r="AB54" s="649"/>
      <c r="AC54" s="649"/>
      <c r="AD54" s="65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1" t="s">
        <v>21</v>
      </c>
      <c r="X55" s="652"/>
      <c r="Y55" s="648" t="s">
        <v>1554</v>
      </c>
      <c r="Z55" s="648"/>
      <c r="AA55" s="648"/>
      <c r="AB55" s="648"/>
      <c r="AC55" s="648"/>
      <c r="AD55" s="653"/>
    </row>
  </sheetData>
  <mergeCells count="99"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AA33:AB33"/>
    <mergeCell ref="AA34:AB34"/>
    <mergeCell ref="AA35:AB35"/>
    <mergeCell ref="AA36:AB36"/>
    <mergeCell ref="AA37:AB37"/>
    <mergeCell ref="W38:X38"/>
    <mergeCell ref="W25:X25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54:X54"/>
    <mergeCell ref="Y54:AA54"/>
    <mergeCell ref="AB54:AD54"/>
    <mergeCell ref="W55:X55"/>
    <mergeCell ref="Y55:AA55"/>
    <mergeCell ref="AB55:AD55"/>
    <mergeCell ref="W48:AD48"/>
    <mergeCell ref="W49:AD49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tabSelected="1" view="pageBreakPreview" zoomScale="55" zoomScaleNormal="55" zoomScaleSheetLayoutView="55" workbookViewId="0">
      <selection activeCell="V28" sqref="V28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2" t="s">
        <v>1531</v>
      </c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703"/>
      <c r="X4" s="703"/>
      <c r="Y4" s="703"/>
      <c r="Z4" s="703"/>
      <c r="AA4" s="703"/>
      <c r="AB4" s="703"/>
      <c r="AC4" s="704"/>
      <c r="AD4" s="217"/>
      <c r="AE4" s="216"/>
      <c r="AF4" s="216"/>
    </row>
    <row r="5" spans="2:32" ht="13.5" customHeight="1">
      <c r="B5" s="215"/>
      <c r="C5" s="215"/>
      <c r="D5" s="705"/>
      <c r="E5" s="706"/>
      <c r="F5" s="706"/>
      <c r="G5" s="706"/>
      <c r="H5" s="706"/>
      <c r="I5" s="706"/>
      <c r="J5" s="706"/>
      <c r="K5" s="706"/>
      <c r="L5" s="706"/>
      <c r="M5" s="706"/>
      <c r="N5" s="706"/>
      <c r="O5" s="706"/>
      <c r="P5" s="706"/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6"/>
      <c r="AC5" s="707"/>
      <c r="AD5" s="217"/>
      <c r="AE5" s="216"/>
      <c r="AF5" s="216"/>
    </row>
    <row r="6" spans="2:32" ht="12.75" customHeight="1">
      <c r="B6" s="215"/>
      <c r="C6" s="215"/>
      <c r="D6" s="705"/>
      <c r="E6" s="706"/>
      <c r="F6" s="706"/>
      <c r="G6" s="706"/>
      <c r="H6" s="706"/>
      <c r="I6" s="706"/>
      <c r="J6" s="706"/>
      <c r="K6" s="706"/>
      <c r="L6" s="706"/>
      <c r="M6" s="706"/>
      <c r="N6" s="706"/>
      <c r="O6" s="706"/>
      <c r="P6" s="706"/>
      <c r="Q6" s="706"/>
      <c r="R6" s="706"/>
      <c r="S6" s="706"/>
      <c r="T6" s="706"/>
      <c r="U6" s="706"/>
      <c r="V6" s="706"/>
      <c r="W6" s="706"/>
      <c r="X6" s="706"/>
      <c r="Y6" s="706"/>
      <c r="Z6" s="706"/>
      <c r="AA6" s="706"/>
      <c r="AB6" s="706"/>
      <c r="AC6" s="707"/>
      <c r="AE6" s="216"/>
      <c r="AF6" s="216"/>
    </row>
    <row r="7" spans="2:32" ht="12.75" customHeight="1" thickBot="1">
      <c r="B7" s="215"/>
      <c r="C7" s="215"/>
      <c r="D7" s="708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1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0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AI45" sqref="AI45"/>
    </sheetView>
  </sheetViews>
  <sheetFormatPr defaultColWidth="9.140625" defaultRowHeight="12.75"/>
  <cols>
    <col min="1" max="1" width="1.7109375" style="427" customWidth="1"/>
    <col min="2" max="2" width="10.7109375" style="427" customWidth="1"/>
    <col min="3" max="3" width="2.5703125" style="427" customWidth="1"/>
    <col min="4" max="20" width="9.140625" style="427"/>
    <col min="21" max="21" width="14.5703125" style="427" customWidth="1"/>
    <col min="22" max="22" width="3.140625" style="427" customWidth="1"/>
    <col min="23" max="26" width="9.140625" style="427"/>
    <col min="27" max="27" width="2.85546875" style="427" customWidth="1"/>
    <col min="28" max="30" width="4.7109375" style="427" customWidth="1"/>
    <col min="31" max="31" width="1.7109375" style="427" customWidth="1"/>
    <col min="32" max="16384" width="9.140625" style="42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6" t="s">
        <v>1530</v>
      </c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182"/>
      <c r="X3" s="438"/>
      <c r="Y3" s="438"/>
      <c r="Z3" s="438"/>
      <c r="AA3" s="438"/>
      <c r="AB3" s="438"/>
      <c r="AC3" s="428"/>
    </row>
    <row r="4" spans="1:29" ht="18.75" customHeight="1">
      <c r="A4" s="181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182"/>
      <c r="X4" s="438"/>
      <c r="Y4" s="438"/>
      <c r="Z4" s="438"/>
      <c r="AA4" s="438"/>
      <c r="AB4" s="438"/>
      <c r="AC4" s="428"/>
    </row>
    <row r="5" spans="1:29" ht="12.75" customHeight="1">
      <c r="A5" s="181"/>
      <c r="C5" s="429"/>
      <c r="W5" s="182"/>
    </row>
    <row r="6" spans="1:29" ht="12.75" customHeight="1">
      <c r="A6" s="181"/>
      <c r="C6" s="711" t="s">
        <v>1630</v>
      </c>
      <c r="D6" s="711"/>
      <c r="E6" s="711"/>
      <c r="F6" s="711"/>
      <c r="G6" s="711"/>
      <c r="H6" s="711"/>
      <c r="I6" s="711"/>
      <c r="J6" s="711"/>
      <c r="K6" s="711"/>
      <c r="L6" s="711"/>
      <c r="M6" s="711"/>
      <c r="W6" s="182"/>
      <c r="Y6" s="430"/>
      <c r="Z6" s="430"/>
      <c r="AA6" s="430"/>
      <c r="AB6" s="431"/>
      <c r="AC6" s="431"/>
    </row>
    <row r="7" spans="1:29" ht="18" customHeight="1">
      <c r="A7" s="181"/>
      <c r="C7" s="711"/>
      <c r="D7" s="711"/>
      <c r="E7" s="711"/>
      <c r="F7" s="711"/>
      <c r="G7" s="711"/>
      <c r="H7" s="711"/>
      <c r="I7" s="711"/>
      <c r="J7" s="711"/>
      <c r="K7" s="711"/>
      <c r="L7" s="711"/>
      <c r="M7" s="711"/>
      <c r="W7" s="182"/>
      <c r="Y7" s="430"/>
      <c r="Z7" s="430"/>
      <c r="AA7" s="430"/>
      <c r="AB7" s="431"/>
      <c r="AC7" s="43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3"/>
      <c r="S54" s="433"/>
      <c r="T54" s="433"/>
      <c r="U54" s="434"/>
      <c r="V54" s="434"/>
      <c r="W54" s="183"/>
      <c r="X54" s="434"/>
      <c r="Y54" s="434"/>
      <c r="Z54" s="434"/>
      <c r="AA54" s="434"/>
      <c r="AB54" s="434"/>
      <c r="AC54" s="434"/>
      <c r="AD54" s="43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9"/>
      <c r="S55" s="440"/>
      <c r="T55" s="440"/>
      <c r="U55" s="186"/>
      <c r="V55" s="187"/>
      <c r="W55" s="188"/>
      <c r="X55" s="434"/>
      <c r="Y55" s="434"/>
      <c r="Z55" s="434"/>
      <c r="AA55" s="435"/>
      <c r="AB55" s="435"/>
      <c r="AC55" s="435"/>
      <c r="AD55" s="435"/>
    </row>
    <row r="56" spans="1:30">
      <c r="U56" s="434"/>
      <c r="V56" s="435"/>
      <c r="W56" s="434"/>
      <c r="X56" s="434"/>
      <c r="Y56" s="434"/>
      <c r="Z56" s="434"/>
      <c r="AA56" s="435"/>
      <c r="AB56" s="434"/>
      <c r="AC56" s="434"/>
      <c r="AD56" s="434"/>
    </row>
    <row r="57" spans="1:30">
      <c r="U57" s="434"/>
      <c r="V57" s="435"/>
      <c r="W57" s="434"/>
      <c r="X57" s="434"/>
      <c r="Y57" s="434"/>
      <c r="Z57" s="434"/>
      <c r="AA57" s="434"/>
      <c r="AB57" s="434"/>
      <c r="AC57" s="434"/>
      <c r="AD57" s="434"/>
    </row>
    <row r="58" spans="1:30">
      <c r="U58" s="434"/>
      <c r="V58" s="435"/>
      <c r="W58" s="434"/>
      <c r="X58" s="434"/>
      <c r="Y58" s="434"/>
      <c r="Z58" s="434"/>
      <c r="AA58" s="434"/>
      <c r="AB58" s="434"/>
      <c r="AC58" s="434"/>
      <c r="AD58" s="434"/>
    </row>
    <row r="59" spans="1:30">
      <c r="U59" s="434"/>
      <c r="V59" s="435"/>
      <c r="W59" s="434"/>
      <c r="X59" s="434"/>
      <c r="Y59" s="434"/>
      <c r="Z59" s="434"/>
      <c r="AA59" s="434"/>
      <c r="AB59" s="434"/>
      <c r="AC59" s="434"/>
      <c r="AD59" s="434"/>
    </row>
    <row r="60" spans="1:30">
      <c r="U60" s="434"/>
      <c r="V60" s="435"/>
      <c r="W60" s="434"/>
      <c r="X60" s="434"/>
      <c r="Y60" s="434"/>
      <c r="Z60" s="434"/>
      <c r="AA60" s="435"/>
      <c r="AB60" s="434"/>
      <c r="AC60" s="434"/>
      <c r="AD60" s="434"/>
    </row>
    <row r="61" spans="1:30">
      <c r="U61" s="434"/>
      <c r="V61" s="435"/>
      <c r="W61" s="434"/>
      <c r="X61" s="434"/>
      <c r="Y61" s="434"/>
      <c r="Z61" s="434"/>
      <c r="AA61" s="434"/>
      <c r="AB61" s="434"/>
      <c r="AC61" s="434"/>
      <c r="AD61" s="434"/>
    </row>
    <row r="62" spans="1:30">
      <c r="U62" s="434"/>
      <c r="V62" s="435"/>
      <c r="W62" s="434"/>
      <c r="X62" s="434"/>
      <c r="Y62" s="434"/>
      <c r="Z62" s="434"/>
      <c r="AA62" s="434"/>
      <c r="AB62" s="434"/>
      <c r="AC62" s="434"/>
      <c r="AD62" s="434"/>
    </row>
    <row r="63" spans="1:30">
      <c r="U63" s="434"/>
      <c r="V63" s="435"/>
      <c r="W63" s="434"/>
      <c r="X63" s="434"/>
      <c r="Y63" s="434"/>
      <c r="Z63" s="434"/>
      <c r="AA63" s="434"/>
      <c r="AB63" s="434"/>
      <c r="AC63" s="434"/>
      <c r="AD63" s="434"/>
    </row>
    <row r="64" spans="1:30">
      <c r="U64" s="434"/>
      <c r="V64" s="435"/>
      <c r="W64" s="434"/>
      <c r="X64" s="434"/>
      <c r="Y64" s="434"/>
      <c r="Z64" s="434"/>
      <c r="AA64" s="434"/>
      <c r="AB64" s="434"/>
      <c r="AC64" s="434"/>
      <c r="AD64" s="434"/>
    </row>
    <row r="65" spans="5:30">
      <c r="U65" s="434"/>
      <c r="V65" s="435"/>
      <c r="W65" s="434"/>
      <c r="X65" s="434"/>
      <c r="Y65" s="434"/>
      <c r="Z65" s="434"/>
      <c r="AA65" s="434"/>
      <c r="AB65" s="434"/>
      <c r="AC65" s="434"/>
      <c r="AD65" s="434"/>
    </row>
    <row r="66" spans="5:30" ht="6" customHeight="1"/>
    <row r="73" spans="5:30">
      <c r="M73" s="436"/>
    </row>
    <row r="74" spans="5:30" ht="15" customHeight="1">
      <c r="E74" s="437"/>
      <c r="M74" s="436"/>
    </row>
    <row r="75" spans="5:30" ht="15" customHeight="1">
      <c r="E75" s="437"/>
      <c r="M75" s="436"/>
    </row>
    <row r="76" spans="5:30" ht="15" customHeight="1">
      <c r="E76" s="437"/>
      <c r="M76" s="436"/>
    </row>
    <row r="77" spans="5:30" ht="15" customHeight="1">
      <c r="E77" s="437"/>
      <c r="M77" s="436"/>
    </row>
    <row r="78" spans="5:30" ht="15" customHeight="1">
      <c r="E78" s="437"/>
      <c r="M78" s="436"/>
    </row>
    <row r="79" spans="5:30" ht="15" customHeight="1">
      <c r="E79" s="437"/>
      <c r="M79" s="436"/>
    </row>
    <row r="80" spans="5:30" ht="15" customHeight="1">
      <c r="E80" s="437"/>
      <c r="M80" s="436"/>
    </row>
    <row r="81" spans="5:13" ht="15" customHeight="1">
      <c r="E81" s="437"/>
      <c r="M81" s="436"/>
    </row>
    <row r="82" spans="5:13" ht="15" customHeight="1">
      <c r="E82" s="437"/>
      <c r="M82" s="436"/>
    </row>
    <row r="83" spans="5:13" ht="15" customHeight="1">
      <c r="E83" s="437"/>
      <c r="M83" s="436"/>
    </row>
    <row r="84" spans="5:13" ht="15" customHeight="1">
      <c r="E84" s="437"/>
      <c r="M84" s="436"/>
    </row>
    <row r="85" spans="5:13" ht="15" customHeight="1">
      <c r="E85" s="437"/>
      <c r="M85" s="436"/>
    </row>
    <row r="86" spans="5:13" ht="15" customHeight="1">
      <c r="E86" s="437"/>
      <c r="M86" s="436"/>
    </row>
    <row r="87" spans="5:13" ht="15" customHeight="1">
      <c r="E87" s="437"/>
      <c r="M87" s="436"/>
    </row>
    <row r="88" spans="5:13" ht="15" customHeight="1">
      <c r="E88" s="437"/>
      <c r="M88" s="436"/>
    </row>
    <row r="89" spans="5:13" ht="15" customHeight="1">
      <c r="E89" s="437"/>
      <c r="M89" s="436"/>
    </row>
    <row r="90" spans="5:13" ht="15" customHeight="1">
      <c r="E90" s="437"/>
      <c r="M90" s="436"/>
    </row>
    <row r="91" spans="5:13" ht="15" customHeight="1">
      <c r="E91" s="437"/>
      <c r="M91" s="436"/>
    </row>
    <row r="92" spans="5:13" ht="15" customHeight="1">
      <c r="E92" s="437"/>
      <c r="M92" s="436"/>
    </row>
    <row r="93" spans="5:13" ht="15" customHeight="1">
      <c r="E93" s="437"/>
      <c r="M93" s="436"/>
    </row>
    <row r="94" spans="5:13" ht="15" customHeight="1">
      <c r="E94" s="437"/>
      <c r="M94" s="436"/>
    </row>
    <row r="95" spans="5:13" ht="15" customHeight="1">
      <c r="E95" s="437"/>
      <c r="M95" s="436"/>
    </row>
    <row r="96" spans="5:13" ht="15" customHeight="1">
      <c r="E96" s="437"/>
    </row>
    <row r="97" spans="5:5" ht="15" customHeight="1">
      <c r="E97" s="437"/>
    </row>
    <row r="98" spans="5:5" ht="15" customHeight="1">
      <c r="E98" s="437"/>
    </row>
    <row r="99" spans="5:5" ht="15" customHeight="1">
      <c r="E99" s="437"/>
    </row>
    <row r="100" spans="5:5" ht="15" customHeight="1">
      <c r="E100" s="437"/>
    </row>
    <row r="101" spans="5:5" ht="15" customHeight="1">
      <c r="E101" s="437"/>
    </row>
    <row r="102" spans="5:5" ht="15" customHeight="1">
      <c r="E102" s="437"/>
    </row>
    <row r="103" spans="5:5" ht="15" customHeight="1">
      <c r="E103" s="437"/>
    </row>
    <row r="104" spans="5:5" ht="15" customHeight="1">
      <c r="E104" s="437"/>
    </row>
    <row r="105" spans="5:5" ht="15" customHeight="1">
      <c r="E105" s="437"/>
    </row>
    <row r="106" spans="5:5" ht="15" customHeight="1">
      <c r="E106" s="437"/>
    </row>
    <row r="107" spans="5:5" ht="15" customHeight="1">
      <c r="E107" s="437"/>
    </row>
    <row r="108" spans="5:5" ht="15" customHeight="1">
      <c r="E108" s="437"/>
    </row>
    <row r="109" spans="5:5" ht="15" customHeight="1">
      <c r="E109" s="437"/>
    </row>
    <row r="110" spans="5:5" ht="15" customHeight="1">
      <c r="E110" s="437"/>
    </row>
    <row r="111" spans="5:5" ht="15" customHeight="1">
      <c r="E111" s="437"/>
    </row>
    <row r="112" spans="5:5" ht="15" customHeight="1">
      <c r="E112" s="437"/>
    </row>
    <row r="113" spans="5:5" ht="15" customHeight="1">
      <c r="E113" s="437"/>
    </row>
    <row r="114" spans="5:5" ht="15" customHeight="1">
      <c r="E114" s="437"/>
    </row>
    <row r="115" spans="5:5" ht="15" customHeight="1">
      <c r="E115" s="437"/>
    </row>
    <row r="116" spans="5:5" ht="15" customHeight="1">
      <c r="E116" s="437"/>
    </row>
    <row r="117" spans="5:5" ht="15" customHeight="1">
      <c r="E117" s="437"/>
    </row>
    <row r="118" spans="5:5" ht="15" customHeight="1">
      <c r="E118" s="437"/>
    </row>
    <row r="119" spans="5:5" ht="15" customHeight="1">
      <c r="E119" s="437"/>
    </row>
    <row r="120" spans="5:5">
      <c r="E120" s="43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9">
        <v>1</v>
      </c>
    </row>
    <row r="2" spans="1:11" ht="48" customHeight="1">
      <c r="A2" s="459">
        <v>3</v>
      </c>
    </row>
    <row r="4" spans="1:11" ht="48" customHeight="1">
      <c r="C4" s="459">
        <v>1</v>
      </c>
    </row>
    <row r="5" spans="1:11" ht="48" customHeight="1">
      <c r="C5" s="459">
        <v>3</v>
      </c>
    </row>
    <row r="7" spans="1:11" ht="48" customHeight="1">
      <c r="E7" s="459">
        <v>1</v>
      </c>
    </row>
    <row r="8" spans="1:11" ht="48" customHeight="1">
      <c r="E8" s="459">
        <v>3</v>
      </c>
    </row>
    <row r="10" spans="1:11" ht="48" customHeight="1">
      <c r="G10" s="459">
        <v>3</v>
      </c>
    </row>
    <row r="11" spans="1:11" ht="48" customHeight="1">
      <c r="G11" s="459">
        <v>1</v>
      </c>
    </row>
    <row r="13" spans="1:11" ht="48" customHeight="1">
      <c r="I13" s="459">
        <v>3</v>
      </c>
    </row>
    <row r="14" spans="1:11" ht="48" customHeight="1">
      <c r="I14" s="459">
        <v>1</v>
      </c>
    </row>
    <row r="16" spans="1:11" ht="48" customHeight="1">
      <c r="K16" s="459">
        <v>3</v>
      </c>
    </row>
    <row r="17" spans="11:21" ht="48" customHeight="1">
      <c r="K17" s="459">
        <v>1</v>
      </c>
    </row>
    <row r="19" spans="11:21" ht="48" customHeight="1">
      <c r="M19" s="459">
        <v>3</v>
      </c>
    </row>
    <row r="20" spans="11:21" ht="48" customHeight="1">
      <c r="M20" s="459">
        <v>1</v>
      </c>
    </row>
    <row r="22" spans="11:21" ht="48" customHeight="1">
      <c r="O22" s="459">
        <v>3</v>
      </c>
    </row>
    <row r="23" spans="11:21" ht="48" customHeight="1">
      <c r="O23" s="459">
        <v>1</v>
      </c>
    </row>
    <row r="25" spans="11:21" ht="57" customHeight="1">
      <c r="Q25" s="459">
        <v>3</v>
      </c>
    </row>
    <row r="26" spans="11:21" ht="57" customHeight="1">
      <c r="Q26" s="459">
        <v>1</v>
      </c>
    </row>
    <row r="28" spans="11:21" ht="57" customHeight="1">
      <c r="S28" s="459">
        <v>3</v>
      </c>
    </row>
    <row r="29" spans="11:21" ht="57" customHeight="1">
      <c r="S29" s="459">
        <v>1</v>
      </c>
    </row>
    <row r="31" spans="11:21" ht="57" customHeight="1">
      <c r="U31" s="459">
        <v>3</v>
      </c>
    </row>
    <row r="32" spans="11:21" ht="57" customHeight="1">
      <c r="U32" s="45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2023-02-27T08:00:50Z</cp:lastPrinted>
  <dcterms:created xsi:type="dcterms:W3CDTF">2011-02-06T11:57:38Z</dcterms:created>
  <dcterms:modified xsi:type="dcterms:W3CDTF">2024-07-29T07:04:56Z</dcterms:modified>
</cp:coreProperties>
</file>