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E3BF0503-BB99-4D60-A106-4B821E308555}" xr6:coauthVersionLast="47" xr6:coauthVersionMax="47" xr10:uidLastSave="{00000000-0000-0000-0000-000000000000}"/>
  <bookViews>
    <workbookView xWindow="-120" yWindow="-120" windowWidth="1560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F50" i="11" l="1"/>
  <c r="F49" i="11"/>
  <c r="F48" i="11"/>
  <c r="F47" i="11"/>
  <c r="F46" i="11"/>
  <c r="F45" i="11"/>
  <c r="F44" i="11"/>
  <c r="F43" i="11"/>
  <c r="F42" i="11"/>
  <c r="G40" i="11"/>
  <c r="G41" i="11"/>
  <c r="G42" i="11"/>
  <c r="G43" i="11"/>
  <c r="G44" i="11"/>
  <c r="G45" i="11"/>
  <c r="G46" i="11"/>
  <c r="G47" i="11"/>
  <c r="G48" i="11"/>
  <c r="G49" i="11"/>
  <c r="G50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J45" i="11" s="1"/>
  <c r="E45" i="11"/>
  <c r="D46" i="11"/>
  <c r="E46" i="11"/>
  <c r="D47" i="11"/>
  <c r="H47" i="11" s="1"/>
  <c r="E47" i="11"/>
  <c r="D48" i="11"/>
  <c r="J48" i="11" s="1"/>
  <c r="E48" i="11"/>
  <c r="D49" i="11"/>
  <c r="J49" i="11" s="1"/>
  <c r="E49" i="11"/>
  <c r="D50" i="11"/>
  <c r="I50" i="11" s="1"/>
  <c r="E5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I46" i="11" l="1"/>
  <c r="I45" i="11"/>
  <c r="I41" i="11"/>
  <c r="I42" i="11"/>
  <c r="I49" i="11"/>
  <c r="H46" i="11"/>
  <c r="J44" i="11"/>
  <c r="H42" i="11"/>
  <c r="J40" i="11"/>
  <c r="H49" i="11"/>
  <c r="I48" i="11"/>
  <c r="J47" i="11"/>
  <c r="H45" i="11"/>
  <c r="I44" i="11"/>
  <c r="J43" i="11"/>
  <c r="H41" i="11"/>
  <c r="I40" i="11"/>
  <c r="K40" i="11" s="1"/>
  <c r="J50" i="11"/>
  <c r="H48" i="11"/>
  <c r="I47" i="11"/>
  <c r="J46" i="11"/>
  <c r="I43" i="11"/>
  <c r="J42" i="11"/>
  <c r="H50" i="11"/>
  <c r="K49" i="11" l="1"/>
  <c r="K43" i="11"/>
  <c r="K45" i="11"/>
  <c r="K47" i="11"/>
  <c r="K44" i="11"/>
  <c r="K50" i="11"/>
  <c r="K46" i="11"/>
  <c r="K48" i="11"/>
  <c r="K41" i="11"/>
  <c r="K42" i="11"/>
  <c r="G92" i="11" l="1"/>
  <c r="D92" i="11"/>
  <c r="I92" i="11" s="1"/>
  <c r="E92" i="11"/>
  <c r="D19" i="11"/>
  <c r="F83" i="11"/>
  <c r="F81" i="11"/>
  <c r="F80" i="11"/>
  <c r="F79" i="11"/>
  <c r="J92" i="11" l="1"/>
  <c r="H92" i="11"/>
  <c r="K92" i="11" l="1"/>
  <c r="G91" i="11" l="1"/>
  <c r="D91" i="11"/>
  <c r="H91" i="11" s="1"/>
  <c r="E91" i="11"/>
  <c r="D24" i="11"/>
  <c r="G39" i="11"/>
  <c r="D39" i="11"/>
  <c r="H39" i="11" s="1"/>
  <c r="E39" i="11"/>
  <c r="J91" i="11" l="1"/>
  <c r="I91" i="11"/>
  <c r="J39" i="11"/>
  <c r="I39" i="11"/>
  <c r="K91" i="11" l="1"/>
  <c r="K39" i="11"/>
  <c r="G79" i="11" l="1"/>
  <c r="G80" i="11"/>
  <c r="G81" i="11"/>
  <c r="G82" i="11"/>
  <c r="G83" i="11"/>
  <c r="D16" i="11"/>
  <c r="D17" i="11"/>
  <c r="F90" i="11" l="1"/>
  <c r="F89" i="11"/>
  <c r="F88" i="11"/>
  <c r="F87" i="11"/>
  <c r="F86" i="11"/>
  <c r="D83" i="11"/>
  <c r="H83" i="11" s="1"/>
  <c r="E83" i="11"/>
  <c r="G77" i="11"/>
  <c r="G78" i="11"/>
  <c r="G84" i="11"/>
  <c r="G85" i="11"/>
  <c r="G86" i="11"/>
  <c r="G87" i="11"/>
  <c r="G88" i="11"/>
  <c r="G89" i="11"/>
  <c r="G90" i="11"/>
  <c r="G93" i="11"/>
  <c r="D77" i="11"/>
  <c r="H77" i="11" s="1"/>
  <c r="E77" i="11"/>
  <c r="D78" i="11"/>
  <c r="J78" i="11" s="1"/>
  <c r="E78" i="11"/>
  <c r="D79" i="11"/>
  <c r="I79" i="11" s="1"/>
  <c r="E79" i="11"/>
  <c r="D80" i="11"/>
  <c r="E80" i="11"/>
  <c r="D81" i="11"/>
  <c r="E81" i="11"/>
  <c r="D82" i="11"/>
  <c r="E82" i="11"/>
  <c r="D84" i="11"/>
  <c r="I84" i="11" s="1"/>
  <c r="E84" i="11"/>
  <c r="D85" i="11"/>
  <c r="H85" i="11" s="1"/>
  <c r="E85" i="11"/>
  <c r="D86" i="11"/>
  <c r="H86" i="11" s="1"/>
  <c r="E86" i="11"/>
  <c r="D87" i="11"/>
  <c r="J87" i="11" s="1"/>
  <c r="E87" i="11"/>
  <c r="D88" i="11"/>
  <c r="E88" i="11"/>
  <c r="D89" i="11"/>
  <c r="H89" i="11" s="1"/>
  <c r="E89" i="11"/>
  <c r="D90" i="11"/>
  <c r="H90" i="11" s="1"/>
  <c r="E90" i="11"/>
  <c r="D93" i="11"/>
  <c r="E93" i="11"/>
  <c r="G15" i="11"/>
  <c r="G16" i="11"/>
  <c r="G17" i="11"/>
  <c r="G18" i="11"/>
  <c r="J93" i="11" l="1"/>
  <c r="I88" i="11"/>
  <c r="J83" i="11"/>
  <c r="I83" i="11"/>
  <c r="H81" i="11"/>
  <c r="J82" i="11"/>
  <c r="H80" i="11"/>
  <c r="J86" i="11"/>
  <c r="H84" i="11"/>
  <c r="H78" i="11"/>
  <c r="I87" i="11"/>
  <c r="J81" i="11"/>
  <c r="H79" i="11"/>
  <c r="H87" i="11"/>
  <c r="J85" i="11"/>
  <c r="I82" i="11"/>
  <c r="J77" i="11"/>
  <c r="H88" i="11"/>
  <c r="H82" i="11"/>
  <c r="J80" i="11"/>
  <c r="I78" i="11"/>
  <c r="I93" i="11"/>
  <c r="J90" i="11"/>
  <c r="H93" i="11"/>
  <c r="I90" i="11"/>
  <c r="J89" i="11"/>
  <c r="I86" i="11"/>
  <c r="I81" i="11"/>
  <c r="I77" i="11"/>
  <c r="I89" i="11"/>
  <c r="K89" i="11" s="1"/>
  <c r="J88" i="11"/>
  <c r="I85" i="11"/>
  <c r="J84" i="11"/>
  <c r="I80" i="11"/>
  <c r="J79" i="11"/>
  <c r="K86" i="11" l="1"/>
  <c r="K83" i="11"/>
  <c r="K82" i="11"/>
  <c r="K80" i="11"/>
  <c r="K90" i="11"/>
  <c r="K88" i="11"/>
  <c r="K87" i="11"/>
  <c r="K85" i="11"/>
  <c r="K81" i="11"/>
  <c r="K79" i="11"/>
  <c r="K84" i="11"/>
  <c r="K77" i="11"/>
  <c r="K93" i="11"/>
  <c r="K78" i="11"/>
  <c r="D8" i="59" l="1"/>
  <c r="E16" i="11"/>
  <c r="E17" i="11"/>
  <c r="E18" i="11"/>
  <c r="H17" i="11" l="1"/>
  <c r="I17" i="11"/>
  <c r="J17" i="11"/>
  <c r="K17" i="11" l="1"/>
  <c r="D76" i="11" l="1"/>
  <c r="H76" i="11" s="1"/>
  <c r="D94" i="11"/>
  <c r="J94" i="11" s="1"/>
  <c r="G76" i="11"/>
  <c r="D15" i="11"/>
  <c r="D18" i="11"/>
  <c r="H19" i="11"/>
  <c r="D20" i="11"/>
  <c r="H20" i="11" s="1"/>
  <c r="G19" i="11"/>
  <c r="G20" i="11"/>
  <c r="G21" i="11"/>
  <c r="K6" i="60"/>
  <c r="M95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72" i="11"/>
  <c r="E72" i="11"/>
  <c r="D72" i="11"/>
  <c r="G71" i="11"/>
  <c r="E71" i="11"/>
  <c r="D71" i="11"/>
  <c r="H71" i="11" s="1"/>
  <c r="G70" i="11"/>
  <c r="E70" i="11"/>
  <c r="D70" i="11"/>
  <c r="G69" i="11"/>
  <c r="E69" i="11"/>
  <c r="D69" i="11"/>
  <c r="J69" i="11" s="1"/>
  <c r="G68" i="11"/>
  <c r="E68" i="11"/>
  <c r="D68" i="11"/>
  <c r="I68" i="11" s="1"/>
  <c r="G67" i="11"/>
  <c r="E67" i="11"/>
  <c r="D67" i="11"/>
  <c r="G66" i="11"/>
  <c r="E66" i="11"/>
  <c r="D66" i="11"/>
  <c r="H66" i="11" s="1"/>
  <c r="G65" i="11"/>
  <c r="E65" i="11"/>
  <c r="D65" i="11"/>
  <c r="G64" i="11"/>
  <c r="E64" i="11"/>
  <c r="D64" i="11"/>
  <c r="G63" i="11"/>
  <c r="E63" i="11"/>
  <c r="D63" i="11"/>
  <c r="G62" i="11"/>
  <c r="E62" i="11"/>
  <c r="D62" i="11"/>
  <c r="J62" i="11" s="1"/>
  <c r="G61" i="11"/>
  <c r="E61" i="11"/>
  <c r="D61" i="11"/>
  <c r="J61" i="11" s="1"/>
  <c r="G60" i="11"/>
  <c r="E60" i="11"/>
  <c r="D60" i="11"/>
  <c r="G59" i="11"/>
  <c r="E59" i="11"/>
  <c r="D59" i="11"/>
  <c r="G58" i="11"/>
  <c r="E58" i="11"/>
  <c r="D58" i="11"/>
  <c r="G57" i="11"/>
  <c r="E57" i="11"/>
  <c r="D57" i="11"/>
  <c r="G56" i="11"/>
  <c r="E56" i="11"/>
  <c r="D56" i="11"/>
  <c r="J56" i="11" s="1"/>
  <c r="G55" i="11"/>
  <c r="E55" i="11"/>
  <c r="D55" i="11"/>
  <c r="G54" i="11"/>
  <c r="E54" i="11"/>
  <c r="D54" i="11"/>
  <c r="G53" i="11"/>
  <c r="E53" i="11"/>
  <c r="D53" i="11"/>
  <c r="G52" i="11"/>
  <c r="E52" i="11"/>
  <c r="D52" i="11"/>
  <c r="G51" i="11"/>
  <c r="E51" i="11"/>
  <c r="D51" i="11"/>
  <c r="M51" i="11"/>
  <c r="D14" i="59"/>
  <c r="D5" i="60" s="1"/>
  <c r="K5" i="60" s="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76" i="11"/>
  <c r="D73" i="11"/>
  <c r="E73" i="11"/>
  <c r="D74" i="11"/>
  <c r="E74" i="11"/>
  <c r="M76" i="11"/>
  <c r="D75" i="11"/>
  <c r="E75" i="11"/>
  <c r="E94" i="11"/>
  <c r="G94" i="11"/>
  <c r="D14" i="11"/>
  <c r="H14" i="11" s="1"/>
  <c r="E14" i="11"/>
  <c r="G14" i="11"/>
  <c r="K19" i="60"/>
  <c r="D19" i="60"/>
  <c r="M94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95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5" i="11"/>
  <c r="D96" i="11"/>
  <c r="E96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75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74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5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3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73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5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52" i="11" l="1"/>
  <c r="H26" i="11"/>
  <c r="J38" i="11"/>
  <c r="H15" i="11"/>
  <c r="I15" i="11"/>
  <c r="J15" i="11"/>
  <c r="H18" i="11"/>
  <c r="I18" i="11"/>
  <c r="J18" i="11"/>
  <c r="J16" i="11"/>
  <c r="H16" i="11"/>
  <c r="I16" i="11"/>
  <c r="H75" i="11"/>
  <c r="D312" i="29"/>
  <c r="E312" i="29" s="1"/>
  <c r="D802" i="41"/>
  <c r="E802" i="41" s="1"/>
  <c r="D22" i="59"/>
  <c r="K8" i="60" s="1"/>
  <c r="D21" i="59"/>
  <c r="M86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87" i="11"/>
  <c r="M88" i="11"/>
  <c r="M90" i="11"/>
  <c r="M89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75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73" i="11"/>
  <c r="I73" i="11"/>
  <c r="F806" i="41"/>
  <c r="E1081" i="41"/>
  <c r="E1027" i="41"/>
  <c r="F861" i="41"/>
  <c r="E861" i="41"/>
  <c r="E230" i="29"/>
  <c r="E346" i="29"/>
  <c r="E274" i="29"/>
  <c r="F274" i="29"/>
  <c r="H96" i="11"/>
  <c r="J96" i="11"/>
  <c r="I37" i="11"/>
  <c r="J35" i="11"/>
  <c r="J75" i="11"/>
  <c r="H33" i="11"/>
  <c r="I34" i="11"/>
  <c r="E340" i="29"/>
  <c r="H28" i="11"/>
  <c r="I33" i="11"/>
  <c r="I56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56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74" i="11"/>
  <c r="I74" i="11"/>
  <c r="E348" i="29"/>
  <c r="E59" i="39"/>
  <c r="E290" i="29"/>
  <c r="I28" i="11"/>
  <c r="F323" i="29"/>
  <c r="E260" i="29"/>
  <c r="E236" i="29"/>
  <c r="E73" i="39"/>
  <c r="E341" i="29"/>
  <c r="F341" i="29"/>
  <c r="F299" i="29"/>
  <c r="J72" i="11"/>
  <c r="H72" i="11"/>
  <c r="I72" i="11"/>
  <c r="F300" i="29"/>
  <c r="E284" i="29"/>
  <c r="J19" i="11"/>
  <c r="F233" i="29"/>
  <c r="E58" i="39"/>
  <c r="F319" i="29"/>
  <c r="F310" i="29"/>
  <c r="I36" i="11"/>
  <c r="I31" i="11"/>
  <c r="H74" i="11"/>
  <c r="I35" i="11"/>
  <c r="H73" i="11"/>
  <c r="J22" i="11"/>
  <c r="J20" i="11"/>
  <c r="M84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51" i="11"/>
  <c r="H51" i="11"/>
  <c r="H55" i="11"/>
  <c r="J55" i="11"/>
  <c r="I55" i="11"/>
  <c r="J59" i="11"/>
  <c r="I59" i="11"/>
  <c r="H59" i="11"/>
  <c r="J63" i="11"/>
  <c r="H63" i="11"/>
  <c r="I67" i="11"/>
  <c r="J67" i="11"/>
  <c r="H67" i="11"/>
  <c r="J25" i="11"/>
  <c r="H25" i="11"/>
  <c r="I51" i="11"/>
  <c r="I54" i="11"/>
  <c r="H54" i="11"/>
  <c r="J54" i="11"/>
  <c r="I58" i="11"/>
  <c r="J58" i="11"/>
  <c r="H58" i="11"/>
  <c r="H62" i="11"/>
  <c r="I62" i="11"/>
  <c r="I66" i="11"/>
  <c r="J66" i="11"/>
  <c r="I70" i="11"/>
  <c r="H70" i="11"/>
  <c r="J70" i="11"/>
  <c r="I96" i="11"/>
  <c r="I32" i="11"/>
  <c r="J24" i="11"/>
  <c r="H24" i="11"/>
  <c r="I24" i="11"/>
  <c r="J53" i="11"/>
  <c r="H53" i="11"/>
  <c r="I53" i="11"/>
  <c r="J57" i="11"/>
  <c r="H57" i="11"/>
  <c r="I57" i="11"/>
  <c r="I61" i="11"/>
  <c r="H61" i="11"/>
  <c r="J65" i="11"/>
  <c r="H65" i="11"/>
  <c r="I65" i="11"/>
  <c r="H69" i="11"/>
  <c r="I69" i="11"/>
  <c r="I63" i="11"/>
  <c r="H52" i="11"/>
  <c r="J52" i="11"/>
  <c r="I60" i="11"/>
  <c r="H60" i="11"/>
  <c r="J60" i="11"/>
  <c r="J64" i="11"/>
  <c r="H64" i="11"/>
  <c r="I64" i="11"/>
  <c r="J68" i="11"/>
  <c r="H68" i="11"/>
  <c r="I71" i="11"/>
  <c r="I94" i="11"/>
  <c r="J76" i="11"/>
  <c r="H31" i="11"/>
  <c r="J71" i="11"/>
  <c r="I19" i="11"/>
  <c r="H94" i="11"/>
  <c r="I76" i="11"/>
  <c r="H38" i="11"/>
  <c r="I23" i="11"/>
  <c r="F781" i="41" l="1"/>
  <c r="F291" i="29"/>
  <c r="F779" i="41"/>
  <c r="F289" i="29"/>
  <c r="F805" i="41"/>
  <c r="F315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77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76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66" i="11"/>
  <c r="M66" i="11" s="1"/>
  <c r="K56" i="11"/>
  <c r="M56" i="11" s="1"/>
  <c r="K75" i="11"/>
  <c r="M75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93" i="11"/>
  <c r="K96" i="11"/>
  <c r="K72" i="11"/>
  <c r="M72" i="11" s="1"/>
  <c r="K73" i="11"/>
  <c r="M73" i="11" s="1"/>
  <c r="K23" i="11"/>
  <c r="M23" i="11" s="1"/>
  <c r="F350" i="29"/>
  <c r="K69" i="11"/>
  <c r="M69" i="11" s="1"/>
  <c r="K71" i="11"/>
  <c r="M71" i="11" s="1"/>
  <c r="K52" i="11"/>
  <c r="M52" i="11" s="1"/>
  <c r="K32" i="11"/>
  <c r="M32" i="11" s="1"/>
  <c r="K62" i="11"/>
  <c r="M62" i="11" s="1"/>
  <c r="K55" i="11"/>
  <c r="M55" i="11" s="1"/>
  <c r="K21" i="11"/>
  <c r="M21" i="11" s="1"/>
  <c r="K31" i="11"/>
  <c r="M31" i="11" s="1"/>
  <c r="K60" i="11"/>
  <c r="M60" i="11" s="1"/>
  <c r="K74" i="11"/>
  <c r="M74" i="11" s="1"/>
  <c r="K94" i="11"/>
  <c r="K57" i="11"/>
  <c r="M57" i="11" s="1"/>
  <c r="K24" i="11"/>
  <c r="M24" i="11" s="1"/>
  <c r="H95" i="11"/>
  <c r="H98" i="11" s="1"/>
  <c r="F312" i="29"/>
  <c r="F339" i="29"/>
  <c r="F226" i="29"/>
  <c r="F345" i="29"/>
  <c r="F239" i="29"/>
  <c r="I95" i="11"/>
  <c r="I98" i="11" s="1"/>
  <c r="J95" i="11"/>
  <c r="J98" i="11" s="1"/>
  <c r="K61" i="11"/>
  <c r="M61" i="11" s="1"/>
  <c r="K70" i="11"/>
  <c r="M70" i="11" s="1"/>
  <c r="K63" i="11"/>
  <c r="M63" i="11" s="1"/>
  <c r="K51" i="11"/>
  <c r="K64" i="11"/>
  <c r="M64" i="11" s="1"/>
  <c r="K67" i="11"/>
  <c r="M67" i="11" s="1"/>
  <c r="K68" i="11"/>
  <c r="M68" i="11" s="1"/>
  <c r="K65" i="11"/>
  <c r="M65" i="11" s="1"/>
  <c r="K53" i="11"/>
  <c r="M53" i="11" s="1"/>
  <c r="K58" i="11"/>
  <c r="M58" i="11" s="1"/>
  <c r="K54" i="11"/>
  <c r="M54" i="11" s="1"/>
  <c r="K59" i="11"/>
  <c r="M59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99" i="11"/>
  <c r="J100" i="11" s="1"/>
  <c r="H99" i="11"/>
  <c r="H100" i="11" s="1"/>
  <c r="I99" i="11"/>
  <c r="I100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5" i="11"/>
  <c r="K98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106" i="29" l="1"/>
  <c r="H106" i="29" s="1"/>
  <c r="D28" i="39"/>
  <c r="H28" i="39" s="1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I58" i="29" s="1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99" i="11"/>
  <c r="K100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28" i="39" l="1"/>
  <c r="K28" i="39" s="1"/>
  <c r="H113" i="29"/>
  <c r="I124" i="29"/>
  <c r="K124" i="29" s="1"/>
  <c r="J85" i="29"/>
  <c r="H148" i="29"/>
  <c r="J106" i="29"/>
  <c r="K106" i="29" s="1"/>
  <c r="J132" i="29"/>
  <c r="H33" i="39"/>
  <c r="H92" i="29"/>
  <c r="J21" i="39"/>
  <c r="H21" i="39"/>
  <c r="J148" i="29"/>
  <c r="H29" i="39"/>
  <c r="K29" i="39" s="1"/>
  <c r="H85" i="29"/>
  <c r="I22" i="39"/>
  <c r="K30" i="39"/>
  <c r="H122" i="29"/>
  <c r="J20" i="29"/>
  <c r="J18" i="29"/>
  <c r="I17" i="39"/>
  <c r="I20" i="29"/>
  <c r="J92" i="29"/>
  <c r="J35" i="29"/>
  <c r="I122" i="29"/>
  <c r="I132" i="29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1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85" i="29" l="1"/>
  <c r="K148" i="29"/>
  <c r="K132" i="29"/>
  <c r="K33" i="39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<sst xmlns="http://schemas.openxmlformats.org/spreadsheetml/2006/main" count="4763" uniqueCount="1643">
  <si>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</si>
  <si>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</si>
  <si>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</si>
  <si>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</si>
  <si>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</si>
  <si>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</si>
  <si>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</si>
  <si>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</si>
  <si>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</si>
  <si>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</si>
  <si>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</si>
  <si>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</si>
  <si>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</si>
  <si>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</si>
  <si>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</si>
  <si>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</si>
  <si>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</si>
  <si>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</si>
  <si>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</si>
  <si>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</si>
  <si>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</si>
  <si>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</si>
  <si>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</si>
  <si>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</si>
  <si>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</si>
  <si>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</si>
  <si>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</si>
  <si>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</si>
  <si>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</si>
  <si>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</si>
  <si>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</si>
  <si>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</si>
  <si>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</si>
  <si>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</si>
  <si>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</si>
  <si>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</si>
  <si>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</si>
  <si>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</si>
  <si>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</si>
  <si>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</si>
  <si>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</si>
  <si>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</si>
  <si>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</si>
  <si>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</si>
  <si>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</si>
  <si>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</si>
  <si>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</si>
  <si>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</si>
  <si>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</si>
  <si>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</si>
  <si>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</si>
  <si>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</si>
  <si>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</si>
  <si>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</si>
  <si>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</si>
  <si>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</si>
  <si>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</si>
  <si>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</si>
  <si>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</si>
  <si>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</si>
  <si>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</si>
  <si>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</si>
  <si>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</si>
  <si>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</si>
  <si>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</si>
  <si>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</si>
  <si>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</si>
  <si>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</si>
  <si>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</si>
  <si>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</si>
  <si>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</si>
  <si>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</si>
  <si>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</si>
  <si>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</si>
  <si>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</si>
  <si>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</si>
  <si>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</si>
  <si>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</si>
  <si>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</si>
  <si>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</si>
  <si>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</si>
  <si>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</si>
  <si>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</si>
  <si>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</si>
  <si>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</si>
  <si>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</si>
  <si>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</si>
  <si>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</si>
  <si>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</si>
  <si>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</si>
  <si>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</si>
  <si>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</si>
  <si>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</si>
  <si>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</si>
  <si>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</si>
  <si>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</si>
  <si>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</si>
  <si>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</si>
  <si>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</si>
  <si>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</si>
  <si>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</si>
  <si>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</si>
  <si>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</si>
  <si>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</si>
  <si>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</si>
  <si>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</si>
  <si>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</si>
  <si>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</si>
  <si>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</si>
  <si>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</si>
  <si>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</si>
  <si>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</si>
  <si>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</si>
  <si>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</si>
  <si>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</si>
  <si>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</si>
  <si>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</si>
  <si>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</si>
  <si>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</si>
  <si>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</si>
  <si>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</si>
  <si>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</si>
  <si>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</si>
  <si>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</si>
  <si>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</si>
  <si>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</si>
  <si>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</si>
  <si>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</si>
  <si>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</si>
  <si>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</si>
  <si>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</si>
  <si>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</si>
  <si>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</si>
  <si>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</si>
  <si>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</si>
  <si>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</si>
  <si>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</si>
  <si>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</si>
  <si>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</si>
  <si>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</si>
  <si>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</si>
  <si>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</si>
  <si>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</si>
  <si>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</si>
  <si>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</si>
  <si>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</si>
  <si>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</si>
  <si>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</si>
  <si>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</si>
  <si>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</si>
  <si>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</si>
  <si>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</si>
  <si>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</si>
  <si>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</si>
  <si>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</si>
  <si>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</si>
  <si>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</si>
  <si>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</si>
  <si>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</si>
  <si>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</si>
  <si>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</si>
  <si>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</si>
  <si>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</si>
  <si>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</si>
  <si>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</si>
  <si>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</si>
  <si>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</si>
  <si>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</si>
  <si>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</si>
  <si>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</si>
  <si>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</si>
  <si>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</si>
  <si>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</si>
  <si>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</si>
  <si>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</si>
  <si>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</si>
  <si>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</si>
  <si>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</si>
  <si>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</si>
  <si>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</si>
  <si>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</si>
  <si>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</si>
  <si>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</si>
  <si>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</si>
  <si>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</si>
  <si>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</si>
  <si>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</si>
  <si>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</si>
  <si>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</si>
  <si>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</si>
  <si>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</si>
  <si>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</si>
  <si>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</si>
  <si>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</si>
  <si>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</si>
  <si>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</si>
  <si>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</si>
  <si>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</si>
  <si>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</si>
  <si>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</si>
  <si>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</si>
  <si>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</si>
  <si>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</si>
  <si>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</si>
  <si>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</si>
  <si>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</si>
  <si>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</si>
  <si>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</si>
  <si>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</si>
  <si>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</si>
  <si>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</si>
  <si>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</si>
  <si>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</si>
  <si>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</si>
  <si>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</si>
  <si>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</si>
  <si>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</si>
  <si>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</si>
  <si>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</si>
  <si>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</si>
  <si>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</si>
  <si>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</si>
  <si>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</si>
  <si>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</si>
  <si>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</si>
  <si>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</si>
  <si>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</si>
  <si>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</si>
  <si>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</si>
  <si>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</si>
  <si>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</si>
  <si>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</si>
  <si>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</si>
  <si>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</si>
  <si>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</si>
  <si>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</si>
  <si>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</si>
  <si>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</si>
  <si>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</si>
  <si>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</si>
  <si>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</si>
  <si>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</si>
  <si>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</si>
  <si>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</si>
  <si>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</si>
  <si>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</si>
  <si>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</si>
  <si>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</si>
  <si>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</si>
  <si>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</si>
  <si>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</si>
  <si>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</si>
  <si>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</si>
  <si>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</si>
  <si>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</si>
  <si>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</si>
  <si>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</si>
  <si>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</si>
  <si>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</si>
  <si>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</si>
  <si>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</si>
  <si>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</si>
  <si>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</si>
  <si>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</si>
  <si>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</si>
  <si>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</si>
  <si>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</si>
  <si>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</si>
  <si>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</si>
  <si>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</si>
  <si>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</si>
  <si>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</si>
  <si>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</si>
  <si>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</si>
  <si>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</si>
  <si>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</si>
  <si>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</si>
  <si>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</si>
  <si>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</si>
  <si>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</si>
  <si>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</si>
  <si>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</si>
  <si>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</si>
  <si>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</si>
  <si>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</si>
  <si>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</si>
  <si>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</si>
  <si>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</si>
  <si>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</si>
  <si>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</si>
  <si>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</si>
  <si>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</si>
  <si>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</si>
  <si>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</si>
  <si>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</si>
  <si>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</si>
  <si>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</si>
  <si>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</si>
  <si>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</si>
  <si>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</si>
  <si>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</si>
  <si>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</si>
  <si>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</si>
  <si>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</si>
  <si>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</si>
  <si>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</si>
  <si>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</si>
  <si>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</si>
  <si>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</si>
  <si>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</si>
  <si>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</si>
  <si>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</si>
  <si>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</si>
  <si>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</si>
  <si>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</si>
  <si>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</si>
  <si>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</si>
  <si>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</si>
  <si>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</si>
  <si>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</si>
  <si>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</si>
  <si>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</si>
  <si>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</si>
  <si>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</si>
  <si>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</si>
  <si>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</si>
  <si>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</si>
  <si>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</si>
  <si>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</si>
  <si>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</si>
  <si>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</si>
  <si>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</si>
  <si>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</si>
  <si>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</si>
  <si>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</si>
  <si>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</si>
  <si>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</si>
  <si>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</si>
  <si>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</si>
  <si>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</si>
  <si>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</si>
  <si>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</si>
  <si>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</si>
  <si>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</si>
  <si>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</si>
  <si>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</si>
  <si>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</si>
  <si>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</si>
  <si>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</si>
  <si>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</si>
  <si>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</si>
  <si>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</si>
  <si>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</si>
  <si>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</si>
  <si>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</si>
  <si>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</si>
  <si>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</si>
  <si>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</si>
  <si>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</si>
  <si>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</si>
  <si>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</si>
  <si>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</si>
  <si>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</si>
  <si>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</si>
  <si>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</si>
  <si>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</si>
  <si>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</si>
  <si>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</si>
  <si>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</si>
  <si>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</si>
  <si>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</si>
  <si>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</si>
  <si>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</si>
  <si>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</si>
  <si>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</si>
  <si>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</si>
  <si>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</si>
  <si>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</si>
  <si>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</si>
  <si>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</si>
  <si>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</si>
  <si>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</si>
  <si>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</si>
  <si>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</si>
  <si>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</si>
  <si>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</si>
  <si>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</si>
  <si>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</si>
  <si>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</si>
  <si>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</si>
  <si>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</si>
  <si>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</si>
  <si>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</si>
  <si>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</si>
  <si>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</si>
  <si>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</si>
  <si>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</si>
  <si>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</si>
  <si>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</si>
  <si>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</si>
  <si>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</si>
  <si>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</si>
  <si>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</si>
  <si>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</si>
  <si>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</si>
  <si>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</si>
  <si>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</si>
  <si>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</si>
  <si>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</si>
  <si>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</si>
  <si>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</si>
  <si>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</si>
  <si>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</si>
  <si>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</si>
  <si>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</si>
  <si>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</si>
  <si>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</si>
  <si>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</si>
  <si>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</si>
  <si>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</si>
  <si>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</si>
  <si>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</si>
  <si>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</si>
  <si>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</si>
  <si>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</si>
  <si>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</si>
  <si>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</si>
  <si>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</si>
  <si>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</si>
  <si>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</si>
  <si>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</si>
  <si>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</si>
  <si>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</si>
  <si>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</si>
  <si>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</si>
  <si>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</si>
  <si>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</si>
  <si>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</si>
  <si>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</si>
  <si>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</si>
  <si>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</si>
  <si>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</si>
  <si>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</si>
  <si>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</si>
  <si>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</si>
  <si>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</si>
  <si>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</si>
  <si>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</si>
  <si>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</si>
  <si>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</si>
  <si>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</si>
  <si>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</si>
  <si>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</si>
  <si>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</si>
  <si>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</si>
  <si>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</si>
  <si>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</si>
  <si>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</si>
  <si>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</si>
  <si>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</si>
  <si>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</si>
  <si>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</si>
  <si>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</si>
  <si>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</si>
  <si>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</si>
  <si>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</si>
  <si>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</si>
  <si>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</si>
  <si>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</si>
  <si>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</si>
  <si>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</si>
  <si>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</si>
  <si>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</si>
  <si>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</si>
  <si>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</si>
  <si>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</si>
  <si>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</si>
  <si>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</si>
  <si>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</si>
  <si>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</si>
  <si>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</si>
  <si>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</si>
  <si>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</si>
  <si>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</si>
  <si>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</si>
  <si>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</si>
  <si>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</si>
  <si>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</si>
  <si>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</si>
  <si>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</si>
  <si>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</si>
  <si>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</si>
  <si>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</si>
  <si>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</si>
  <si>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</si>
  <si>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</si>
  <si>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</si>
  <si>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</si>
  <si>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</si>
  <si>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</si>
  <si>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</si>
  <si>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</si>
  <si>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</si>
  <si>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</si>
  <si>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</si>
  <si>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</si>
  <si>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</si>
  <si>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</si>
  <si>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</si>
  <si>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</si>
  <si>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</si>
  <si>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</si>
  <si>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</si>
  <si>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</si>
  <si>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</si>
  <si>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</si>
  <si>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</si>
  <si>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</si>
  <si>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</si>
  <si>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</si>
  <si>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</si>
  <si>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</si>
  <si>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</si>
  <si>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</si>
  <si>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</si>
  <si>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</si>
  <si>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</si>
  <si>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</si>
  <si>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</si>
  <si>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</si>
  <si>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</si>
  <si>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</si>
  <si>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</si>
  <si>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</si>
  <si>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</si>
  <si>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</si>
  <si>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</si>
  <si>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</si>
  <si>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</si>
  <si>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</si>
  <si>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</si>
  <si>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</si>
  <si>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</si>
  <si>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</si>
  <si>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</si>
  <si>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</si>
  <si>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</si>
  <si>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</si>
  <si>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</si>
  <si>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</si>
  <si>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</si>
  <si>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</si>
  <si>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</si>
  <si>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</si>
  <si>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</si>
  <si>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</si>
  <si>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</si>
  <si>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</si>
  <si>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</si>
  <si>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</si>
  <si>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</si>
  <si>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</si>
  <si>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</si>
  <si>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</si>
  <si>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</si>
  <si>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</si>
  <si>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</si>
  <si>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</si>
  <si>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</si>
  <si>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</si>
  <si>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</si>
  <si>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</si>
  <si>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</si>
  <si>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</si>
  <si>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</si>
  <si>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</si>
  <si>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</si>
  <si>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</si>
  <si>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</si>
  <si>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</si>
  <si>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</si>
  <si>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</si>
  <si>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</si>
  <si>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</si>
  <si>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</si>
  <si>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</si>
  <si>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</si>
  <si>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</si>
  <si>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</si>
  <si>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</si>
  <si>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</si>
  <si>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</si>
  <si>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</si>
  <si>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</si>
  <si>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</si>
  <si>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</si>
  <si>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</si>
  <si>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</si>
  <si>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</si>
  <si>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</si>
  <si>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</si>
  <si>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</si>
  <si>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</si>
  <si>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</si>
  <si>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</si>
  <si>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</si>
  <si>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</si>
  <si>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</si>
  <si>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</si>
  <si>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</si>
  <si>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</si>
  <si>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</si>
  <si>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</si>
  <si>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</si>
  <si>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</si>
  <si>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</si>
  <si>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</si>
  <si>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</si>
  <si>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</si>
  <si>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</si>
  <si>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</si>
  <si>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</si>
  <si>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</si>
  <si>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</si>
  <si>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</si>
  <si>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</si>
  <si>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</si>
  <si>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</si>
  <si>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</si>
  <si>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</si>
  <si>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</si>
  <si>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</si>
  <si>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</si>
  <si>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</si>
  <si>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</si>
  <si>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</si>
  <si>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</si>
  <si>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</si>
  <si>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</si>
  <si>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</si>
  <si>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</si>
  <si>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</si>
  <si>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</si>
  <si>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</si>
  <si>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</si>
  <si>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</si>
  <si>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</si>
  <si>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</si>
  <si>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</si>
  <si>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</si>
  <si>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</si>
  <si>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</si>
  <si>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</si>
  <si>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</si>
  <si>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</si>
  <si>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</si>
  <si>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</si>
  <si>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</si>
  <si>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</si>
  <si>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</si>
  <si>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</si>
  <si>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</si>
  <si>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</si>
  <si>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</si>
  <si>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</si>
  <si>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</si>
  <si>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</si>
  <si>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</si>
  <si>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</si>
  <si>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</si>
  <si>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</si>
  <si>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</si>
  <si>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</si>
  <si>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</si>
  <si>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</si>
  <si>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</si>
  <si>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</si>
  <si>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</si>
  <si>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</si>
  <si>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</si>
  <si>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</si>
  <si>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</si>
  <si>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</si>
  <si>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</si>
  <si>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</si>
  <si>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</si>
  <si>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</si>
  <si>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</si>
  <si>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</si>
  <si>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</si>
  <si>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</si>
  <si>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</si>
  <si>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</si>
  <si>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</si>
  <si>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</si>
  <si>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</si>
  <si>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</si>
  <si>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</si>
  <si>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</si>
  <si>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</si>
  <si>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</si>
  <si>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</si>
  <si>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</si>
  <si>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</si>
  <si>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</si>
  <si>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</si>
  <si>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</si>
  <si>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</si>
  <si>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</si>
  <si>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</si>
  <si>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</si>
  <si>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</si>
  <si>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</si>
  <si>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</si>
  <si>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</si>
  <si>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</si>
  <si>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</si>
  <si>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</si>
  <si>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</si>
  <si>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</si>
  <si>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</si>
  <si>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</si>
  <si>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</si>
  <si>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</si>
  <si>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</si>
  <si>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</si>
  <si>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</si>
  <si>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</si>
  <si>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</si>
  <si>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</si>
  <si>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</si>
  <si>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</si>
  <si>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</si>
  <si>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</si>
  <si>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</si>
  <si>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</si>
  <si>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</si>
  <si>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</si>
  <si>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</si>
  <si>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</si>
  <si>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</si>
  <si>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</si>
  <si>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</si>
  <si>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</si>
  <si>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</si>
  <si>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</si>
  <si>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</si>
  <si>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</si>
  <si>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</si>
  <si>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</si>
  <si>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</si>
  <si>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</si>
  <si>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</si>
  <si>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</si>
  <si>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</si>
  <si>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</si>
  <si>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</si>
  <si>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</si>
  <si>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</si>
  <si>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</si>
  <si>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</si>
  <si>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</si>
  <si>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</si>
  <si>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</si>
  <si>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</si>
  <si>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</si>
  <si>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</si>
  <si>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</si>
  <si>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</si>
  <si>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</si>
  <si>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</si>
  <si>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</si>
  <si>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</si>
  <si>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</si>
  <si>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</si>
  <si>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</si>
  <si>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</si>
  <si>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</si>
  <si>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</si>
  <si>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</si>
  <si>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</si>
  <si>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</si>
  <si>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</si>
  <si>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</si>
  <si>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</si>
  <si>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</si>
  <si>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</si>
  <si>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</si>
  <si>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</si>
  <si>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</si>
  <si>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</si>
  <si>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</si>
  <si>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</si>
  <si>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</si>
  <si>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</si>
  <si>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</si>
  <si>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</si>
  <si>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</si>
  <si>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</si>
  <si>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</si>
  <si>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</si>
  <si>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</si>
  <si>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</si>
  <si>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</si>
  <si>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</si>
  <si>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</si>
  <si>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</si>
  <si>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</si>
  <si>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</si>
  <si>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</si>
  <si>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</si>
  <si>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</si>
  <si>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</si>
  <si>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</si>
  <si>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</si>
  <si>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</si>
  <si>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</si>
  <si>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</si>
  <si>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</si>
  <si>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</si>
  <si>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</si>
  <si>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</si>
  <si>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</si>
  <si>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</si>
  <si>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</si>
  <si>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</si>
  <si>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</si>
  <si>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</si>
  <si>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</si>
  <si>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</si>
  <si>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</si>
  <si>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</si>
  <si>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</si>
  <si>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</si>
  <si>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</si>
  <si>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</si>
  <si>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</si>
  <si>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</si>
  <si>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</si>
  <si>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</si>
  <si>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</si>
  <si>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</si>
  <si>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</si>
  <si>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</si>
  <si>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</si>
  <si>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</si>
  <si>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</si>
  <si>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</si>
  <si>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</si>
  <si>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</si>
  <si>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</si>
  <si>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</si>
  <si>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</si>
  <si>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</si>
  <si>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</si>
  <si>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</si>
  <si>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</si>
  <si>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</si>
  <si>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</si>
  <si>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</si>
  <si>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</si>
  <si>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</si>
  <si>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</si>
  <si>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</si>
  <si>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</si>
  <si>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</si>
  <si>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</si>
  <si>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</si>
  <si>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</si>
  <si>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</si>
  <si>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</si>
  <si>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</si>
  <si>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</si>
  <si>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</si>
  <si>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</si>
  <si>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</si>
  <si>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</si>
  <si>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</si>
  <si>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</si>
  <si>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</si>
  <si>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</si>
  <si>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</si>
  <si>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</si>
  <si>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</si>
  <si>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</si>
  <si>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</si>
  <si>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</si>
  <si>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</si>
  <si>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</si>
  <si>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</si>
  <si>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</si>
  <si>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</si>
  <si>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</si>
  <si>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</si>
  <si>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</si>
  <si>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</si>
  <si>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</si>
  <si>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</si>
  <si>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</si>
  <si>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</si>
  <si>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</si>
  <si>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</si>
  <si>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</si>
  <si>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</si>
  <si>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</si>
  <si>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</si>
  <si>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</si>
  <si>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</si>
  <si>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</si>
  <si>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</si>
  <si>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</si>
  <si>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</si>
  <si>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</si>
  <si>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</si>
  <si>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</si>
  <si>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</si>
  <si>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</si>
  <si>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</si>
  <si>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</si>
  <si>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</si>
  <si>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</si>
  <si>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</si>
  <si>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</si>
  <si>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</si>
  <si>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</si>
  <si>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</si>
  <si>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</si>
  <si>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</si>
  <si>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</si>
  <si>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</si>
  <si>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</si>
  <si>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</si>
  <si>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</si>
  <si>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</si>
  <si>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</si>
  <si>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</si>
  <si>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</si>
  <si>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</si>
  <si>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</si>
  <si>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</si>
  <si>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</si>
  <si>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</si>
  <si>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</si>
  <si>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</si>
  <si>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</si>
  <si>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</si>
  <si>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</si>
  <si>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</si>
  <si>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</si>
  <si>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</si>
  <si>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</si>
  <si>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</si>
  <si>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</si>
  <si>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</si>
  <si>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</si>
  <si>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</si>
  <si>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</si>
  <si>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</si>
  <si>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</si>
  <si>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</si>
  <si>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</si>
  <si>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</si>
  <si>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</si>
  <si>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</si>
  <si>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</si>
  <si>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</si>
  <si>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</si>
  <si>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</si>
  <si>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</si>
  <si>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</si>
  <si>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</si>
  <si>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</si>
  <si>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</si>
  <si>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</si>
  <si>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</si>
  <si>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</si>
  <si>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</si>
  <si>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</si>
  <si>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</si>
  <si>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</si>
  <si>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</si>
  <si>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</si>
  <si>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</si>
  <si>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</si>
  <si>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</si>
  <si>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</si>
  <si>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</si>
  <si>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</si>
  <si>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</si>
  <si>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</si>
  <si>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</si>
  <si>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</si>
  <si>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</si>
  <si>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</si>
  <si>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</si>
  <si>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</si>
  <si>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</si>
  <si>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</si>
  <si>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</si>
  <si>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</si>
  <si>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</si>
  <si>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</si>
  <si>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</si>
  <si>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</si>
  <si>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</si>
  <si>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</si>
  <si>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</si>
  <si>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</si>
  <si>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</si>
  <si>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</si>
  <si>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</si>
  <si>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</si>
  <si>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</si>
  <si>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</si>
  <si>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</si>
  <si>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</si>
  <si>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</si>
  <si>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</si>
  <si>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</si>
  <si>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</si>
  <si>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</si>
  <si>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</si>
  <si>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</si>
  <si>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</si>
  <si>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</si>
  <si>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</si>
  <si>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</si>
  <si>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</si>
  <si>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</si>
  <si>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</si>
  <si>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</si>
  <si>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</si>
  <si>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</si>
  <si>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</si>
  <si>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</si>
  <si>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</si>
  <si>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</si>
  <si>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</si>
  <si>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</si>
  <si>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</si>
  <si>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</si>
  <si>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</si>
  <si>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</si>
  <si>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</si>
  <si>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</si>
  <si>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</si>
  <si>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</si>
  <si>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</si>
  <si>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</si>
  <si>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</si>
  <si>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</si>
  <si>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</si>
  <si>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</si>
  <si>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</si>
  <si>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</si>
  <si>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</si>
  <si>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</si>
  <si>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</si>
  <si>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</si>
  <si>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</si>
  <si>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</si>
  <si>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</si>
  <si>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</si>
  <si>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</si>
  <si>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</si>
  <si>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</si>
  <si>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</si>
  <si>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</si>
  <si>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</si>
  <si>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</si>
  <si>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</si>
  <si>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</si>
  <si>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</si>
  <si>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</si>
  <si>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</si>
  <si>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</si>
  <si>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</si>
  <si>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</si>
  <si>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</si>
  <si>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</si>
  <si>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</si>
  <si>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</si>
  <si>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</si>
  <si>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</si>
  <si>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</si>
  <si>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</si>
  <si>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</si>
  <si>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</si>
  <si>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</si>
  <si>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</si>
  <si>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</si>
  <si>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</si>
  <si>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</si>
  <si>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</si>
  <si>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</si>
  <si>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</si>
  <si>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</si>
  <si>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</si>
  <si>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</si>
  <si>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</si>
  <si>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</si>
  <si>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</si>
  <si>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</si>
  <si>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</si>
  <si>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</si>
  <si>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</si>
  <si>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</si>
  <si>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</si>
  <si>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</si>
  <si>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</si>
  <si>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</si>
  <si>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</si>
  <si>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</si>
  <si>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</si>
  <si>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</si>
  <si>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</si>
  <si>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</si>
  <si>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</si>
  <si>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</si>
  <si>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</si>
  <si>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</si>
  <si>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</si>
  <si>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</si>
  <si>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</si>
  <si>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</si>
  <si>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</si>
  <si>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</si>
  <si>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</si>
  <si>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</si>
  <si>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</si>
  <si>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</si>
  <si>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</si>
  <si>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</si>
  <si>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</si>
  <si>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</si>
  <si>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</si>
  <si>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</si>
  <si>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</si>
  <si>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</si>
  <si>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</si>
  <si>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</si>
  <si>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</si>
  <si>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</si>
  <si>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</si>
  <si>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</si>
  <si>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</si>
  <si>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</si>
  <si>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</si>
  <si>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</si>
  <si>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</si>
  <si>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</si>
  <si>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</si>
  <si>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</si>
  <si>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</si>
  <si>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</si>
  <si>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</si>
  <si>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</si>
  <si>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</si>
  <si>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</si>
  <si>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</si>
  <si>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</si>
  <si>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</si>
  <si>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</si>
  <si>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</si>
  <si>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</si>
  <si>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</si>
  <si>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</si>
  <si>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</si>
  <si>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</si>
  <si>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</si>
  <si>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</si>
  <si>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</si>
  <si>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</si>
  <si>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</si>
  <si>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</si>
  <si>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</si>
  <si>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</si>
  <si>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</si>
  <si>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</si>
  <si>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</si>
  <si>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</si>
  <si>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</si>
  <si>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</si>
  <si>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</si>
  <si>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</si>
  <si>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</si>
  <si>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</si>
  <si>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</si>
  <si>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</si>
  <si>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</si>
  <si>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</si>
  <si>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</si>
  <si>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</si>
  <si>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</si>
  <si>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</si>
  <si>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</si>
  <si>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</si>
  <si>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</si>
  <si>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</si>
  <si>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</si>
  <si>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</si>
  <si>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</si>
  <si>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</si>
  <si>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</si>
  <si>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</si>
  <si>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</si>
  <si>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</si>
  <si>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</si>
  <si>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</si>
  <si>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</si>
  <si>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</si>
  <si>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</si>
  <si>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</si>
  <si>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</si>
  <si>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</si>
  <si>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</si>
  <si>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</si>
  <si>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</si>
  <si>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</si>
  <si>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</si>
  <si>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</si>
  <si>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</si>
  <si>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</si>
  <si>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</si>
  <si>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</si>
  <si>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</si>
  <si>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</si>
  <si>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</si>
  <si>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</si>
  <si>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</si>
  <si>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</si>
  <si>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</si>
  <si>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</si>
  <si>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</si>
  <si>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</si>
  <si>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</si>
  <si>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</si>
  <si>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</si>
  <si>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</si>
  <si>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</si>
  <si>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</si>
  <si>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</si>
  <si>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</si>
  <si>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</si>
  <si>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</si>
  <si>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</si>
  <si>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</si>
  <si>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</si>
  <si>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</si>
  <si>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</si>
  <si>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</si>
  <si>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</si>
  <si>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</si>
  <si>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</si>
  <si>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</si>
  <si>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</si>
  <si>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</si>
  <si>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</si>
  <si>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</si>
  <si>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</si>
  <si>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</si>
  <si>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</si>
  <si>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</si>
  <si>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</si>
  <si>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</si>
  <si>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</si>
  <si>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</si>
  <si>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</si>
  <si>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</si>
  <si>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</si>
  <si>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</si>
  <si>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</si>
  <si>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</si>
  <si>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</si>
  <si>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</si>
  <si>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</si>
  <si>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</si>
  <si>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</si>
  <si>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</si>
  <si>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</si>
  <si>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</si>
  <si>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</si>
  <si>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</si>
  <si>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</si>
  <si>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</si>
  <si>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</si>
  <si>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</si>
  <si>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</si>
  <si>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</si>
  <si>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</si>
  <si>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</si>
  <si>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</si>
  <si>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</si>
  <si>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</si>
  <si>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</si>
  <si>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</si>
  <si>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</si>
  <si>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</si>
  <si>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</si>
  <si>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</si>
  <si>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</si>
  <si>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</si>
  <si>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</si>
  <si>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</si>
  <si>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</si>
  <si>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</si>
  <si>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</si>
  <si>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</si>
  <si>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</si>
  <si>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</si>
  <si>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</si>
  <si>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</si>
  <si>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</si>
  <si>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</si>
  <si>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</si>
  <si>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</si>
  <si>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</si>
  <si>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</si>
  <si>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</si>
  <si>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</si>
  <si>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</si>
  <si>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</si>
  <si>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</si>
  <si>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</si>
  <si>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</si>
  <si>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</si>
  <si>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</si>
  <si>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</si>
  <si>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</si>
  <si>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</si>
  <si>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</si>
  <si>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</si>
  <si>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</si>
  <si>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</si>
  <si>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</si>
  <si>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</si>
  <si>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</si>
  <si>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</si>
  <si>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</si>
  <si>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</si>
  <si>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</si>
  <si>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</si>
  <si>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</si>
  <si>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</si>
  <si>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</si>
  <si>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</si>
  <si>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</si>
  <si>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</si>
  <si>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</si>
  <si>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</si>
  <si>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</si>
  <si>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</si>
  <si>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</si>
  <si>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</si>
  <si>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</si>
  <si>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</si>
  <si>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</si>
  <si>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</si>
  <si>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</si>
  <si>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</si>
  <si>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</si>
  <si>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</si>
  <si>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</si>
  <si>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</si>
  <si>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</si>
  <si>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</si>
  <si>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</si>
  <si>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</si>
  <si>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</si>
  <si>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</si>
  <si>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</si>
  <si>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</si>
  <si>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</si>
  <si>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</si>
  <si>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</si>
  <si>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</si>
  <si>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</si>
  <si>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</si>
  <si>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</si>
  <si>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</si>
  <si>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</si>
  <si>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</si>
  <si>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</si>
  <si>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</si>
  <si>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</si>
  <si>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</si>
  <si>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</si>
  <si>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</si>
  <si>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</si>
  <si>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</si>
  <si>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</si>
  <si>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</si>
  <si>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</si>
  <si>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</si>
  <si>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</si>
  <si>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</si>
  <si>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</si>
  <si>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</si>
  <si>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</si>
  <si>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</si>
  <si>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</si>
  <si>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</si>
  <si>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</si>
  <si>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</si>
  <si>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</si>
  <si>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</si>
  <si>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</si>
  <si>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</si>
  <si>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</si>
  <si>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</si>
  <si>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</si>
  <si>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</si>
  <si>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</si>
  <si>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</si>
  <si>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</si>
  <si>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</si>
  <si>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</si>
  <si>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</si>
  <si>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</si>
  <si>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</si>
  <si>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</si>
  <si>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</si>
  <si>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</si>
  <si>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</si>
  <si>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</si>
  <si>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</si>
  <si>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</si>
  <si>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</si>
  <si>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</si>
  <si>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</si>
  <si>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</si>
  <si>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</si>
  <si>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</si>
  <si>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</si>
  <si>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</si>
  <si>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</si>
  <si>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</si>
  <si>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</si>
  <si>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</si>
  <si>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</si>
  <si>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</si>
  <si>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</si>
  <si>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</si>
  <si>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</si>
  <si>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</si>
  <si>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</si>
  <si>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</si>
  <si>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</si>
  <si>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</si>
  <si>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</si>
  <si>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</si>
  <si>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</si>
  <si>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</si>
  <si>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</si>
  <si>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</si>
  <si>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</si>
  <si>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</si>
  <si>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</si>
  <si>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</si>
  <si>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</si>
  <si>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</si>
  <si>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</si>
  <si>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</si>
  <si>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</si>
  <si>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</si>
  <si>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</si>
  <si>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</si>
  <si>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</si>
  <si>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</si>
  <si>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</si>
  <si>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</si>
  <si>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</si>
  <si>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</si>
  <si>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</si>
  <si>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</si>
  <si>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</si>
  <si>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</si>
  <si>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</si>
  <si>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</si>
  <si>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</si>
  <si>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</si>
  <si>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</si>
  <si>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</si>
  <si>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</si>
  <si>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</si>
  <si>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</si>
  <si>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</si>
  <si>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</si>
  <si>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</si>
  <si>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</si>
  <si>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</si>
  <si>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</si>
  <si>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</si>
  <si>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</si>
  <si>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</si>
  <si>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</si>
  <si>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</si>
  <si>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</si>
  <si>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</si>
  <si>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</si>
  <si>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</si>
  <si>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</si>
  <si>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</si>
  <si>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</si>
  <si>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</si>
  <si>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</si>
  <si>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</si>
  <si>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</si>
  <si>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</si>
  <si>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</si>
  <si>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</si>
  <si>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</si>
  <si>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</si>
  <si>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</si>
  <si>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</si>
  <si>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</si>
  <si>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</si>
  <si>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</si>
  <si>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</si>
  <si>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</si>
  <si>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</si>
  <si>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</si>
  <si>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</si>
  <si>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</si>
  <si>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</si>
  <si>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</si>
  <si>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</si>
  <si>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</si>
  <si>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</si>
  <si>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</si>
  <si>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</si>
  <si>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</si>
  <si>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</si>
  <si>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</si>
  <si>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</si>
  <si>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</si>
  <si>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</si>
  <si>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</si>
  <si>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</si>
  <si>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</si>
  <si>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</si>
  <si>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</si>
  <si>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</si>
  <si>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</si>
  <si>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</si>
  <si>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</si>
  <si>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</si>
  <si>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</si>
  <si>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</si>
  <si>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</si>
  <si>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</si>
  <si>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</si>
  <si>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</si>
  <si>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</si>
  <si>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</si>
  <si>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</si>
  <si>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</si>
  <si>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</si>
  <si>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</si>
  <si>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</si>
  <si>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</si>
  <si>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</si>
  <si>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</si>
  <si>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</si>
  <si>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</si>
  <si>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</si>
  <si>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</si>
  <si>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</si>
  <si>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</si>
  <si>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</si>
  <si>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</si>
  <si>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</si>
  <si>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</si>
  <si>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</si>
  <si>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</si>
  <si>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</si>
  <si>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</si>
  <si>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</si>
  <si>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</si>
  <si>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</si>
  <si>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</si>
  <si>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</si>
  <si>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</si>
  <si>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</si>
  <si>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</si>
  <si>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</si>
  <si>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</si>
  <si>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</si>
  <si>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</si>
  <si>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</si>
  <si>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</si>
  <si>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</si>
  <si>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</si>
  <si>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</si>
  <si>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</si>
  <si>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</si>
  <si>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</si>
  <si>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</si>
  <si>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</si>
  <si>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</si>
  <si>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</si>
  <si>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</si>
  <si>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</si>
  <si>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</si>
  <si>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</si>
  <si>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</si>
  <si>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</si>
  <si>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</si>
  <si>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</si>
  <si>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</si>
  <si>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</si>
  <si>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</si>
  <si>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</si>
  <si>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</si>
  <si>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</si>
  <si>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</si>
  <si>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</si>
  <si>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</si>
  <si>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</si>
  <si>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</si>
  <si>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</si>
  <si>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</si>
  <si>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</si>
  <si>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</si>
  <si>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</si>
  <si>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</si>
  <si>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</si>
  <si>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</si>
  <si>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MTR</t>
  </si>
  <si>
    <t>LVTC 3X35+35</t>
  </si>
  <si>
    <t>SR APP 33KVA</t>
  </si>
  <si>
    <t>G312-A 50KVA</t>
  </si>
  <si>
    <t>SR APP 1P</t>
  </si>
  <si>
    <t>PD INDOMARET TOROH 22-33KVA</t>
  </si>
  <si>
    <t>Daya 33.000 VA</t>
  </si>
  <si>
    <t>-7.172950, 110.901476</t>
  </si>
  <si>
    <t>CM2-11M</t>
  </si>
  <si>
    <t>Trafo 3 Fasa 50 KVA 1 Tiang (G312-A)</t>
  </si>
  <si>
    <t>Stainless Steel Strap 20 X 0.7 mm</t>
  </si>
  <si>
    <t>PD ALFAMART BANDUNGHARJO 22-33KVA</t>
  </si>
  <si>
    <t>DS BANDUNGHARJO</t>
  </si>
  <si>
    <t>K2-790</t>
  </si>
  <si>
    <t>KDO01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</si>
</sst>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41" fillId="0" borderId="21" xfId="0" applyFont="1" applyBorder="1" applyAlignment="1">
      <alignment horizontal="left" vertical="center" wrapText="1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72" fillId="0" borderId="0" xfId="0" applyFont="1"/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3" fillId="0" borderId="0" xfId="0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1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6431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35463</xdr:colOff>
      <xdr:row>10</xdr:row>
      <xdr:rowOff>115500</xdr:rowOff>
    </xdr:from>
    <xdr:to>
      <xdr:col>9</xdr:col>
      <xdr:colOff>243415</xdr:colOff>
      <xdr:row>45</xdr:row>
      <xdr:rowOff>42334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541147" y="4086566"/>
          <a:ext cx="5144418" cy="207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9841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8169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51556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82537</xdr:colOff>
      <xdr:row>20</xdr:row>
      <xdr:rowOff>68084</xdr:rowOff>
    </xdr:from>
    <xdr:to>
      <xdr:col>10</xdr:col>
      <xdr:colOff>227089</xdr:colOff>
      <xdr:row>21</xdr:row>
      <xdr:rowOff>64517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37454" y="3063167"/>
          <a:ext cx="144552" cy="14460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50984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7598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3270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4740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6944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7802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8088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6564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88044</xdr:colOff>
      <xdr:row>11</xdr:row>
      <xdr:rowOff>89701</xdr:rowOff>
    </xdr:from>
    <xdr:to>
      <xdr:col>10</xdr:col>
      <xdr:colOff>232596</xdr:colOff>
      <xdr:row>12</xdr:row>
      <xdr:rowOff>86134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42961" y="1740701"/>
          <a:ext cx="144552" cy="14460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10</xdr:row>
      <xdr:rowOff>91109</xdr:rowOff>
    </xdr:from>
    <xdr:to>
      <xdr:col>10</xdr:col>
      <xdr:colOff>82826</xdr:colOff>
      <xdr:row>42</xdr:row>
      <xdr:rowOff>84666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429000" y="1593942"/>
          <a:ext cx="8743" cy="476664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210812</xdr:colOff>
      <xdr:row>31</xdr:row>
      <xdr:rowOff>31807</xdr:rowOff>
    </xdr:from>
    <xdr:to>
      <xdr:col>11</xdr:col>
      <xdr:colOff>324485</xdr:colOff>
      <xdr:row>35</xdr:row>
      <xdr:rowOff>69321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190" idx="6"/>
          <a:endCxn id="260" idx="3"/>
        </xdr:cNvCxnSpPr>
      </xdr:nvCxnSpPr>
      <xdr:spPr bwMode="auto">
        <a:xfrm>
          <a:off x="3565729" y="4688474"/>
          <a:ext cx="494673" cy="6301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193227</xdr:colOff>
      <xdr:row>30</xdr:row>
      <xdr:rowOff>10873</xdr:rowOff>
    </xdr:from>
    <xdr:to>
      <xdr:col>10</xdr:col>
      <xdr:colOff>43230</xdr:colOff>
      <xdr:row>30</xdr:row>
      <xdr:rowOff>96064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167144" y="451937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222250</xdr:colOff>
      <xdr:row>10</xdr:row>
      <xdr:rowOff>132522</xdr:rowOff>
    </xdr:from>
    <xdr:to>
      <xdr:col>10</xdr:col>
      <xdr:colOff>223631</xdr:colOff>
      <xdr:row>42</xdr:row>
      <xdr:rowOff>31750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>
          <a:off x="3577167" y="1635355"/>
          <a:ext cx="1381" cy="46723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176066</xdr:colOff>
      <xdr:row>16</xdr:row>
      <xdr:rowOff>113824</xdr:rowOff>
    </xdr:from>
    <xdr:to>
      <xdr:col>10</xdr:col>
      <xdr:colOff>255624</xdr:colOff>
      <xdr:row>17</xdr:row>
      <xdr:rowOff>48559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16200000">
          <a:off x="3529311" y="2517913"/>
          <a:ext cx="82901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66260</xdr:colOff>
      <xdr:row>30</xdr:row>
      <xdr:rowOff>107674</xdr:rowOff>
    </xdr:from>
    <xdr:to>
      <xdr:col>10</xdr:col>
      <xdr:colOff>210812</xdr:colOff>
      <xdr:row>31</xdr:row>
      <xdr:rowOff>104107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CC9014CE-7447-4F4A-B7B0-5DFF6EB38771}"/>
            </a:ext>
          </a:extLst>
        </xdr:cNvPr>
        <xdr:cNvGrpSpPr/>
      </xdr:nvGrpSpPr>
      <xdr:grpSpPr>
        <a:xfrm>
          <a:off x="3421177" y="4616174"/>
          <a:ext cx="144552" cy="14460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26811F17-67A6-2BEE-4FDD-6837123679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FEBDC0AA-46D5-224C-4C09-03168D38DA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8E457AB2-0956-1745-AD7B-5A3FA1DA660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182218</xdr:colOff>
      <xdr:row>26</xdr:row>
      <xdr:rowOff>91108</xdr:rowOff>
    </xdr:from>
    <xdr:to>
      <xdr:col>10</xdr:col>
      <xdr:colOff>261776</xdr:colOff>
      <xdr:row>27</xdr:row>
      <xdr:rowOff>25844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CA950C3F-BACA-4A5F-BA40-6D805F6FCAA6}"/>
            </a:ext>
          </a:extLst>
        </xdr:cNvPr>
        <xdr:cNvGrpSpPr/>
      </xdr:nvGrpSpPr>
      <xdr:grpSpPr>
        <a:xfrm rot="16200000">
          <a:off x="3535462" y="4008614"/>
          <a:ext cx="82903" cy="79558"/>
          <a:chOff x="12175074" y="2285812"/>
          <a:chExt cx="107252" cy="65186"/>
        </a:xfrm>
      </xdr:grpSpPr>
      <xdr:cxnSp macro="">
        <xdr:nvCxnSpPr>
          <xdr:cNvPr id="210" name="Straight Connector 74">
            <a:extLst>
              <a:ext uri="{FF2B5EF4-FFF2-40B4-BE49-F238E27FC236}">
                <a16:creationId xmlns:a16="http://schemas.microsoft.com/office/drawing/2014/main" id="{E2196B68-FBF0-F8D1-3BC0-CC774219DB2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5">
            <a:extLst>
              <a:ext uri="{FF2B5EF4-FFF2-40B4-BE49-F238E27FC236}">
                <a16:creationId xmlns:a16="http://schemas.microsoft.com/office/drawing/2014/main" id="{016C0705-B729-7D14-757B-43DE199C667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0C2CBC64-3B25-0AF8-80AC-96171EBE14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74083</xdr:colOff>
      <xdr:row>39</xdr:row>
      <xdr:rowOff>63499</xdr:rowOff>
    </xdr:from>
    <xdr:to>
      <xdr:col>10</xdr:col>
      <xdr:colOff>218506</xdr:colOff>
      <xdr:row>40</xdr:row>
      <xdr:rowOff>66027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D5F00E08-8533-4AA4-BD5C-5E6683D7D2FA}"/>
            </a:ext>
          </a:extLst>
        </xdr:cNvPr>
        <xdr:cNvGrpSpPr/>
      </xdr:nvGrpSpPr>
      <xdr:grpSpPr>
        <a:xfrm>
          <a:off x="3429000" y="5926666"/>
          <a:ext cx="144423" cy="150694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FDAEC620-F1A1-9291-5335-49A34ACD0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9F490D7-DA02-DB37-4352-6198FA89FBB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47778103-76E8-4B7F-B401-7D259450A47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275172</xdr:colOff>
      <xdr:row>34</xdr:row>
      <xdr:rowOff>95250</xdr:rowOff>
    </xdr:from>
    <xdr:to>
      <xdr:col>13</xdr:col>
      <xdr:colOff>344514</xdr:colOff>
      <xdr:row>40</xdr:row>
      <xdr:rowOff>27601</xdr:rowOff>
    </xdr:to>
    <xdr:sp macro="" textlink="">
      <xdr:nvSpPr>
        <xdr:cNvPr id="259" name="Rectangle 1">
          <a:extLst>
            <a:ext uri="{FF2B5EF4-FFF2-40B4-BE49-F238E27FC236}">
              <a16:creationId xmlns:a16="http://schemas.microsoft.com/office/drawing/2014/main" id="{9830379C-ED85-4DD5-99A2-B426128BA603}"/>
            </a:ext>
          </a:extLst>
        </xdr:cNvPr>
        <xdr:cNvSpPr/>
      </xdr:nvSpPr>
      <xdr:spPr>
        <a:xfrm rot="16200000">
          <a:off x="4005501" y="5202005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158750</xdr:colOff>
      <xdr:row>35</xdr:row>
      <xdr:rowOff>0</xdr:rowOff>
    </xdr:from>
    <xdr:to>
      <xdr:col>11</xdr:col>
      <xdr:colOff>324485</xdr:colOff>
      <xdr:row>35</xdr:row>
      <xdr:rowOff>138641</xdr:rowOff>
    </xdr:to>
    <xdr:sp macro="" textlink="">
      <xdr:nvSpPr>
        <xdr:cNvPr id="260" name="Rectangle 146">
          <a:extLst>
            <a:ext uri="{FF2B5EF4-FFF2-40B4-BE49-F238E27FC236}">
              <a16:creationId xmlns:a16="http://schemas.microsoft.com/office/drawing/2014/main" id="{03862C1A-DA73-4E5C-979C-8F5C6B4B6724}"/>
            </a:ext>
          </a:extLst>
        </xdr:cNvPr>
        <xdr:cNvSpPr/>
      </xdr:nvSpPr>
      <xdr:spPr>
        <a:xfrm>
          <a:off x="3894667" y="5249333"/>
          <a:ext cx="165735" cy="13864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70054</xdr:colOff>
      <xdr:row>33</xdr:row>
      <xdr:rowOff>4030</xdr:rowOff>
    </xdr:from>
    <xdr:to>
      <xdr:col>11</xdr:col>
      <xdr:colOff>132579</xdr:colOff>
      <xdr:row>33</xdr:row>
      <xdr:rowOff>143165</xdr:rowOff>
    </xdr:to>
    <xdr:grpSp>
      <xdr:nvGrpSpPr>
        <xdr:cNvPr id="262" name="Grup 234">
          <a:extLst>
            <a:ext uri="{FF2B5EF4-FFF2-40B4-BE49-F238E27FC236}">
              <a16:creationId xmlns:a16="http://schemas.microsoft.com/office/drawing/2014/main" id="{373A57C2-4447-458E-9FBD-978597151B97}"/>
            </a:ext>
          </a:extLst>
        </xdr:cNvPr>
        <xdr:cNvGrpSpPr/>
      </xdr:nvGrpSpPr>
      <xdr:grpSpPr>
        <a:xfrm rot="5400000">
          <a:off x="3767666" y="4995335"/>
          <a:ext cx="139135" cy="62525"/>
          <a:chOff x="13302191" y="2320613"/>
          <a:chExt cx="139135" cy="57233"/>
        </a:xfrm>
      </xdr:grpSpPr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074BDFA-C08C-836E-A2C3-30E8A09CEB7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EE69C5B0-2D2F-28AA-7CF1-D109489854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85556BC9-871A-C924-FA4C-1B6A5FB072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4EDA224-70FF-59BC-FEB9-43FEAEDF58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105832</xdr:colOff>
      <xdr:row>33</xdr:row>
      <xdr:rowOff>137583</xdr:rowOff>
    </xdr:from>
    <xdr:to>
      <xdr:col>14</xdr:col>
      <xdr:colOff>306915</xdr:colOff>
      <xdr:row>35</xdr:row>
      <xdr:rowOff>95250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76C19C66-2F8A-4CD9-8B18-C2893DFCF00F}"/>
            </a:ext>
          </a:extLst>
        </xdr:cNvPr>
        <xdr:cNvSpPr txBox="1"/>
      </xdr:nvSpPr>
      <xdr:spPr>
        <a:xfrm>
          <a:off x="4222749" y="5090583"/>
          <a:ext cx="963083" cy="2540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1P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22</a:t>
          </a:r>
          <a:r>
            <a:rPr lang="xx-YY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137584</xdr:colOff>
      <xdr:row>28</xdr:row>
      <xdr:rowOff>137583</xdr:rowOff>
    </xdr:from>
    <xdr:to>
      <xdr:col>10</xdr:col>
      <xdr:colOff>156994</xdr:colOff>
      <xdr:row>30</xdr:row>
      <xdr:rowOff>30851</xdr:rowOff>
    </xdr:to>
    <xdr:sp macro="" textlink="">
      <xdr:nvSpPr>
        <xdr:cNvPr id="278" name="TextBox 160">
          <a:extLst>
            <a:ext uri="{FF2B5EF4-FFF2-40B4-BE49-F238E27FC236}">
              <a16:creationId xmlns:a16="http://schemas.microsoft.com/office/drawing/2014/main" id="{9500BA30-7E36-4947-9434-6B71A5FAD4C7}"/>
            </a:ext>
          </a:extLst>
        </xdr:cNvPr>
        <xdr:cNvSpPr txBox="1"/>
      </xdr:nvSpPr>
      <xdr:spPr>
        <a:xfrm>
          <a:off x="2730501" y="4318000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en-US" sz="800" baseline="0">
              <a:solidFill>
                <a:srgbClr val="FF0000"/>
              </a:solidFill>
              <a:effectLst/>
            </a:rPr>
            <a:t>5</a:t>
          </a:r>
          <a:r>
            <a:rPr lang="xx-YY" sz="800" baseline="0">
              <a:solidFill>
                <a:srgbClr val="FF0000"/>
              </a:solidFill>
              <a:effectLst/>
            </a:rPr>
            <a:t>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137583</xdr:colOff>
      <xdr:row>36</xdr:row>
      <xdr:rowOff>42333</xdr:rowOff>
    </xdr:from>
    <xdr:to>
      <xdr:col>11</xdr:col>
      <xdr:colOff>303318</xdr:colOff>
      <xdr:row>37</xdr:row>
      <xdr:rowOff>31749</xdr:rowOff>
    </xdr:to>
    <xdr:sp macro="" textlink="">
      <xdr:nvSpPr>
        <xdr:cNvPr id="216" name="Rectangle 146">
          <a:extLst>
            <a:ext uri="{FF2B5EF4-FFF2-40B4-BE49-F238E27FC236}">
              <a16:creationId xmlns:a16="http://schemas.microsoft.com/office/drawing/2014/main" id="{50E1CE3E-0863-49E0-B200-40E13DB3D780}"/>
            </a:ext>
          </a:extLst>
        </xdr:cNvPr>
        <xdr:cNvSpPr/>
      </xdr:nvSpPr>
      <xdr:spPr>
        <a:xfrm>
          <a:off x="3873500" y="5439833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201083</xdr:colOff>
      <xdr:row>31</xdr:row>
      <xdr:rowOff>74083</xdr:rowOff>
    </xdr:from>
    <xdr:to>
      <xdr:col>11</xdr:col>
      <xdr:colOff>159606</xdr:colOff>
      <xdr:row>36</xdr:row>
      <xdr:rowOff>65236</xdr:rowOff>
    </xdr:to>
    <xdr:cxnSp macro="">
      <xdr:nvCxnSpPr>
        <xdr:cNvPr id="223" name="Straight Connector 164">
          <a:extLst>
            <a:ext uri="{FF2B5EF4-FFF2-40B4-BE49-F238E27FC236}">
              <a16:creationId xmlns:a16="http://schemas.microsoft.com/office/drawing/2014/main" id="{C9780F32-12EC-4F01-8599-4ECEE63F53FD}"/>
            </a:ext>
          </a:extLst>
        </xdr:cNvPr>
        <xdr:cNvCxnSpPr>
          <a:cxnSpLocks/>
        </xdr:cNvCxnSpPr>
      </xdr:nvCxnSpPr>
      <xdr:spPr bwMode="auto">
        <a:xfrm flipH="1" flipV="1">
          <a:off x="3556000" y="4730750"/>
          <a:ext cx="339523" cy="7319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296334</xdr:colOff>
      <xdr:row>34</xdr:row>
      <xdr:rowOff>10583</xdr:rowOff>
    </xdr:from>
    <xdr:to>
      <xdr:col>11</xdr:col>
      <xdr:colOff>54469</xdr:colOff>
      <xdr:row>34</xdr:row>
      <xdr:rowOff>73108</xdr:rowOff>
    </xdr:to>
    <xdr:grpSp>
      <xdr:nvGrpSpPr>
        <xdr:cNvPr id="224" name="Grup 234">
          <a:extLst>
            <a:ext uri="{FF2B5EF4-FFF2-40B4-BE49-F238E27FC236}">
              <a16:creationId xmlns:a16="http://schemas.microsoft.com/office/drawing/2014/main" id="{AFE3FAFE-FCA0-423D-8FEE-963F2FF827BB}"/>
            </a:ext>
          </a:extLst>
        </xdr:cNvPr>
        <xdr:cNvGrpSpPr/>
      </xdr:nvGrpSpPr>
      <xdr:grpSpPr>
        <a:xfrm rot="19889940">
          <a:off x="3651251" y="5111750"/>
          <a:ext cx="139135" cy="62525"/>
          <a:chOff x="13302191" y="2320613"/>
          <a:chExt cx="139135" cy="57233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26D8351-698D-E360-6D90-67B522C3442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3467325C-AEDE-6587-1A95-FB37210586D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118B0F1D-56EA-9357-6B84-6FA7B396B6F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9EBE6675-505F-55BB-12D2-08468EF1DB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264584</xdr:colOff>
      <xdr:row>37</xdr:row>
      <xdr:rowOff>127001</xdr:rowOff>
    </xdr:from>
    <xdr:to>
      <xdr:col>14</xdr:col>
      <xdr:colOff>359834</xdr:colOff>
      <xdr:row>40</xdr:row>
      <xdr:rowOff>77866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F52AB729-0B0A-4859-960C-1ACACAF8273A}"/>
            </a:ext>
          </a:extLst>
        </xdr:cNvPr>
        <xdr:cNvSpPr txBox="1"/>
      </xdr:nvSpPr>
      <xdr:spPr>
        <a:xfrm>
          <a:off x="4000501" y="5683251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50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193092</xdr:colOff>
      <xdr:row>36</xdr:row>
      <xdr:rowOff>60908</xdr:rowOff>
    </xdr:from>
    <xdr:to>
      <xdr:col>10</xdr:col>
      <xdr:colOff>271730</xdr:colOff>
      <xdr:row>36</xdr:row>
      <xdr:rowOff>144730</xdr:rowOff>
    </xdr:to>
    <xdr:grpSp>
      <xdr:nvGrpSpPr>
        <xdr:cNvPr id="244" name="Group 73">
          <a:extLst>
            <a:ext uri="{FF2B5EF4-FFF2-40B4-BE49-F238E27FC236}">
              <a16:creationId xmlns:a16="http://schemas.microsoft.com/office/drawing/2014/main" id="{91365258-07E8-41E8-B2E1-9A5FF036BF6B}"/>
            </a:ext>
          </a:extLst>
        </xdr:cNvPr>
        <xdr:cNvGrpSpPr/>
      </xdr:nvGrpSpPr>
      <xdr:grpSpPr>
        <a:xfrm rot="15037085">
          <a:off x="3545417" y="5461000"/>
          <a:ext cx="83822" cy="78638"/>
          <a:chOff x="12175074" y="2285812"/>
          <a:chExt cx="107252" cy="65186"/>
        </a:xfrm>
      </xdr:grpSpPr>
      <xdr:cxnSp macro="">
        <xdr:nvCxnSpPr>
          <xdr:cNvPr id="247" name="Straight Connector 74">
            <a:extLst>
              <a:ext uri="{FF2B5EF4-FFF2-40B4-BE49-F238E27FC236}">
                <a16:creationId xmlns:a16="http://schemas.microsoft.com/office/drawing/2014/main" id="{40440C62-E59B-8422-D862-724FA6B6355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5">
            <a:extLst>
              <a:ext uri="{FF2B5EF4-FFF2-40B4-BE49-F238E27FC236}">
                <a16:creationId xmlns:a16="http://schemas.microsoft.com/office/drawing/2014/main" id="{2D478784-C36F-18A9-4D89-4EBAA2EC14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76">
            <a:extLst>
              <a:ext uri="{FF2B5EF4-FFF2-40B4-BE49-F238E27FC236}">
                <a16:creationId xmlns:a16="http://schemas.microsoft.com/office/drawing/2014/main" id="{7503AC30-23DA-17BD-EC5A-ACC59805C6E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25</xdr:row>
      <xdr:rowOff>116416</xdr:rowOff>
    </xdr:from>
    <xdr:to>
      <xdr:col>13</xdr:col>
      <xdr:colOff>369570</xdr:colOff>
      <xdr:row>31</xdr:row>
      <xdr:rowOff>52916</xdr:rowOff>
    </xdr:to>
    <xdr:sp macro="" textlink="">
      <xdr:nvSpPr>
        <xdr:cNvPr id="311" name="TextBox 157">
          <a:extLst>
            <a:ext uri="{FF2B5EF4-FFF2-40B4-BE49-F238E27FC236}">
              <a16:creationId xmlns:a16="http://schemas.microsoft.com/office/drawing/2014/main" id="{7B0D6F30-3B74-4B05-ADBF-9911FD58ACC0}"/>
            </a:ext>
          </a:extLst>
        </xdr:cNvPr>
        <xdr:cNvSpPr txBox="1"/>
      </xdr:nvSpPr>
      <xdr:spPr>
        <a:xfrm>
          <a:off x="3735917" y="3884083"/>
          <a:ext cx="1131570" cy="8255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K2-790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CC10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81063</xdr:colOff>
      <xdr:row>50</xdr:row>
      <xdr:rowOff>121596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0A14C9-9B9C-DE6B-5265-A176E5CA3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692819" cy="74173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6</xdr:row>
      <xdr:rowOff>0</xdr:rowOff>
    </xdr:from>
    <xdr:to>
      <xdr:col>28</xdr:col>
      <xdr:colOff>221511</xdr:colOff>
      <xdr:row>61</xdr:row>
      <xdr:rowOff>110756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E33B31-F5F4-05DC-11FA-7518D27A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908198"/>
          <a:ext cx="14796977" cy="86389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Smg"/>
      <sheetName val="DeVIASI"/>
      <sheetName val="KoMposisi"/>
      <sheetName val="W-NAD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DATA"/>
      <sheetName val="MENU"/>
      <sheetName val="PARAMETER"/>
      <sheetName val="10 INDIKATOR"/>
      <sheetName val="Resume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10 INDIKATOR"/>
      <sheetName val="DAT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50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SUMIFS(RAB!$F$14:$F$94,RAB!$C$14:$C$94,C714)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SUMIFS(RAB!$F$14:$F$94,RAB!$C$14:$C$94,C715)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SUMIFS(RAB!$F$14:$F$94,RAB!$C$14:$C$94,C716)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SUMIFS(RAB!$F$14:$F$94,RAB!$C$14:$C$94,C717)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SUMIFS(RAB!$F$14:$F$94,RAB!$C$14:$C$94,C718)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SUMIFS(RAB!$F$14:$F$94,RAB!$C$14:$C$94,C719)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SUMIFS(RAB!$F$14:$F$94,RAB!$C$14:$C$94,C720)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SUMIFS(RAB!$F$14:$F$94,RAB!$C$14:$C$94,C721)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SUMIFS(RAB!$F$14:$F$94,RAB!$C$14:$C$94,C722)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SUMIFS(RAB!$F$14:$F$94,RAB!$C$14:$C$94,C723)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SUMIFS(RAB!$F$14:$F$94,RAB!$C$14:$C$94,C724)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SUMIFS(RAB!$F$14:$F$94,RAB!$C$14:$C$94,C725)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SUMIFS(RAB!$F$14:$F$94,RAB!$C$14:$C$94,C726)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SUMIFS(RAB!$F$14:$F$94,RAB!$C$14:$C$94,C727)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SUMIFS(RAB!$F$14:$F$94,RAB!$C$14:$C$94,C728)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SUMIFS(RAB!$F$14:$F$94,RAB!$C$14:$C$94,C729)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SUMIFS(RAB!$F$14:$F$94,RAB!$C$14:$C$94,C730)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SUMIFS(RAB!$F$14:$F$94,RAB!$C$14:$C$94,C731)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SUMIFS(RAB!$F$14:$F$94,RAB!$C$14:$C$94,C732)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SUMIFS(RAB!$F$14:$F$94,RAB!$C$14:$C$94,C733)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SUMIFS(RAB!$F$14:$F$94,RAB!$C$14:$C$94,C734)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SUMIFS(RAB!$F$14:$F$94,RAB!$C$14:$C$94,C735)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SUMIFS(RAB!$F$14:$F$94,RAB!$C$14:$C$94,C736)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SUMIFS(RAB!$F$14:$F$94,RAB!$C$14:$C$94,C737)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SUMIFS(RAB!$F$14:$F$94,RAB!$C$14:$C$94,C738)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SUMIFS(RAB!$F$14:$F$94,RAB!$C$14:$C$94,C739)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SUMIFS(RAB!$F$14:$F$94,RAB!$C$14:$C$94,C740)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SUMIFS(RAB!$F$14:$F$94,RAB!$C$14:$C$94,C741)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SUMIFS(RAB!$F$14:$F$94,RAB!$C$14:$C$94,C742)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SUMIFS(RAB!$F$14:$F$94,RAB!$C$14:$C$94,C743)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SUMIFS(RAB!$F$14:$F$94,RAB!$C$14:$C$94,C744)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SUMIFS(RAB!$F$14:$F$94,RAB!$C$14:$C$94,C745)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SUMIFS(RAB!$F$14:$F$94,RAB!$C$14:$C$94,C746)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SUMIFS(RAB!$F$14:$F$94,RAB!$C$14:$C$94,C747)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SUMIFS(RAB!$F$14:$F$94,RAB!$C$14:$C$94,C748)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SUMIFS(RAB!$F$14:$F$94,RAB!$C$14:$C$94,C749)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SUMIFS(RAB!$F$14:$F$94,RAB!$C$14:$C$94,C750)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SUMIFS(RAB!$F$14:$F$94,RAB!$C$14:$C$94,C751)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SUMIFS(RAB!$F$14:$F$94,RAB!$C$14:$C$94,C752)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SUMIFS(RAB!$F$14:$F$94,RAB!$C$14:$C$94,C753)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SUMIFS(RAB!$F$14:$F$94,RAB!$C$14:$C$94,C754)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SUMIFS(RAB!$F$14:$F$94,RAB!$C$14:$C$94,C755)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SUMIFS(RAB!$F$14:$F$94,RAB!$C$14:$C$94,C756)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SUMIFS(RAB!$F$14:$F$94,RAB!$C$14:$C$94,C757)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SUMIFS(RAB!$F$14:$F$94,RAB!$C$14:$C$94,C758)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SUMIFS(RAB!$F$14:$F$94,RAB!$C$14:$C$94,C759)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SUMIFS(RAB!$F$14:$F$94,RAB!$C$14:$C$94,C760)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SUMIFS(RAB!$F$14:$F$94,RAB!$C$14:$C$94,C761)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SUMIFS(RAB!$F$14:$F$94,RAB!$C$14:$C$94,C762)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SUMIFS(RAB!$F$14:$F$94,RAB!$C$14:$C$94,C763)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SUMIFS(RAB!$F$14:$F$94,RAB!$C$14:$C$94,C764)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SUMIFS(RAB!$F$14:$F$94,RAB!$C$14:$C$94,C765)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SUMIFS(RAB!$F$14:$F$94,RAB!$C$14:$C$94,C766)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SUMIFS(RAB!$F$14:$F$94,RAB!$C$14:$C$94,C767)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SUMIFS(RAB!$F$14:$F$94,RAB!$C$14:$C$94,C768)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SUMIFS(RAB!$F$14:$F$94,RAB!$C$14:$C$94,C769)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SUMIFS(RAB!$F$14:$F$94,RAB!$C$14:$C$94,C770)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SUMIFS(RAB!$F$14:$F$94,RAB!$C$14:$C$94,C771)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SUMIFS(RAB!$F$14:$F$94,RAB!$C$14:$C$94,C772)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SUMIFS(RAB!$F$14:$F$94,RAB!$C$14:$C$94,C773)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SUMIFS(RAB!$F$14:$F$94,RAB!$C$14:$C$94,C774)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SUMIFS(RAB!$F$14:$F$94,RAB!$C$14:$C$94,C775)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SUMIFS(RAB!$F$14:$F$94,RAB!$C$14:$C$94,C776)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SUMIFS(RAB!$F$14:$F$94,RAB!$C$14:$C$94,C777)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SUMIFS(RAB!$F$14:$F$94,RAB!$C$14:$C$94,C778)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SUMIFS(RAB!$F$14:$F$94,RAB!$C$14:$C$94,C779)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SUMIFS(RAB!$F$14:$F$94,RAB!$C$14:$C$94,C780)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SUMIFS(RAB!$F$14:$F$94,RAB!$C$14:$C$94,C781)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SUMIFS(RAB!$F$14:$F$94,RAB!$C$14:$C$94,C782)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SUMIFS(RAB!$F$14:$F$94,RAB!$C$14:$C$94,C783)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SUMIFS(RAB!$F$14:$F$94,RAB!$C$14:$C$94,C784)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SUMIFS(RAB!$F$14:$F$94,RAB!$C$14:$C$94,C785)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SUMIFS(RAB!$F$14:$F$94,RAB!$C$14:$C$94,C786)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SUMIFS(RAB!$F$14:$F$94,RAB!$C$14:$C$94,C787)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SUMIFS(RAB!$F$14:$F$94,RAB!$C$14:$C$94,C788)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SUMIFS(RAB!$F$14:$F$94,RAB!$C$14:$C$94,C789)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SUMIFS(RAB!$F$14:$F$94,RAB!$C$14:$C$94,C790)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SUMIFS(RAB!$F$14:$F$94,RAB!$C$14:$C$94,C791)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SUMIFS(RAB!$F$14:$F$94,RAB!$C$14:$C$94,C792)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SUMIFS(RAB!$F$14:$F$94,RAB!$C$14:$C$94,C793)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SUMIFS(RAB!$F$14:$F$94,RAB!$C$14:$C$94,C794)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SUMIFS(RAB!$F$14:$F$94,RAB!$C$14:$C$94,C795)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SUMIFS(RAB!$F$14:$F$94,RAB!$C$14:$C$94,C796)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SUMIFS(RAB!$F$14:$F$94,RAB!$C$14:$C$94,C797)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SUMIFS(RAB!$F$14:$F$94,RAB!$C$14:$C$94,C798)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SUMIFS(RAB!$F$14:$F$94,RAB!$C$14:$C$94,C799)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SUMIFS(RAB!$F$14:$F$94,RAB!$C$14:$C$94,C800)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SUMIFS(RAB!$F$14:$F$94,RAB!$C$14:$C$94,C801)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SUMIFS(RAB!$F$14:$F$94,RAB!$C$14:$C$94,C802)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SUMIFS(RAB!$F$14:$F$94,RAB!$C$14:$C$94,C803)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SUMIFS(RAB!$F$14:$F$94,RAB!$C$14:$C$94,C804)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SUMIFS(RAB!$F$14:$F$94,RAB!$C$14:$C$94,C805)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SUMIFS(RAB!$F$14:$F$94,RAB!$C$14:$C$94,C806)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SUMIFS(RAB!$F$14:$F$94,RAB!$C$14:$C$94,C807)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SUMIFS(RAB!$F$14:$F$94,RAB!$C$14:$C$94,C808)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SUMIFS(RAB!$F$14:$F$94,RAB!$C$14:$C$94,C809)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SUMIFS(RAB!$F$14:$F$94,RAB!$C$14:$C$94,C810)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SUMIFS(RAB!$F$14:$F$94,RAB!$C$14:$C$94,C811)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SUMIFS(RAB!$F$14:$F$94,RAB!$C$14:$C$94,C812)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SUMIFS(RAB!$F$14:$F$94,RAB!$C$14:$C$94,C813)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SUMIFS(RAB!$F$14:$F$94,RAB!$C$14:$C$94,C814)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SUMIFS(RAB!$F$14:$F$94,RAB!$C$14:$C$94,C815)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SUMIFS(RAB!$F$14:$F$94,RAB!$C$14:$C$94,C816)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SUMIFS(RAB!$F$14:$F$94,RAB!$C$14:$C$94,C817)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SUMIFS(RAB!$F$14:$F$94,RAB!$C$14:$C$94,C818)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SUMIFS(RAB!$F$14:$F$94,RAB!$C$14:$C$94,C819)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SUMIFS(RAB!$F$14:$F$94,RAB!$C$14:$C$94,C820)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SUMIFS(RAB!$F$14:$F$94,RAB!$C$14:$C$94,C821)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SUMIFS(RAB!$F$14:$F$94,RAB!$C$14:$C$94,C822)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SUMIFS(RAB!$F$14:$F$94,RAB!$C$14:$C$94,C823)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SUMIFS(RAB!$F$14:$F$94,RAB!$C$14:$C$94,C824)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SUMIFS(RAB!$F$14:$F$94,RAB!$C$14:$C$94,C825)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SUMIFS(RAB!$F$14:$F$94,RAB!$C$14:$C$94,C826)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SUMIFS(RAB!$F$14:$F$94,RAB!$C$14:$C$94,C827)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SUMIFS(RAB!$F$14:$F$94,RAB!$C$14:$C$94,C828)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SUMIFS(RAB!$F$14:$F$94,RAB!$C$14:$C$94,C829)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SUMIFS(RAB!$F$14:$F$94,RAB!$C$14:$C$94,C830)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SUMIFS(RAB!$F$14:$F$94,RAB!$C$14:$C$94,C831)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SUMIFS(RAB!$F$14:$F$94,RAB!$C$14:$C$94,C832)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SUMIFS(RAB!$F$14:$F$94,RAB!$C$14:$C$94,C833)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SUMIFS(RAB!$F$14:$F$94,RAB!$C$14:$C$94,C834)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SUMIFS(RAB!$F$14:$F$94,RAB!$C$14:$C$94,C835)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SUMIFS(RAB!$F$14:$F$94,RAB!$C$14:$C$94,C836)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SUMIFS(RAB!$F$14:$F$94,RAB!$C$14:$C$94,C837)</f>
        <v>50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SUMIFS(RAB!$F$14:$F$94,RAB!$C$14:$C$94,C838)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SUMIFS(RAB!$F$14:$F$94,RAB!$C$14:$C$94,C839)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SUMIFS(RAB!$F$14:$F$94,RAB!$C$14:$C$94,C840)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SUMIFS(RAB!$F$14:$F$94,RAB!$C$14:$C$94,C841)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SUMIFS(RAB!$F$14:$F$94,RAB!$C$14:$C$94,C842)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SUMIFS(RAB!$F$14:$F$94,RAB!$C$14:$C$94,C843)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SUMIFS(RAB!$F$14:$F$94,RAB!$C$14:$C$94,C844)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SUMIFS(RAB!$F$14:$F$94,RAB!$C$14:$C$94,C845)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SUMIFS(RAB!$F$14:$F$94,RAB!$C$14:$C$94,C846)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SUMIFS(RAB!$F$14:$F$94,RAB!$C$14:$C$94,C847)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SUMIFS(RAB!$F$14:$F$94,RAB!$C$14:$C$94,C848)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SUMIFS(RAB!$F$14:$F$94,RAB!$C$14:$C$94,C849)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SUMIFS(RAB!$F$14:$F$94,RAB!$C$14:$C$94,C850)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SUMIFS(RAB!$F$14:$F$94,RAB!$C$14:$C$94,C851)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SUMIFS(RAB!$F$14:$F$94,RAB!$C$14:$C$94,C852)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SUMIFS(RAB!$F$14:$F$94,RAB!$C$14:$C$94,C853)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SUMIFS(RAB!$F$14:$F$94,RAB!$C$14:$C$94,C854)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SUMIFS(RAB!$F$14:$F$94,RAB!$C$14:$C$94,C855)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SUMIFS(RAB!$F$14:$F$94,RAB!$C$14:$C$94,C856)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SUMIFS(RAB!$F$14:$F$94,RAB!$C$14:$C$94,C857)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SUMIFS(RAB!$F$14:$F$94,RAB!$C$14:$C$94,C858)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SUMIFS(RAB!$F$14:$F$94,RAB!$C$14:$C$94,C859)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SUMIFS(RAB!$F$14:$F$94,RAB!$C$14:$C$94,C860)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SUMIFS(RAB!$F$14:$F$94,RAB!$C$14:$C$94,C861)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SUMIFS(RAB!$F$14:$F$94,RAB!$C$14:$C$94,C862)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SUMIFS(RAB!$F$14:$F$94,RAB!$C$14:$C$94,C863)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SUMIFS(RAB!$F$14:$F$94,RAB!$C$14:$C$94,C864)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SUMIFS(RAB!$F$14:$F$94,RAB!$C$14:$C$94,C865)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SUMIFS(RAB!$F$14:$F$94,RAB!$C$14:$C$94,C866)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SUMIFS(RAB!$F$14:$F$94,RAB!$C$14:$C$94,C867)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SUMIFS(RAB!$F$14:$F$94,RAB!$C$14:$C$94,C868)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SUMIFS(RAB!$F$14:$F$94,RAB!$C$14:$C$94,C869)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SUMIFS(RAB!$F$14:$F$94,RAB!$C$14:$C$94,C870)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SUMIFS(RAB!$F$14:$F$94,RAB!$C$14:$C$94,C871)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SUMIFS(RAB!$F$14:$F$94,RAB!$C$14:$C$94,C872)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SUMIFS(RAB!$F$14:$F$94,RAB!$C$14:$C$94,C873)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SUMIFS(RAB!$F$14:$F$94,RAB!$C$14:$C$94,C874)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SUMIFS(RAB!$F$14:$F$94,RAB!$C$14:$C$94,C875)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SUMIFS(RAB!$F$14:$F$94,RAB!$C$14:$C$94,C876)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SUMIFS(RAB!$F$14:$F$94,RAB!$C$14:$C$94,C877)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SUMIFS(RAB!$F$14:$F$94,RAB!$C$14:$C$94,C878)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SUMIFS(RAB!$F$14:$F$94,RAB!$C$14:$C$94,C879)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SUMIFS(RAB!$F$14:$F$94,RAB!$C$14:$C$94,C880)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SUMIFS(RAB!$F$14:$F$94,RAB!$C$14:$C$94,C881)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SUMIFS(RAB!$F$14:$F$94,RAB!$C$14:$C$94,C882)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SUMIFS(RAB!$F$14:$F$94,RAB!$C$14:$C$94,C883)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SUMIFS(RAB!$F$14:$F$94,RAB!$C$14:$C$94,C884)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SUMIFS(RAB!$F$14:$F$94,RAB!$C$14:$C$94,C885)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SUMIFS(RAB!$F$14:$F$94,RAB!$C$14:$C$94,C886)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SUMIFS(RAB!$F$14:$F$94,RAB!$C$14:$C$94,C887)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SUMIFS(RAB!$F$14:$F$94,RAB!$C$14:$C$94,C888)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SUMIFS(RAB!$F$14:$F$94,RAB!$C$14:$C$94,C889)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SUMIFS(RAB!$F$14:$F$94,RAB!$C$14:$C$94,C890)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SUMIFS(RAB!$F$14:$F$94,RAB!$C$14:$C$94,C891)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SUMIFS(RAB!$F$14:$F$94,RAB!$C$14:$C$94,C892)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SUMIFS(RAB!$F$14:$F$94,RAB!$C$14:$C$94,C893)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SUMIFS(RAB!$F$14:$F$94,RAB!$C$14:$C$94,C894)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SUMIFS(RAB!$F$14:$F$94,RAB!$C$14:$C$94,C895)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SUMIFS(RAB!$F$14:$F$94,RAB!$C$14:$C$94,C896)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SUMIFS(RAB!$F$14:$F$94,RAB!$C$14:$C$94,C897)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SUMIFS(RAB!$F$14:$F$94,RAB!$C$14:$C$94,C898)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SUMIFS(RAB!$F$14:$F$94,RAB!$C$14:$C$94,C899)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SUMIFS(RAB!$F$14:$F$94,RAB!$C$14:$C$94,C900)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SUMIFS(RAB!$F$14:$F$94,RAB!$C$14:$C$94,C901)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SUMIFS(RAB!$F$14:$F$94,RAB!$C$14:$C$94,C902)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SUMIFS(RAB!$F$14:$F$94,RAB!$C$14:$C$94,C903)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SUMIFS(RAB!$F$14:$F$94,RAB!$C$14:$C$94,C904)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SUMIFS(RAB!$F$14:$F$94,RAB!$C$14:$C$94,C905)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SUMIFS(RAB!$F$14:$F$94,RAB!$C$14:$C$94,C906)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SUMIFS(RAB!$F$14:$F$94,RAB!$C$14:$C$94,C907)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SUMIFS(RAB!$F$14:$F$94,RAB!$C$14:$C$94,C908)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SUMIFS(RAB!$F$14:$F$94,RAB!$C$14:$C$94,C909)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SUMIFS(RAB!$F$14:$F$94,RAB!$C$14:$C$94,C910)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SUMIFS(RAB!$F$14:$F$94,RAB!$C$14:$C$94,C911)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SUMIFS(RAB!$F$14:$F$94,RAB!$C$14:$C$94,C912)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SUMIFS(RAB!$F$14:$F$94,RAB!$C$14:$C$94,C913)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SUMIFS(RAB!$F$14:$F$94,RAB!$C$14:$C$94,C914)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SUMIFS(RAB!$F$14:$F$94,RAB!$C$14:$C$94,C915)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SUMIFS(RAB!$F$14:$F$94,RAB!$C$14:$C$94,C916)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SUMIFS(RAB!$F$14:$F$94,RAB!$C$14:$C$94,C917)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SUMIFS(RAB!$F$14:$F$94,RAB!$C$14:$C$94,C918)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SUMIFS(RAB!$F$14:$F$94,RAB!$C$14:$C$94,C919)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SUMIFS(RAB!$F$14:$F$94,RAB!$C$14:$C$94,C920)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SUMIFS(RAB!$F$14:$F$94,RAB!$C$14:$C$94,C921)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SUMIFS(RAB!$F$14:$F$94,RAB!$C$14:$C$94,C922)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SUMIFS(RAB!$F$14:$F$94,RAB!$C$14:$C$94,C923)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SUMIFS(RAB!$F$14:$F$94,RAB!$C$14:$C$94,C924)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SUMIFS(RAB!$F$14:$F$94,RAB!$C$14:$C$94,C925)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SUMIFS(RAB!$F$14:$F$94,RAB!$C$14:$C$94,C926)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SUMIFS(RAB!$F$14:$F$94,RAB!$C$14:$C$94,C927)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SUMIFS(RAB!$F$14:$F$94,RAB!$C$14:$C$94,C928)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SUMIFS(RAB!$F$14:$F$94,RAB!$C$14:$C$94,C929)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SUMIFS(RAB!$F$14:$F$94,RAB!$C$14:$C$94,C930)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SUMIFS(RAB!$F$14:$F$94,RAB!$C$14:$C$94,C931)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SUMIFS(RAB!$F$14:$F$94,RAB!$C$14:$C$94,C932)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SUMIFS(RAB!$F$14:$F$94,RAB!$C$14:$C$94,C933)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SUMIFS(RAB!$F$14:$F$94,RAB!$C$14:$C$94,C934)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SUMIFS(RAB!$F$14:$F$94,RAB!$C$14:$C$94,C935)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SUMIFS(RAB!$F$14:$F$94,RAB!$C$14:$C$94,C936)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SUMIFS(RAB!$F$14:$F$94,RAB!$C$14:$C$94,C937)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SUMIFS(RAB!$F$14:$F$94,RAB!$C$14:$C$94,C938)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SUMIFS(RAB!$F$14:$F$94,RAB!$C$14:$C$94,C939)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SUMIFS(RAB!$F$14:$F$94,RAB!$C$14:$C$94,C940)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SUMIFS(RAB!$F$14:$F$94,RAB!$C$14:$C$94,C941)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SUMIFS(RAB!$F$14:$F$94,RAB!$C$14:$C$94,C942)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SUMIFS(RAB!$F$14:$F$94,RAB!$C$14:$C$94,C943)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SUMIFS(RAB!$F$14:$F$94,RAB!$C$14:$C$94,C944)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SUMIFS(RAB!$F$14:$F$94,RAB!$C$14:$C$94,C945)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SUMIFS(RAB!$F$14:$F$94,RAB!$C$14:$C$94,C946)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SUMIFS(RAB!$F$14:$F$94,RAB!$C$14:$C$94,C947)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SUMIFS(RAB!$F$14:$F$94,RAB!$C$14:$C$94,C948)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SUMIFS(RAB!$F$14:$F$94,RAB!$C$14:$C$94,C949)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SUMIFS(RAB!$F$14:$F$94,RAB!$C$14:$C$94,C950)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SUMIFS(RAB!$F$14:$F$94,RAB!$C$14:$C$94,C951)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SUMIFS(RAB!$F$14:$F$94,RAB!$C$14:$C$94,C952)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SUMIFS(RAB!$F$14:$F$94,RAB!$C$14:$C$94,C953)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SUMIFS(RAB!$F$14:$F$94,RAB!$C$14:$C$94,C954)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SUMIFS(RAB!$F$14:$F$94,RAB!$C$14:$C$94,C955)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SUMIFS(RAB!$F$14:$F$94,RAB!$C$14:$C$94,C956)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SUMIFS(RAB!$F$14:$F$94,RAB!$C$14:$C$94,C957)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SUMIFS(RAB!$F$14:$F$94,RAB!$C$14:$C$94,C958)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SUMIFS(RAB!$F$14:$F$94,RAB!$C$14:$C$94,C959)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SUMIFS(RAB!$F$14:$F$94,RAB!$C$14:$C$94,C960)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SUMIFS(RAB!$F$14:$F$94,RAB!$C$14:$C$94,C961)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SUMIFS(RAB!$F$14:$F$94,RAB!$C$14:$C$94,C962)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SUMIFS(RAB!$F$14:$F$94,RAB!$C$14:$C$94,C963)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SUMIFS(RAB!$F$14:$F$94,RAB!$C$14:$C$94,C964)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SUMIFS(RAB!$F$14:$F$94,RAB!$C$14:$C$94,C965)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SUMIFS(RAB!$F$14:$F$94,RAB!$C$14:$C$94,C966)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SUMIFS(RAB!$F$14:$F$94,RAB!$C$14:$C$94,C967)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SUMIFS(RAB!$F$14:$F$94,RAB!$C$14:$C$94,C968)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SUMIFS(RAB!$F$14:$F$94,RAB!$C$14:$C$94,C969)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SUMIFS(RAB!$F$14:$F$94,RAB!$C$14:$C$94,C970)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SUMIFS(RAB!$F$14:$F$94,RAB!$C$14:$C$94,C971)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SUMIFS(RAB!$F$14:$F$94,RAB!$C$14:$C$94,C972)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SUMIFS(RAB!$F$14:$F$94,RAB!$C$14:$C$94,C973)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SUMIFS(RAB!$F$14:$F$94,RAB!$C$14:$C$94,C974)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SUMIFS(RAB!$F$14:$F$94,RAB!$C$14:$C$94,C975)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SUMIFS(RAB!$F$14:$F$94,RAB!$C$14:$C$94,C976)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SUMIFS(RAB!$F$14:$F$94,RAB!$C$14:$C$94,C977)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SUMIFS(RAB!$F$14:$F$94,RAB!$C$14:$C$94,C978)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SUMIFS(RAB!$F$14:$F$94,RAB!$C$14:$C$94,C979)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SUMIFS(RAB!$F$14:$F$94,RAB!$C$14:$C$94,C980)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SUMIFS(RAB!$F$14:$F$94,RAB!$C$14:$C$94,C981)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SUMIFS(RAB!$F$14:$F$94,RAB!$C$14:$C$94,C982)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SUMIFS(RAB!$F$14:$F$94,RAB!$C$14:$C$94,C983)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SUMIFS(RAB!$F$14:$F$94,RAB!$C$14:$C$94,C984)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SUMIFS(RAB!$F$14:$F$94,RAB!$C$14:$C$94,C985)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SUMIFS(RAB!$F$14:$F$94,RAB!$C$14:$C$94,C986)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SUMIFS(RAB!$F$14:$F$94,RAB!$C$14:$C$94,C987)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SUMIFS(RAB!$F$14:$F$94,RAB!$C$14:$C$94,C988)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SUMIFS(RAB!$F$14:$F$94,RAB!$C$14:$C$94,C989)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SUMIFS(RAB!$F$14:$F$94,RAB!$C$14:$C$94,C990)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SUMIFS(RAB!$F$14:$F$94,RAB!$C$14:$C$94,C991)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SUMIFS(RAB!$F$14:$F$94,RAB!$C$14:$C$94,C992)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SUMIFS(RAB!$F$14:$F$94,RAB!$C$14:$C$94,C993)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SUMIFS(RAB!$F$14:$F$94,RAB!$C$14:$C$94,C994)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SUMIFS(RAB!$F$14:$F$94,RAB!$C$14:$C$94,C995)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SUMIFS(RAB!$F$14:$F$94,RAB!$C$14:$C$94,C996)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SUMIFS(RAB!$F$14:$F$94,RAB!$C$14:$C$94,C997)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SUMIFS(RAB!$F$14:$F$94,RAB!$C$14:$C$94,C998)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SUMIFS(RAB!$F$14:$F$94,RAB!$C$14:$C$94,C999)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SUMIFS(RAB!$F$14:$F$94,RAB!$C$14:$C$94,C1000)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SUMIFS(RAB!$F$14:$F$94,RAB!$C$14:$C$94,C1001)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SUMIFS(RAB!$F$14:$F$94,RAB!$C$14:$C$94,C1002)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SUMIFS(RAB!$F$14:$F$94,RAB!$C$14:$C$94,C1003)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SUMIFS(RAB!$F$14:$F$94,RAB!$C$14:$C$94,C1004)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SUMIFS(RAB!$F$14:$F$94,RAB!$C$14:$C$94,C1005)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SUMIFS(RAB!$F$14:$F$94,RAB!$C$14:$C$94,C1006)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SUMIFS(RAB!$F$14:$F$94,RAB!$C$14:$C$94,C1007)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SUMIFS(RAB!$F$14:$F$94,RAB!$C$14:$C$94,C1008)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SUMIFS(RAB!$F$14:$F$94,RAB!$C$14:$C$94,C1009)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SUMIFS(RAB!$F$14:$F$94,RAB!$C$14:$C$94,C1010)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SUMIFS(RAB!$F$14:$F$94,RAB!$C$14:$C$94,C1011)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SUMIFS(RAB!$F$14:$F$94,RAB!$C$14:$C$94,C1012)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SUMIFS(RAB!$F$14:$F$94,RAB!$C$14:$C$94,C1013)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SUMIFS(RAB!$F$14:$F$94,RAB!$C$14:$C$94,C1014)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SUMIFS(RAB!$F$14:$F$94,RAB!$C$14:$C$94,C1015)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SUMIFS(RAB!$F$14:$F$94,RAB!$C$14:$C$94,C1016)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SUMIFS(RAB!$F$14:$F$94,RAB!$C$14:$C$94,C1017)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SUMIFS(RAB!$F$14:$F$94,RAB!$C$14:$C$94,C1018)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SUMIFS(RAB!$F$14:$F$94,RAB!$C$14:$C$94,C1019)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SUMIFS(RAB!$F$14:$F$94,RAB!$C$14:$C$94,C1020)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SUMIFS(RAB!$F$14:$F$94,RAB!$C$14:$C$94,C1021)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SUMIFS(RAB!$F$14:$F$94,RAB!$C$14:$C$94,C1022)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SUMIFS(RAB!$F$14:$F$94,RAB!$C$14:$C$94,C1023)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SUMIFS(RAB!$F$14:$F$94,RAB!$C$14:$C$94,C1024)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SUMIFS(RAB!$F$14:$F$94,RAB!$C$14:$C$94,C1025)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SUMIFS(RAB!$F$14:$F$94,RAB!$C$14:$C$94,C1026)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SUMIFS(RAB!$F$14:$F$94,RAB!$C$14:$C$94,C1027)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SUMIFS(RAB!$F$14:$F$94,RAB!$C$14:$C$94,C1028)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SUMIFS(RAB!$F$14:$F$94,RAB!$C$14:$C$94,C1029)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SUMIFS(RAB!$F$14:$F$94,RAB!$C$14:$C$94,C1030)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SUMIFS(RAB!$F$14:$F$94,RAB!$C$14:$C$94,C1031)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SUMIFS(RAB!$F$14:$F$94,RAB!$C$14:$C$94,C1032)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SUMIFS(RAB!$F$14:$F$94,RAB!$C$14:$C$94,C1033)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SUMIFS(RAB!$F$14:$F$94,RAB!$C$14:$C$94,C1034)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SUMIFS(RAB!$F$14:$F$94,RAB!$C$14:$C$94,C1035)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SUMIFS(RAB!$F$14:$F$94,RAB!$C$14:$C$94,C1036)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SUMIFS(RAB!$F$14:$F$94,RAB!$C$14:$C$94,C1037)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SUMIFS(RAB!$F$14:$F$94,RAB!$C$14:$C$94,C1038)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SUMIFS(RAB!$F$14:$F$94,RAB!$C$14:$C$94,C1039)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SUMIFS(RAB!$F$14:$F$94,RAB!$C$14:$C$94,C1040)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SUMIFS(RAB!$F$14:$F$94,RAB!$C$14:$C$94,C1041)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SUMIFS(RAB!$F$14:$F$94,RAB!$C$14:$C$94,C1042)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SUMIFS(RAB!$F$14:$F$94,RAB!$C$14:$C$94,C1043)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SUMIFS(RAB!$F$14:$F$94,RAB!$C$14:$C$94,C1044)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SUMIFS(RAB!$F$14:$F$94,RAB!$C$14:$C$94,C1045)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SUMIFS(RAB!$F$14:$F$94,RAB!$C$14:$C$94,C1046)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SUMIFS(RAB!$F$14:$F$94,RAB!$C$14:$C$94,C1047)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SUMIFS(RAB!$F$14:$F$94,RAB!$C$14:$C$94,C1048)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SUMIFS(RAB!$F$14:$F$94,RAB!$C$14:$C$94,C1049)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SUMIFS(RAB!$F$14:$F$94,RAB!$C$14:$C$94,C1050)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SUMIFS(RAB!$F$14:$F$94,RAB!$C$14:$C$94,C1051)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SUMIFS(RAB!$F$14:$F$94,RAB!$C$14:$C$94,C1052)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SUMIFS(RAB!$F$14:$F$94,RAB!$C$14:$C$94,C1053)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SUMIFS(RAB!$F$14:$F$94,RAB!$C$14:$C$94,C1054)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SUMIFS(RAB!$F$14:$F$94,RAB!$C$14:$C$94,C1055)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SUMIFS(RAB!$F$14:$F$94,RAB!$C$14:$C$94,C1056)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SUMIFS(RAB!$F$14:$F$94,RAB!$C$14:$C$94,C1057)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SUMIFS(RAB!$F$14:$F$94,RAB!$C$14:$C$94,C1058)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SUMIFS(RAB!$F$14:$F$94,RAB!$C$14:$C$94,C1059)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SUMIFS(RAB!$F$14:$F$94,RAB!$C$14:$C$94,C1060)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SUMIFS(RAB!$F$14:$F$94,RAB!$C$14:$C$94,C1061)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SUMIFS(RAB!$F$14:$F$94,RAB!$C$14:$C$94,C1062)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SUMIFS(RAB!$F$14:$F$94,RAB!$C$14:$C$94,C1063)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SUMIFS(RAB!$F$14:$F$94,RAB!$C$14:$C$94,C1064)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SUMIFS(RAB!$F$14:$F$94,RAB!$C$14:$C$94,C1065)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SUMIFS(RAB!$F$14:$F$94,RAB!$C$14:$C$94,C1066)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SUMIFS(RAB!$F$14:$F$94,RAB!$C$14:$C$94,C1067)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SUMIFS(RAB!$F$14:$F$94,RAB!$C$14:$C$94,C1068)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SUMIFS(RAB!$F$14:$F$94,RAB!$C$14:$C$94,C1069)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SUMIFS(RAB!$F$14:$F$94,RAB!$C$14:$C$94,C1070)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SUMIFS(RAB!$F$14:$F$94,RAB!$C$14:$C$94,C1071)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SUMIFS(RAB!$F$14:$F$94,RAB!$C$14:$C$94,C1072)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SUMIFS(RAB!$F$14:$F$94,RAB!$C$14:$C$94,C1073)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SUMIFS(RAB!$F$14:$F$94,RAB!$C$14:$C$94,C1074)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SUMIFS(RAB!$F$14:$F$94,RAB!$C$14:$C$94,C1075)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SUMIFS(RAB!$F$14:$F$94,RAB!$C$14:$C$94,C1076)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SUMIFS(RAB!$F$14:$F$94,RAB!$C$14:$C$94,C1077)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SUMIFS(RAB!$F$14:$F$94,RAB!$C$14:$C$94,C1078)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SUMIFS(RAB!$F$14:$F$94,RAB!$C$14:$C$94,C1079)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SUMIFS(RAB!$F$14:$F$94,RAB!$C$14:$C$94,C1080)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SUMIFS(RAB!$F$14:$F$94,RAB!$C$14:$C$94,C1081)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SUMIFS(RAB!$F$14:$F$94,RAB!$C$14:$C$94,C1082)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SUMIFS(RAB!$F$14:$F$94,RAB!$C$14:$C$94,C1083)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SUMIFS(RAB!$F$14:$F$94,RAB!$C$14:$C$94,C1084)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SUMIFS(RAB!$F$14:$F$94,RAB!$C$14:$C$94,C1085)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SUMIFS(RAB!$F$14:$F$94,RAB!$C$14:$C$94,C1086)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SUMIFS(RAB!$F$14:$F$94,RAB!$C$14:$C$94,C1087)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SUMIFS(RAB!$F$14:$F$94,RAB!$C$14:$C$94,C1088)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SUMIFS(RAB!$F$14:$F$94,RAB!$C$14:$C$94,C1089)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SUMIFS(RAB!$F$14:$F$94,RAB!$C$14:$C$94,C1090)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SUMIFS(RAB!$F$14:$F$94,RAB!$C$14:$C$94,C1091)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SUMIFS(RAB!$F$14:$F$94,RAB!$C$14:$C$94,C1092)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SUMIFS(RAB!$F$14:$F$94,RAB!$C$14:$C$94,C1093)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SUMIFS(RAB!$F$14:$F$94,RAB!$C$14:$C$94,C1094)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SUMIFS(RAB!$F$14:$F$94,RAB!$C$14:$C$94,C1095)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SUMIFS(RAB!$F$14:$F$94,RAB!$C$14:$C$94,C1096)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SUMIFS(RAB!$F$14:$F$94,RAB!$C$14:$C$94,C1097)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SUMIFS(RAB!$F$14:$F$94,RAB!$C$14:$C$94,C1098)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SUMIFS(RAB!$F$14:$F$94,RAB!$C$14:$C$94,C1099)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SUMIFS(RAB!$F$14:$F$94,RAB!$C$14:$C$94,C1100)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SUMIFS(RAB!$F$14:$F$94,RAB!$C$14:$C$94,C1101)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SUMIFS(RAB!$F$14:$F$94,RAB!$C$14:$C$94,C1102)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SUMIFS(RAB!$F$14:$F$94,RAB!$C$14:$C$94,C1103)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SUMIFS(RAB!$F$14:$F$94,RAB!$C$14:$C$94,C1104)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SUMIFS(RAB!$F$14:$F$94,RAB!$C$14:$C$94,C1105)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SUMIFS(RAB!$F$14:$F$94,RAB!$C$14:$C$94,C1106)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SUMIFS(RAB!$F$14:$F$94,RAB!$C$14:$C$94,C1107)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SUMIFS(RAB!$F$14:$F$94,RAB!$C$14:$C$94,C1108)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SUMIFS(RAB!$F$14:$F$94,RAB!$C$14:$C$94,C1109)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SUMIFS(RAB!$F$14:$F$94,RAB!$C$14:$C$94,C1110)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SUMIFS(RAB!$F$14:$F$94,RAB!$C$14:$C$94,C1111)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SUMIFS(RAB!$F$14:$F$94,RAB!$C$14:$C$94,C1112)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SUMIFS(RAB!$F$14:$F$94,RAB!$C$14:$C$94,C1113)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SUMIFS(RAB!$F$14:$F$94,RAB!$C$14:$C$94,C1114)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SUMIFS(RAB!$F$14:$F$94,RAB!$C$14:$C$94,C1115)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SUMIFS(RAB!$F$14:$F$94,RAB!$C$14:$C$94,C1116)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SUMIFS(RAB!$F$14:$F$94,RAB!$C$14:$C$94,C1117)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SUMIFS(RAB!$F$14:$F$94,RAB!$C$14:$C$94,C1118)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SUMIFS(RAB!$F$14:$F$94,RAB!$C$14:$C$94,C1119)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SUMIFS(RAB!$F$14:$F$94,RAB!$C$14:$C$94,C1120)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SUMIFS(RAB!$F$14:$F$94,RAB!$C$14:$C$94,C1121)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SUMIFS(RAB!$F$14:$F$94,RAB!$C$14:$C$94,C1122)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SUMIFS(RAB!$F$14:$F$94,RAB!$C$14:$C$94,C1123)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SUMIFS(RAB!$F$14:$F$94,RAB!$C$14:$C$94,C1124)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SUMIFS(RAB!$F$14:$F$94,RAB!$C$14:$C$94,C1125)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SUMIFS(RAB!$F$14:$F$94,RAB!$C$14:$C$94,C1126)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SUMIFS(RAB!$F$14:$F$94,RAB!$C$14:$C$94,C1127)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SUMIFS(RAB!$F$14:$F$94,RAB!$C$14:$C$94,C1128)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SUMIFS(RAB!$F$14:$F$94,RAB!$C$14:$C$94,C1129)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SUMIFS(RAB!$F$14:$F$94,RAB!$C$14:$C$94,C1130)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SUMIFS(RAB!$F$14:$F$94,RAB!$C$14:$C$94,C1131)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SUMIFS(RAB!$F$14:$F$94,RAB!$C$14:$C$94,C1132)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SUMIFS(RAB!$F$14:$F$94,RAB!$C$14:$C$94,C1133)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SUMIFS(RAB!$F$14:$F$94,RAB!$C$14:$C$94,C1134)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SUMIFS(RAB!$F$14:$F$94,RAB!$C$14:$C$94,C1135)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SUMIFS(RAB!$F$14:$F$94,RAB!$C$14:$C$94,C1136)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SUMIFS(RAB!$F$14:$F$94,RAB!$C$14:$C$94,C1137)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SUMIFS(RAB!$F$14:$F$94,RAB!$C$14:$C$94,C1138)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SUMIFS(RAB!$F$14:$F$94,RAB!$C$14:$C$94,C1139)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SUMIFS(RAB!$F$14:$F$94,RAB!$C$14:$C$94,C1140)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SUMIFS(RAB!$F$14:$F$94,RAB!$C$14:$C$94,C1141)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SUMIFS(RAB!$F$14:$F$94,RAB!$C$14:$C$94,C1142)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SUMIFS(RAB!$F$14:$F$94,RAB!$C$14:$C$94,C1143)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SUMIFS(RAB!$F$14:$F$94,RAB!$C$14:$C$94,C1144)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SUMIFS(RAB!$F$14:$F$94,RAB!$C$14:$C$94,C1145)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SUMIFS(RAB!$F$14:$F$94,RAB!$C$14:$C$94,C1146)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SUMIFS(RAB!$F$14:$F$94,RAB!$C$14:$C$94,C1147)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SUMIFS(RAB!$F$14:$F$94,RAB!$C$14:$C$94,C1148)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SUMIFS(RAB!$F$14:$F$94,RAB!$C$14:$C$94,C1149)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SUMIFS(RAB!$F$14:$F$94,RAB!$C$14:$C$94,C1150)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SUMIFS(RAB!$F$14:$F$94,RAB!$C$14:$C$94,C1151)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SUMIFS(RAB!$F$14:$F$94,RAB!$C$14:$C$94,C1152)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SUMIFS(RAB!$F$14:$F$94,RAB!$C$14:$C$94,C1153)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SUMIFS(RAB!$F$14:$F$94,RAB!$C$14:$C$94,C1154)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SUMIFS(RAB!$F$14:$F$94,RAB!$C$14:$C$94,C1155)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SUMIFS(RAB!$F$14:$F$94,RAB!$C$14:$C$94,C1156)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SUMIFS(RAB!$F$14:$F$94,RAB!$C$14:$C$94,C1157)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SUMIFS(RAB!$F$14:$F$94,RAB!$C$14:$C$94,C1158)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SUMIFS(RAB!$F$14:$F$94,RAB!$C$14:$C$94,C1159)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SUMIFS(RAB!$F$14:$F$94,RAB!$C$14:$C$94,C1160)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SUMIFS(RAB!$F$14:$F$94,RAB!$C$14:$C$94,C1161)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SUMIFS(RAB!$F$14:$F$94,RAB!$C$14:$C$94,C1162)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SUMIFS(RAB!$F$14:$F$94,RAB!$C$14:$C$94,C1163)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SUMIFS(RAB!$F$14:$F$94,RAB!$C$14:$C$94,C1164)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SUMIFS(RAB!$F$14:$F$94,RAB!$C$14:$C$94,C1165)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SUMIFS(RAB!$F$14:$F$94,RAB!$C$14:$C$94,C1166)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SUMIFS(RAB!$F$14:$F$94,RAB!$C$14:$C$94,C1167)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SUMIFS(RAB!$F$14:$F$94,RAB!$C$14:$C$94,C1168)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SUMIFS(RAB!$F$14:$F$94,RAB!$C$14:$C$94,C1169)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SUMIFS(RAB!$F$14:$F$94,RAB!$C$14:$C$94,C1170)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SUMIFS(RAB!$F$14:$F$94,RAB!$C$14:$C$94,C1171)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SUMIFS(RAB!$F$14:$F$94,RAB!$C$14:$C$94,C1172)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SUMIFS(RAB!$F$14:$F$94,RAB!$C$14:$C$94,C1173)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SUMIFS(RAB!$F$14:$F$94,RAB!$C$14:$C$94,C1174)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SUMIFS(RAB!$F$14:$F$94,RAB!$C$14:$C$94,C1175)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SUMIFS(RAB!$F$14:$F$94,RAB!$C$14:$C$94,C1176)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SUMIFS(RAB!$F$14:$F$94,RAB!$C$14:$C$94,C1177)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SUMIFS(RAB!$F$14:$F$94,RAB!$C$14:$C$94,C1178)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SUMIFS(RAB!$F$14:$F$94,RAB!$C$14:$C$94,C1179)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SUMIFS(RAB!$F$14:$F$94,RAB!$C$14:$C$94,C1180)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SUMIFS(RAB!$F$14:$F$94,RAB!$C$14:$C$94,C1181)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SUMIFS(RAB!$F$14:$F$94,RAB!$C$14:$C$94,C1182)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SUMIFS(RAB!$F$14:$F$94,RAB!$C$14:$C$94,C1183)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SUMIFS(RAB!$F$14:$F$94,RAB!$C$14:$C$94,C1184)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SUMIFS(RAB!$F$14:$F$94,RAB!$C$14:$C$94,C1185)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SUMIFS(RAB!$F$14:$F$94,RAB!$C$14:$C$94,C1186)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SUMIFS(RAB!$F$14:$F$94,RAB!$C$14:$C$94,C1187)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SUMIFS(RAB!$F$14:$F$94,RAB!$C$14:$C$94,C1188)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SUMIFS(RAB!$F$14:$F$94,RAB!$C$14:$C$94,C1189)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SUMIFS(RAB!$F$14:$F$94,RAB!$C$14:$C$94,C1190)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SUMIFS(RAB!$F$14:$F$94,RAB!$C$14:$C$94,C1191)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SUMIFS(RAB!$F$14:$F$94,RAB!$C$14:$C$94,C1192)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SUMIFS(RAB!$F$14:$F$94,RAB!$C$14:$C$94,C1193)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SUMIFS(RAB!$F$14:$F$94,RAB!$C$14:$C$94,C1194)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SUMIFS(RAB!$F$14:$F$94,RAB!$C$14:$C$94,C1195)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SUMIFS(RAB!$F$14:$F$94,RAB!$C$14:$C$94,C1196)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SUMIFS(RAB!$F$14:$F$94,RAB!$C$14:$C$94,C1197)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SUMIFS(RAB!$F$14:$F$94,RAB!$C$14:$C$94,C1198)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SUMIFS(RAB!$F$14:$F$94,RAB!$C$14:$C$94,C1199)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SUMIFS(RAB!$F$14:$F$94,RAB!$C$14:$C$94,C1200)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SUMIFS(RAB!$F$14:$F$94,RAB!$C$14:$C$94,C1201)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SUMIFS(RAB!$F$14:$F$94,RAB!$C$14:$C$94,C1202)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SUMIFS(RAB!$F$14:$F$94,RAB!$C$14:$C$94,C1203)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SUMIFS(RAB!$F$14:$F$94,RAB!$C$14:$C$94,C1204)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SUMIFS(RAB!$F$14:$F$94,RAB!$C$14:$C$94,C1205)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SUMIFS(RAB!$F$14:$F$94,RAB!$C$14:$C$94,C1206)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SUMIFS(RAB!$F$14:$F$94,RAB!$C$14:$C$94,C1207)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SUMIFS(RAB!$F$14:$F$94,RAB!$C$14:$C$94,C1208)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SUMIFS(RAB!$F$14:$F$94,RAB!$C$14:$C$94,C1209)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SUMIFS(RAB!$F$14:$F$94,RAB!$C$14:$C$94,C1210)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SUMIFS(RAB!$F$14:$F$94,RAB!$C$14:$C$94,C1211)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SUMIFS(RAB!$F$14:$F$94,RAB!$C$14:$C$94,C1212)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SUMIFS(RAB!$F$14:$F$94,RAB!$C$14:$C$94,C1213)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SUMIFS(RAB!$F$14:$F$94,RAB!$C$14:$C$94,C1214)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SUMIFS(RAB!$F$14:$F$94,RAB!$C$14:$C$94,C1215)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SUMIFS(RAB!$F$14:$F$94,RAB!$C$14:$C$94,C1216)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SUMIFS(RAB!$F$14:$F$94,RAB!$C$14:$C$94,C1217)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SUMIFS(RAB!$F$14:$F$94,RAB!$C$14:$C$94,C1218)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SUMIFS(RAB!$F$14:$F$94,RAB!$C$14:$C$94,C1219)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SUMIFS(RAB!$F$14:$F$94,RAB!$C$14:$C$94,C1220)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SUMIFS(RAB!$F$14:$F$94,RAB!$C$14:$C$94,C1221)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SUMIFS(RAB!$F$14:$F$94,RAB!$C$14:$C$94,C1222)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SUMIFS(RAB!$F$14:$F$94,RAB!$C$14:$C$94,C1223)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SUMIFS(RAB!$F$14:$F$94,RAB!$C$14:$C$94,C1224)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SUMIFS(RAB!$F$14:$F$94,RAB!$C$14:$C$94,C1225)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SUMIFS(RAB!$F$14:$F$94,RAB!$C$14:$C$94,C1226)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SUMIFS(RAB!$F$14:$F$94,RAB!$C$14:$C$94,C1227)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SUMIFS(RAB!$F$14:$F$94,RAB!$C$14:$C$94,C1228)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SUMIFS(RAB!$F$14:$F$94,RAB!$C$14:$C$94,C1229)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SUMIFS(RAB!$F$14:$F$94,RAB!$C$14:$C$94,C1230)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SUMIFS(RAB!$F$14:$F$94,RAB!$C$14:$C$94,C1231)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SUMIFS(RAB!$F$14:$F$94,RAB!$C$14:$C$94,C1232)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SUMIFS(RAB!$F$14:$F$94,RAB!$C$14:$C$94,C1233)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SUMIFS(RAB!$F$14:$F$94,RAB!$C$14:$C$94,C1234)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SUMIFS(RAB!$F$14:$F$94,RAB!$C$14:$C$94,C1235)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SUMIFS(RAB!$F$14:$F$94,RAB!$C$14:$C$94,C1236)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SUMIFS(RAB!$F$14:$F$94,RAB!$C$14:$C$94,C1237)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SUMIFS(RAB!$F$14:$F$94,RAB!$C$14:$C$94,C1238)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SUMIFS(RAB!$F$14:$F$94,RAB!$C$14:$C$94,C1239)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SUMIFS(RAB!$F$14:$F$94,RAB!$C$14:$C$94,C1240)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SUMIFS(RAB!$F$14:$F$94,RAB!$C$14:$C$94,C1241)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SUMIFS(RAB!$F$14:$F$94,RAB!$C$14:$C$94,C1242)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SUMIFS(RAB!$F$14:$F$94,RAB!$C$14:$C$94,C1243)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SUMIFS(RAB!$F$14:$F$94,RAB!$C$14:$C$94,C1244)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SUMIFS(RAB!$F$14:$F$94,RAB!$C$14:$C$94,C1245)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SUMIFS(RAB!$F$14:$F$94,RAB!$C$14:$C$94,C1246)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SUMIFS(RAB!$F$14:$F$94,RAB!$C$14:$C$94,C1247)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SUMIFS(RAB!$F$14:$F$94,RAB!$C$14:$C$94,C1248)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SUMIFS(RAB!$F$14:$F$94,RAB!$C$14:$C$94,C1249)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SUMIFS(RAB!$F$14:$F$94,RAB!$C$14:$C$94,C1250)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SUMIFS(RAB!$F$14:$F$94,RAB!$C$14:$C$94,C1251)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SUMIFS(RAB!$F$14:$F$94,RAB!$C$14:$C$94,C1252)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SUMIFS(RAB!$F$14:$F$94,RAB!$C$14:$C$94,C1253)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SUMIFS(RAB!$F$14:$F$94,RAB!$C$14:$C$94,C1254)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SUMIFS(RAB!$F$14:$F$94,RAB!$C$14:$C$94,C1255)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SUMIFS(RAB!$F$14:$F$94,RAB!$C$14:$C$94,C1256)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SUMIFS(RAB!$F$14:$F$94,RAB!$C$14:$C$94,C1257)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SUMIFS(RAB!$F$14:$F$94,RAB!$C$14:$C$94,C1258)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SUMIFS(RAB!$F$14:$F$94,RAB!$C$14:$C$94,C1259)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SUMIFS(RAB!$F$14:$F$94,RAB!$C$14:$C$94,C1260)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SUMIFS(RAB!$F$14:$F$94,RAB!$C$14:$C$94,C1261)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SUMIFS(RAB!$F$14:$F$94,RAB!$C$14:$C$94,C1262)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SUMIFS(RAB!$F$14:$F$94,RAB!$C$14:$C$94,C1263)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SUMIFS(RAB!$F$14:$F$94,RAB!$C$14:$C$94,C1264)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SUMIFS(RAB!$F$14:$F$94,RAB!$C$14:$C$94,C1265)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SUMIFS(RAB!$F$14:$F$94,RAB!$C$14:$C$94,C1266)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SUMIFS(RAB!$F$14:$F$94,RAB!$C$14:$C$94,C1267)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SUMIFS(RAB!$F$14:$F$94,RAB!$C$14:$C$94,C1268)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SUMIFS(RAB!$F$14:$F$94,RAB!$C$14:$C$94,C1269)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SUMIFS(RAB!$F$14:$F$94,RAB!$C$14:$C$94,C1270)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SUMIFS(RAB!$F$14:$F$94,RAB!$C$14:$C$94,C1271)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SUMIFS(RAB!$F$14:$F$94,RAB!$C$14:$C$94,C1272)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SUMIFS(RAB!$F$14:$F$94,RAB!$C$14:$C$94,C1273)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SUMIFS(RAB!$F$14:$F$94,RAB!$C$14:$C$94,C1274)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SUMIFS(RAB!$F$14:$F$94,RAB!$C$14:$C$94,C1275)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SUMIFS(RAB!$F$14:$F$94,RAB!$C$14:$C$94,C1276)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SUMIFS(RAB!$F$14:$F$94,RAB!$C$14:$C$94,C1277)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SUMIFS(RAB!$F$14:$F$94,RAB!$C$14:$C$94,C1278)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SUMIFS(RAB!$F$14:$F$94,RAB!$C$14:$C$94,C1279)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SUMIFS(RAB!$F$14:$F$94,RAB!$C$14:$C$94,C1280)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SUMIFS(RAB!$F$14:$F$94,RAB!$C$14:$C$94,C1281)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SUMIFS(RAB!$F$14:$F$94,RAB!$C$14:$C$94,C1282)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SUMIFS(RAB!$F$14:$F$94,RAB!$C$14:$C$94,C1283)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SUMIFS(RAB!$F$14:$F$94,RAB!$C$14:$C$94,C1284)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SUMIFS(RAB!$F$14:$F$94,RAB!$C$14:$C$94,C1285)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SUMIFS(RAB!$F$14:$F$94,RAB!$C$14:$C$94,C1286)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SUMIFS(RAB!$F$14:$F$94,RAB!$C$14:$C$94,C1287)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SUMIFS(RAB!$F$14:$F$94,RAB!$C$14:$C$94,C1288)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SUMIFS(RAB!$F$14:$F$94,RAB!$C$14:$C$94,C1289)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SUMIFS(RAB!$F$14:$F$94,RAB!$C$14:$C$94,C1290)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SUMIFS(RAB!$F$14:$F$94,RAB!$C$14:$C$94,C1291)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SUMIFS(RAB!$F$14:$F$94,RAB!$C$14:$C$94,C1292)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SUMIFS(RAB!$F$14:$F$94,RAB!$C$14:$C$94,C1293)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SUMIFS(RAB!$F$14:$F$94,RAB!$C$14:$C$94,C1294)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SUMIFS(RAB!$F$14:$F$94,RAB!$C$14:$C$94,C1295)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SUMIFS(RAB!$F$14:$F$94,RAB!$C$14:$C$94,C1296)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SUMIFS(RAB!$F$14:$F$94,RAB!$C$14:$C$94,C1297)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SUMIFS(RAB!$F$14:$F$94,RAB!$C$14:$C$94,C1298)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SUMIFS(RAB!$F$14:$F$94,RAB!$C$14:$C$94,C1299)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SUMIFS(RAB!$F$14:$F$94,RAB!$C$14:$C$94,C1300)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SUMIFS(RAB!$F$14:$F$94,RAB!$C$14:$C$94,C1301)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SUMIFS(RAB!$F$14:$F$94,RAB!$C$14:$C$94,C1302)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SUMIFS(RAB!$F$14:$F$94,RAB!$C$14:$C$94,C1303)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SUMIFS(RAB!$F$14:$F$94,RAB!$C$14:$C$94,C1304)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SUMIFS(RAB!$F$14:$F$94,RAB!$C$14:$C$94,C1305)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SUMIFS(RAB!$F$14:$F$94,RAB!$C$14:$C$94,C1306)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SUMIFS(RAB!$F$14:$F$94,RAB!$C$14:$C$94,C1307)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SUMIFS(RAB!$F$14:$F$94,RAB!$C$14:$C$94,C1308)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SUMIFS(RAB!$F$14:$F$94,RAB!$C$14:$C$94,C1309)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SUMIFS(RAB!$F$14:$F$94,RAB!$C$14:$C$94,C1310)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SUMIFS(RAB!$F$14:$F$94,RAB!$C$14:$C$94,C1311)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SUMIFS(RAB!$F$14:$F$94,RAB!$C$14:$C$94,C1312)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SUMIFS(RAB!$F$14:$F$94,RAB!$C$14:$C$94,C1313)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SUMIFS(RAB!$F$14:$F$94,RAB!$C$14:$C$94,C1314)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SUMIFS(RAB!$F$14:$F$94,RAB!$C$14:$C$94,C1315)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SUMIFS(RAB!$F$14:$F$94,RAB!$C$14:$C$94,C1316)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SUMIFS(RAB!$F$14:$F$94,RAB!$C$14:$C$94,C1317)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SUMIFS(RAB!$F$14:$F$94,RAB!$C$14:$C$94,C1318)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SUMIFS(RAB!$F$14:$F$94,RAB!$C$14:$C$94,C1319)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SUMIFS(RAB!$F$14:$F$94,RAB!$C$14:$C$94,C1320)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PD ALFAMART BANDUNGHARJO 22-33KVA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BANDUNGHARJO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1008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462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SUMIFS(RAB!$F$14:$F$94,RAB!$C$14:$C$94,'REKAP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SUMIFS(RAB!$F$14:$F$94,RAB!$C$14:$C$94,'REKAP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SUMIFS(RAB!$F$14:$F$94,RAB!$C$14:$C$94,'REKAP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SUMIFS(RAB!$F$14:$F$94,RAB!$C$14:$C$94,'REKAP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SUMIFS(RAB!$F$14:$F$94,RAB!$C$14:$C$94,'REKAP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SUMIFS(RAB!$F$14:$F$94,RAB!$C$14:$C$94,'REKAP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SUMIFS(RAB!$F$14:$F$94,RAB!$C$14:$C$94,'REKAP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SUMIFS(RAB!$F$14:$F$94,RAB!$C$14:$C$94,'REKAP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SUMIFS(RAB!$F$14:$F$94,RAB!$C$14:$C$94,'REKAP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SUMIFS(RAB!$F$14:$F$94,RAB!$C$14:$C$94,'REKAP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SUMIFS(RAB!$F$14:$F$94,RAB!$C$14:$C$94,'REKAP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SUMIFS(RAB!$F$14:$F$94,RAB!$C$14:$C$94,'REKAP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SUMIFS(RAB!$F$14:$F$94,RAB!$C$14:$C$94,'REKAP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SUMIFS(RAB!$F$14:$F$94,RAB!$C$14:$C$94,'REKAP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SUMIFS(RAB!$F$14:$F$94,RAB!$C$14:$C$94,'REKAP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SUMIFS(RAB!$F$14:$F$94,RAB!$C$14:$C$94,'REKAP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SUMIFS(RAB!$F$14:$F$94,RAB!$C$14:$C$94,'REKAP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SUMIFS(RAB!$F$14:$F$94,RAB!$C$14:$C$94,'REKAP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SUMIFS(RAB!$F$14:$F$94,RAB!$C$14:$C$94,'REKAP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SUMIFS(RAB!$F$14:$F$94,RAB!$C$14:$C$94,'REKAP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PD ALFAMART BANDUNGHARJO 22-33KVA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BANDUNGHARJO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50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1520000</v>
      </c>
      <c r="I22" s="42">
        <f t="shared" ca="1" si="2"/>
        <v>0</v>
      </c>
      <c r="J22" s="42">
        <f t="shared" ca="1" si="3"/>
        <v>0</v>
      </c>
      <c r="K22" s="43">
        <f t="shared" ca="1" si="0"/>
        <v>1520000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1008</v>
      </c>
      <c r="D168" s="555"/>
      <c r="E168" s="555"/>
      <c r="F168" s="555"/>
      <c r="G168" s="77" t="s">
        <v>9</v>
      </c>
      <c r="H168" s="55">
        <f ca="1">SUM(H14:H167)</f>
        <v>54119750</v>
      </c>
      <c r="I168" s="55">
        <f ca="1">SUM(I14:I167)</f>
        <v>0</v>
      </c>
      <c r="J168" s="55">
        <f ca="1">SUM(J14:J167)</f>
        <v>0</v>
      </c>
      <c r="K168" s="55">
        <f ca="1">SUM(K14:K167)</f>
        <v>54119750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462</v>
      </c>
      <c r="D169" s="556"/>
      <c r="E169" s="556"/>
      <c r="F169" s="556"/>
      <c r="G169" s="59" t="s">
        <v>9</v>
      </c>
      <c r="H169" s="60">
        <f ca="1">H168*0.1</f>
        <v>5411975</v>
      </c>
      <c r="I169" s="60">
        <f ca="1">I168*0.1</f>
        <v>0</v>
      </c>
      <c r="J169" s="60">
        <f ca="1">J168*0.1</f>
        <v>0</v>
      </c>
      <c r="K169" s="60">
        <f ca="1">K168*0.1</f>
        <v>5411975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59531725</v>
      </c>
      <c r="I170" s="78">
        <f ca="1">SUM(I168:I169)</f>
        <v>0</v>
      </c>
      <c r="J170" s="61">
        <f ca="1">SUM(J168:J169)</f>
        <v>0</v>
      </c>
      <c r="K170" s="61">
        <f ca="1">SUM(K168:K169)</f>
        <v>59531725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SUMIFS(RAB!$F$14:$F$94,RAB!$C$14:$C$94,C224)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SUMIFS(RAB!$F$14:$F$94,RAB!$C$14:$C$94,C225)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SUMIFS(RAB!$F$14:$F$94,RAB!$C$14:$C$94,C226)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SUMIFS(RAB!$F$14:$F$94,RAB!$C$14:$C$94,C227)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SUMIFS(RAB!$F$14:$F$94,RAB!$C$14:$C$94,C228)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SUMIFS(RAB!$F$14:$F$94,RAB!$C$14:$C$94,C229)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SUMIFS(RAB!$F$14:$F$94,RAB!$C$14:$C$94,C230)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SUMIFS(RAB!$F$14:$F$94,RAB!$C$14:$C$94,C231)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SUMIFS(RAB!$F$14:$F$94,RAB!$C$14:$C$94,C232)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SUMIFS(RAB!$F$14:$F$94,RAB!$C$14:$C$94,C233)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SUMIFS(RAB!$F$14:$F$94,RAB!$C$14:$C$94,C234)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SUMIFS(RAB!$F$14:$F$94,RAB!$C$14:$C$94,C235)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SUMIFS(RAB!$F$14:$F$94,RAB!$C$14:$C$94,C236)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SUMIFS(RAB!$F$14:$F$94,RAB!$C$14:$C$94,C237)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SUMIFS(RAB!$F$14:$F$94,RAB!$C$14:$C$94,C238)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SUMIFS(RAB!$F$14:$F$94,RAB!$C$14:$C$94,C239)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SUMIFS(RAB!$F$14:$F$94,RAB!$C$14:$C$94,C240)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SUMIFS(RAB!$F$14:$F$94,RAB!$C$14:$C$94,C241)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SUMIFS(RAB!$F$14:$F$94,RAB!$C$14:$C$94,C242)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SUMIFS(RAB!$F$14:$F$94,RAB!$C$14:$C$94,C243)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SUMIFS(RAB!$F$14:$F$94,RAB!$C$14:$C$94,C244)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SUMIFS(RAB!$F$14:$F$94,RAB!$C$14:$C$94,C245)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SUMIFS(RAB!$F$14:$F$94,RAB!$C$14:$C$94,C246)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SUMIFS(RAB!$F$14:$F$94,RAB!$C$14:$C$94,C247)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SUMIFS(RAB!$F$14:$F$94,RAB!$C$14:$C$94,C248)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SUMIFS(RAB!$F$14:$F$94,RAB!$C$14:$C$94,C249)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SUMIFS(RAB!$F$14:$F$94,RAB!$C$14:$C$94,C250)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SUMIFS(RAB!$F$14:$F$94,RAB!$C$14:$C$94,C251)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SUMIFS(RAB!$F$14:$F$94,RAB!$C$14:$C$94,C252)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SUMIFS(RAB!$F$14:$F$94,RAB!$C$14:$C$94,C253)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SUMIFS(RAB!$F$14:$F$94,RAB!$C$14:$C$94,C254)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SUMIFS(RAB!$F$14:$F$94,RAB!$C$14:$C$94,C255)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SUMIFS(RAB!$F$14:$F$94,RAB!$C$14:$C$94,C256)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SUMIFS(RAB!$F$14:$F$94,RAB!$C$14:$C$94,C257)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SUMIFS(RAB!$F$14:$F$94,RAB!$C$14:$C$94,C258)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SUMIFS(RAB!$F$14:$F$94,RAB!$C$14:$C$94,C259)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SUMIFS(RAB!$F$14:$F$94,RAB!$C$14:$C$94,C260)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SUMIFS(RAB!$F$14:$F$94,RAB!$C$14:$C$94,C261)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SUMIFS(RAB!$F$14:$F$94,RAB!$C$14:$C$94,C262)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SUMIFS(RAB!$F$14:$F$94,RAB!$C$14:$C$94,C263)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SUMIFS(RAB!$F$14:$F$94,RAB!$C$14:$C$94,C264)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SUMIFS(RAB!$F$14:$F$94,RAB!$C$14:$C$94,C265)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SUMIFS(RAB!$F$14:$F$94,RAB!$C$14:$C$94,C266)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SUMIFS(RAB!$F$14:$F$94,RAB!$C$14:$C$94,C267)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SUMIFS(RAB!$F$14:$F$94,RAB!$C$14:$C$94,C268)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SUMIFS(RAB!$F$14:$F$94,RAB!$C$14:$C$94,C269)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SUMIFS(RAB!$F$14:$F$94,RAB!$C$14:$C$94,C270)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SUMIFS(RAB!$F$14:$F$94,RAB!$C$14:$C$94,C271)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SUMIFS(RAB!$F$14:$F$94,RAB!$C$14:$C$94,C272)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SUMIFS(RAB!$F$14:$F$94,RAB!$C$14:$C$94,C273)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SUMIFS(RAB!$F$14:$F$94,RAB!$C$14:$C$94,C274)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SUMIFS(RAB!$F$14:$F$94,RAB!$C$14:$C$94,C275)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SUMIFS(RAB!$F$14:$F$94,RAB!$C$14:$C$94,C276)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SUMIFS(RAB!$F$14:$F$94,RAB!$C$14:$C$94,C277)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SUMIFS(RAB!$F$14:$F$94,RAB!$C$14:$C$94,C278)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SUMIFS(RAB!$F$14:$F$94,RAB!$C$14:$C$94,C279)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SUMIFS(RAB!$F$14:$F$94,RAB!$C$14:$C$94,C280)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SUMIFS(RAB!$F$14:$F$94,RAB!$C$14:$C$94,C281)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SUMIFS(RAB!$F$14:$F$94,RAB!$C$14:$C$94,C282)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SUMIFS(RAB!$F$14:$F$94,RAB!$C$14:$C$94,C283)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SUMIFS(RAB!$F$14:$F$94,RAB!$C$14:$C$94,C284)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SUMIFS(RAB!$F$14:$F$94,RAB!$C$14:$C$94,C285)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SUMIFS(RAB!$F$14:$F$94,RAB!$C$14:$C$94,C286)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SUMIFS(RAB!$F$14:$F$94,RAB!$C$14:$C$94,C287)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SUMIFS(RAB!$F$14:$F$94,RAB!$C$14:$C$94,C288)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SUMIFS(RAB!$F$14:$F$94,RAB!$C$14:$C$94,C289)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SUMIFS(RAB!$F$14:$F$94,RAB!$C$14:$C$94,C290)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SUMIFS(RAB!$F$14:$F$94,RAB!$C$14:$C$94,C291)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SUMIFS(RAB!$F$14:$F$94,RAB!$C$14:$C$94,C292)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SUMIFS(RAB!$F$14:$F$94,RAB!$C$14:$C$94,C293)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SUMIFS(RAB!$F$14:$F$94,RAB!$C$14:$C$94,C294)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SUMIFS(RAB!$F$14:$F$94,RAB!$C$14:$C$94,C295)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SUMIFS(RAB!$F$14:$F$94,RAB!$C$14:$C$94,C296)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SUMIFS(RAB!$F$14:$F$94,RAB!$C$14:$C$94,C297)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SUMIFS(RAB!$F$14:$F$94,RAB!$C$14:$C$94,C298)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SUMIFS(RAB!$F$14:$F$94,RAB!$C$14:$C$94,C299)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SUMIFS(RAB!$F$14:$F$94,RAB!$C$14:$C$94,C300)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SUMIFS(RAB!$F$14:$F$94,RAB!$C$14:$C$94,C301)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SUMIFS(RAB!$F$14:$F$94,RAB!$C$14:$C$94,C302)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SUMIFS(RAB!$F$14:$F$94,RAB!$C$14:$C$94,C303)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SUMIFS(RAB!$F$14:$F$94,RAB!$C$14:$C$94,C304)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SUMIFS(RAB!$F$14:$F$94,RAB!$C$14:$C$94,C305)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SUMIFS(RAB!$F$14:$F$94,RAB!$C$14:$C$94,C306)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SUMIFS(RAB!$F$14:$F$94,RAB!$C$14:$C$94,C307)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SUMIFS(RAB!$F$14:$F$94,RAB!$C$14:$C$94,C308)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SUMIFS(RAB!$F$14:$F$94,RAB!$C$14:$C$94,C309)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SUMIFS(RAB!$F$14:$F$94,RAB!$C$14:$C$94,C310)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SUMIFS(RAB!$F$14:$F$94,RAB!$C$14:$C$94,C311)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SUMIFS(RAB!$F$14:$F$94,RAB!$C$14:$C$94,C312)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SUMIFS(RAB!$F$14:$F$94,RAB!$C$14:$C$94,C313)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SUMIFS(RAB!$F$14:$F$94,RAB!$C$14:$C$94,C314)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SUMIFS(RAB!$F$14:$F$94,RAB!$C$14:$C$94,C315)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SUMIFS(RAB!$F$14:$F$94,RAB!$C$14:$C$94,C316)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SUMIFS(RAB!$F$14:$F$94,RAB!$C$14:$C$94,C317)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SUMIFS(RAB!$F$14:$F$94,RAB!$C$14:$C$94,C318)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SUMIFS(RAB!$F$14:$F$94,RAB!$C$14:$C$94,C319)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SUMIFS(RAB!$F$14:$F$94,RAB!$C$14:$C$94,C320)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SUMIFS(RAB!$F$14:$F$94,RAB!$C$14:$C$94,C321)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SUMIFS(RAB!$F$14:$F$94,RAB!$C$14:$C$94,C322)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SUMIFS(RAB!$F$14:$F$94,RAB!$C$14:$C$94,C323)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SUMIFS(RAB!$F$14:$F$94,RAB!$C$14:$C$94,C324)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SUMIFS(RAB!$F$14:$F$94,RAB!$C$14:$C$94,C325)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SUMIFS(RAB!$F$14:$F$94,RAB!$C$14:$C$94,C326)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SUMIFS(RAB!$F$14:$F$94,RAB!$C$14:$C$94,C327)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SUMIFS(RAB!$F$14:$F$94,RAB!$C$14:$C$94,C328)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SUMIFS(RAB!$F$14:$F$94,RAB!$C$14:$C$94,C329)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SUMIFS(RAB!$F$14:$F$94,RAB!$C$14:$C$94,C330)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SUMIFS(RAB!$F$14:$F$94,RAB!$C$14:$C$94,C331)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SUMIFS(RAB!$F$14:$F$94,RAB!$C$14:$C$94,C332)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SUMIFS(RAB!$F$14:$F$94,RAB!$C$14:$C$94,C333)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SUMIFS(RAB!$F$14:$F$94,RAB!$C$14:$C$94,C334)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SUMIFS(RAB!$F$14:$F$94,RAB!$C$14:$C$94,C335)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SUMIFS(RAB!$F$14:$F$94,RAB!$C$14:$C$94,C336)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SUMIFS(RAB!$F$14:$F$94,RAB!$C$14:$C$94,C337)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SUMIFS(RAB!$F$14:$F$94,RAB!$C$14:$C$94,C338)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SUMIFS(RAB!$F$14:$F$94,RAB!$C$14:$C$94,C339)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SUMIFS(RAB!$F$14:$F$94,RAB!$C$14:$C$94,C340)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SUMIFS(RAB!$F$14:$F$94,RAB!$C$14:$C$94,C341)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SUMIFS(RAB!$F$14:$F$94,RAB!$C$14:$C$94,C342)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SUMIFS(RAB!$F$14:$F$94,RAB!$C$14:$C$94,C343)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SUMIFS(RAB!$F$14:$F$94,RAB!$C$14:$C$94,C344)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SUMIFS(RAB!$F$14:$F$94,RAB!$C$14:$C$94,C345)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SUMIFS(RAB!$F$14:$F$94,RAB!$C$14:$C$94,C346)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SUMIFS(RAB!$F$14:$F$94,RAB!$C$14:$C$94,C347)</f>
        <v>50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SUMIFS(RAB!$F$14:$F$94,RAB!$C$14:$C$94,C348)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SUMIFS(RAB!$F$14:$F$94,RAB!$C$14:$C$94,C349)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SUMIFS(RAB!$F$14:$F$94,RAB!$C$14:$C$94,C350)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SUMIFS(RAB!$F$14:$F$94,RAB!$C$14:$C$94,C351)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SUMIFS(RAB!$F$14:$F$94,RAB!$C$14:$C$94,C352)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SUMIFS(RAB!$F$14:$F$94,RAB!$C$14:$C$94,C353)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SUMIFS(RAB!$F$14:$F$94,RAB!$C$14:$C$94,C354)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SUMIFS(RAB!$F$14:$F$94,RAB!$C$14:$C$94,C355)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SUMIFS(RAB!$F$14:$F$94,RAB!$C$14:$C$94,C356)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SUMIFS(RAB!$F$14:$F$94,RAB!$C$14:$C$94,C357)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SUMIFS(RAB!$F$14:$F$94,RAB!$C$14:$C$94,C358)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SUMIFS(RAB!$F$14:$F$94,RAB!$C$14:$C$94,C359)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SUMIFS(RAB!$F$14:$F$94,RAB!$C$14:$C$94,C360)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SUMIFS(RAB!$F$14:$F$94,RAB!$C$14:$C$94,C361)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SUMIFS(RAB!$F$14:$F$94,RAB!$C$14:$C$94,C362)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SUMIFS(RAB!$F$14:$F$94,RAB!$C$14:$C$94,C363)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SUMIFS(RAB!$F$14:$F$94,RAB!$C$14:$C$94,C364)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SUMIFS(RAB!$F$14:$F$94,RAB!$C$14:$C$94,C365)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SUMIFS(RAB!$F$14:$F$94,RAB!$C$14:$C$94,C366)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SUMIFS(RAB!$F$14:$F$94,RAB!$C$14:$C$94,C367)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SUMIFS(RAB!$F$14:$F$94,RAB!$C$14:$C$94,C368)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SUMIFS(RAB!$F$14:$F$94,RAB!$C$14:$C$94,C369)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SUMIFS(RAB!$F$14:$F$94,RAB!$C$14:$C$94,C370)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SUMIFS(RAB!$F$14:$F$94,RAB!$C$14:$C$94,C371)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SUMIFS(RAB!$F$14:$F$94,RAB!$C$14:$C$94,C372)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SUMIFS(RAB!$F$14:$F$94,RAB!$C$14:$C$94,C373)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10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2" t="s">
        <v>1453</v>
      </c>
      <c r="C2" s="592"/>
      <c r="D2" s="592"/>
      <c r="E2" s="59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7" t="s">
        <v>1528</v>
      </c>
      <c r="C4" s="598"/>
      <c r="D4" s="598"/>
      <c r="E4" s="599"/>
      <c r="F4" s="372"/>
      <c r="G4" s="372"/>
      <c r="H4" s="373"/>
      <c r="I4" s="561" t="s">
        <v>1529</v>
      </c>
      <c r="J4" s="562"/>
      <c r="K4" s="562"/>
      <c r="L4" s="563"/>
    </row>
    <row r="5" spans="1:12" ht="34.5" customHeight="1">
      <c r="A5" s="193"/>
      <c r="B5" s="375" t="s">
        <v>1378</v>
      </c>
      <c r="C5" s="224" t="s">
        <v>9</v>
      </c>
      <c r="D5" s="593" t="str">
        <f>DATA!D14</f>
        <v>PD ALFAMART BANDUNGHARJO 22-33KVA</v>
      </c>
      <c r="E5" s="594"/>
      <c r="F5" s="197"/>
      <c r="G5" s="197"/>
      <c r="I5" s="376" t="s">
        <v>1378</v>
      </c>
      <c r="J5" s="224" t="s">
        <v>9</v>
      </c>
      <c r="K5" s="564" t="str">
        <f>D5</f>
        <v>PD ALFAMART BANDUNGHARJO 22-33KVA</v>
      </c>
      <c r="L5" s="565"/>
    </row>
    <row r="6" spans="1:12" ht="31.5" customHeight="1">
      <c r="A6" s="193"/>
      <c r="B6" s="375" t="s">
        <v>1525</v>
      </c>
      <c r="C6" s="224" t="s">
        <v>9</v>
      </c>
      <c r="D6" s="602">
        <f>DATA!D17*1000</f>
        <v>22000</v>
      </c>
      <c r="E6" s="603"/>
      <c r="F6" s="197"/>
      <c r="G6" s="197"/>
      <c r="I6" s="376" t="s">
        <v>1526</v>
      </c>
      <c r="J6" s="224" t="s">
        <v>9</v>
      </c>
      <c r="K6" s="566">
        <f>DATA!D20*1000</f>
        <v>33000</v>
      </c>
      <c r="L6" s="567"/>
    </row>
    <row r="7" spans="1:12" ht="30.75" customHeight="1">
      <c r="A7" s="193"/>
      <c r="B7" s="375" t="s">
        <v>1440</v>
      </c>
      <c r="C7" s="224" t="s">
        <v>9</v>
      </c>
      <c r="D7" s="600">
        <f>DATA!D18</f>
        <v>3</v>
      </c>
      <c r="E7" s="601"/>
      <c r="F7" s="374" t="s">
        <v>1452</v>
      </c>
      <c r="I7" s="376" t="s">
        <v>1440</v>
      </c>
      <c r="J7" s="224" t="s">
        <v>9</v>
      </c>
      <c r="K7" s="568">
        <f>DATA!D21</f>
        <v>3</v>
      </c>
      <c r="L7" s="569"/>
    </row>
    <row r="8" spans="1:12" ht="51" customHeight="1">
      <c r="A8" s="193"/>
      <c r="B8" s="375" t="s">
        <v>1441</v>
      </c>
      <c r="C8" s="224" t="s">
        <v>9</v>
      </c>
      <c r="D8" s="600">
        <f>DATA!D19</f>
        <v>380</v>
      </c>
      <c r="E8" s="601"/>
      <c r="F8" s="374" t="s">
        <v>1452</v>
      </c>
      <c r="G8" s="369">
        <v>220</v>
      </c>
      <c r="I8" s="376" t="s">
        <v>1441</v>
      </c>
      <c r="J8" s="224" t="s">
        <v>9</v>
      </c>
      <c r="K8" s="568">
        <f>DATA!D22</f>
        <v>380</v>
      </c>
      <c r="L8" s="569"/>
    </row>
    <row r="9" spans="1:12" ht="30" customHeight="1" thickBot="1">
      <c r="A9" s="193"/>
      <c r="B9" s="381" t="s">
        <v>1537</v>
      </c>
      <c r="C9" s="371" t="s">
        <v>9</v>
      </c>
      <c r="D9" s="595">
        <f>IF(D7=1,D6/(380/3^0.5),(D6/(380*3^0.5)))</f>
        <v>33.425541900452018</v>
      </c>
      <c r="E9" s="596"/>
      <c r="F9" s="196"/>
      <c r="G9" s="370">
        <v>380</v>
      </c>
      <c r="I9" s="382" t="s">
        <v>1537</v>
      </c>
      <c r="J9" s="371" t="s">
        <v>9</v>
      </c>
      <c r="K9" s="572">
        <f>IF(K7=1,K6/(380/3^0.5),(K6/(380*3^0.5)))</f>
        <v>50.138312850678034</v>
      </c>
      <c r="L9" s="573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4"/>
      <c r="E12" s="605"/>
      <c r="F12" s="197"/>
      <c r="G12" s="197"/>
      <c r="I12" s="398" t="s">
        <v>1530</v>
      </c>
      <c r="J12" s="399" t="s">
        <v>9</v>
      </c>
      <c r="K12" s="604" t="s">
        <v>1641</v>
      </c>
      <c r="L12" s="605"/>
    </row>
    <row r="13" spans="1:12" ht="31.5" customHeight="1">
      <c r="A13" s="193"/>
      <c r="B13" s="406" t="s">
        <v>1379</v>
      </c>
      <c r="C13" s="386" t="s">
        <v>9</v>
      </c>
      <c r="D13" s="570"/>
      <c r="E13" s="571"/>
      <c r="F13" s="197"/>
      <c r="G13" s="197"/>
      <c r="I13" s="400" t="s">
        <v>1379</v>
      </c>
      <c r="J13" s="386" t="s">
        <v>9</v>
      </c>
      <c r="K13" s="570" t="s">
        <v>1642</v>
      </c>
      <c r="L13" s="571"/>
    </row>
    <row r="14" spans="1:12" ht="30.75" customHeight="1">
      <c r="A14" s="193"/>
      <c r="B14" s="406" t="s">
        <v>1531</v>
      </c>
      <c r="C14" s="386" t="s">
        <v>9</v>
      </c>
      <c r="D14" s="574"/>
      <c r="E14" s="575"/>
      <c r="F14" s="374" t="s">
        <v>1452</v>
      </c>
      <c r="G14" s="378">
        <v>50</v>
      </c>
      <c r="I14" s="400" t="s">
        <v>1531</v>
      </c>
      <c r="J14" s="386" t="s">
        <v>9</v>
      </c>
      <c r="K14" s="576">
        <v>50</v>
      </c>
      <c r="L14" s="577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78"/>
      <c r="E16" s="579"/>
      <c r="F16" s="374"/>
      <c r="G16" s="378">
        <v>160</v>
      </c>
      <c r="I16" s="400" t="s">
        <v>1533</v>
      </c>
      <c r="J16" s="386" t="s">
        <v>9</v>
      </c>
      <c r="K16" s="582">
        <f>K9</f>
        <v>50.138312850678034</v>
      </c>
      <c r="L16" s="583"/>
    </row>
    <row r="17" spans="1:12" ht="34.5" customHeight="1">
      <c r="A17" s="193"/>
      <c r="B17" s="406" t="s">
        <v>1534</v>
      </c>
      <c r="C17" s="386" t="s">
        <v>9</v>
      </c>
      <c r="D17" s="580">
        <f>IF(D15=1,D14/(20/3^0.5),(D14/(20*3^0.5)))</f>
        <v>0</v>
      </c>
      <c r="E17" s="581"/>
      <c r="F17" s="374" t="s">
        <v>1452</v>
      </c>
      <c r="G17" s="379">
        <v>200</v>
      </c>
      <c r="I17" s="400" t="s">
        <v>1534</v>
      </c>
      <c r="J17" s="386" t="s">
        <v>9</v>
      </c>
      <c r="K17" s="586">
        <f>IF(K15=1,K14/(20/3^0.5),(K14/(20*3^0.5)))</f>
        <v>1.4433756729740645</v>
      </c>
      <c r="L17" s="587"/>
    </row>
    <row r="18" spans="1:12" ht="34.5" customHeight="1">
      <c r="A18" s="193"/>
      <c r="B18" s="406" t="s">
        <v>1535</v>
      </c>
      <c r="C18" s="386" t="s">
        <v>9</v>
      </c>
      <c r="D18" s="580">
        <f>IF(D15=1,D14/(380/3^0.5),(D14/(380*3^0.5)))*1000</f>
        <v>0</v>
      </c>
      <c r="E18" s="581"/>
      <c r="F18" s="374" t="s">
        <v>1452</v>
      </c>
      <c r="G18" s="379">
        <v>250</v>
      </c>
      <c r="I18" s="400" t="s">
        <v>1535</v>
      </c>
      <c r="J18" s="386" t="s">
        <v>9</v>
      </c>
      <c r="K18" s="586">
        <f>IF(K15=1,K14/(380/3^0.5),(K14/(380*3^0.5)))*1000</f>
        <v>75.96714068284551</v>
      </c>
      <c r="L18" s="587"/>
    </row>
    <row r="19" spans="1:12" ht="30" customHeight="1">
      <c r="A19" s="193"/>
      <c r="B19" s="407" t="s">
        <v>1527</v>
      </c>
      <c r="C19" s="385" t="s">
        <v>9</v>
      </c>
      <c r="D19" s="580">
        <f>IF(D15=1,D14/(380/3^0.5),(D14/(380*3^0.5)))</f>
        <v>0</v>
      </c>
      <c r="E19" s="581"/>
      <c r="F19" s="196"/>
      <c r="G19" s="370"/>
      <c r="I19" s="402" t="s">
        <v>1527</v>
      </c>
      <c r="J19" s="385" t="s">
        <v>9</v>
      </c>
      <c r="K19" s="586">
        <f>IF(K15=1,K14/(380/3^0.5),(K14/(380*3^0.5)))</f>
        <v>7.5967140682845505E-2</v>
      </c>
      <c r="L19" s="587"/>
    </row>
    <row r="20" spans="1:12" ht="30" customHeight="1" thickBot="1">
      <c r="A20" s="193"/>
      <c r="B20" s="408" t="s">
        <v>1536</v>
      </c>
      <c r="C20" s="404" t="s">
        <v>9</v>
      </c>
      <c r="D20" s="606" t="e">
        <f>D16/D18</f>
        <v>#DIV/0!</v>
      </c>
      <c r="E20" s="607"/>
      <c r="F20" s="196"/>
      <c r="G20" s="370"/>
      <c r="I20" s="403" t="s">
        <v>1527</v>
      </c>
      <c r="J20" s="404" t="s">
        <v>9</v>
      </c>
      <c r="K20" s="584">
        <f>K16/K18</f>
        <v>0.65999999999999992</v>
      </c>
      <c r="L20" s="585"/>
    </row>
    <row r="21" spans="1:12" ht="9.75" customHeight="1">
      <c r="A21" s="193"/>
      <c r="B21" s="393" t="s">
        <v>1536</v>
      </c>
      <c r="C21" s="394" t="s">
        <v>9</v>
      </c>
      <c r="D21" s="591">
        <v>1</v>
      </c>
      <c r="E21" s="591"/>
      <c r="F21" s="395"/>
      <c r="G21" s="396"/>
      <c r="H21" s="397"/>
      <c r="I21" s="393" t="s">
        <v>1527</v>
      </c>
      <c r="J21" s="394" t="s">
        <v>9</v>
      </c>
      <c r="K21" s="591">
        <v>1</v>
      </c>
      <c r="L21" s="591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RAB!K100</f>
        <v>72718781.538000003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1454375.6307600001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ALFAMART BANDUNGHARJO 22-33KVA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22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6" t="s">
        <v>1356</v>
      </c>
      <c r="C3" s="616"/>
      <c r="D3" s="616"/>
      <c r="E3" s="616"/>
      <c r="F3" s="252" t="str">
        <f>DATA!D14</f>
        <v>PD ALFAMART BANDUNGHARJO 22-33KVA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0" t="s">
        <v>1348</v>
      </c>
      <c r="C5" s="610" t="s">
        <v>1357</v>
      </c>
      <c r="D5" s="615" t="s">
        <v>1358</v>
      </c>
      <c r="E5" s="615" t="s">
        <v>1359</v>
      </c>
      <c r="F5" s="610" t="s">
        <v>1360</v>
      </c>
      <c r="G5" s="610"/>
      <c r="H5" s="610"/>
      <c r="I5" s="610"/>
      <c r="J5" s="610"/>
      <c r="K5" s="610" t="s">
        <v>1361</v>
      </c>
      <c r="L5" s="610"/>
      <c r="M5" s="254"/>
      <c r="N5" s="613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10"/>
      <c r="C6" s="610"/>
      <c r="D6" s="610"/>
      <c r="E6" s="61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10"/>
      <c r="P6" s="610"/>
      <c r="Q6" s="610"/>
      <c r="R6" s="255"/>
      <c r="S6" s="256"/>
      <c r="T6" s="610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72.718781538000002</v>
      </c>
      <c r="G7" s="265">
        <f ca="1">DATA!$D$11/1000000</f>
        <v>1.45437563076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76.124148601337495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-62.922476601337493</v>
      </c>
      <c r="O7" s="261">
        <v>1</v>
      </c>
      <c r="P7" s="263">
        <f ca="1">O7*N7</f>
        <v>-62.922476601337493</v>
      </c>
      <c r="Q7" s="263">
        <f ca="1">P7</f>
        <v>-62.922476601337493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1.45437563076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7.3073499284924903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0.32066607150750936</v>
      </c>
      <c r="O8" s="262">
        <f>1/(1+'[92]Asumsi I'!$C$3)^(KKF!A8)</f>
        <v>0.89285714285714279</v>
      </c>
      <c r="P8" s="263">
        <f ca="1">O8*N8</f>
        <v>0.28630899241741903</v>
      </c>
      <c r="Q8" s="263">
        <f ca="1">Q7+P8</f>
        <v>-62.636167608920076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1.45437563076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7.3073499284924903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0.32066607150750936</v>
      </c>
      <c r="O9" s="269">
        <f>1/(1+'[92]Asumsi I'!$C$3)^(KKF!A9)</f>
        <v>0.79719387755102034</v>
      </c>
      <c r="P9" s="263">
        <f t="shared" ref="P9:P32" ca="1" si="7">O9*N9</f>
        <v>0.25563302894412415</v>
      </c>
      <c r="Q9" s="263">
        <f ca="1">Q8+P9</f>
        <v>-62.380534579975951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1.45437563076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7.3073499284924903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0.32066607150750936</v>
      </c>
      <c r="O10" s="262">
        <f>1/(1+'[92]Asumsi I'!$C$3)^(KKF!A10)</f>
        <v>0.71178024781341087</v>
      </c>
      <c r="P10" s="263">
        <f t="shared" ca="1" si="7"/>
        <v>0.22824377584296796</v>
      </c>
      <c r="Q10" s="263">
        <f t="shared" ref="Q10:Q30" ca="1" si="9">Q9+P10</f>
        <v>-62.152290804132981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1.45437563076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7.3073499284924903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0.32066607150750936</v>
      </c>
      <c r="O11" s="262">
        <f>1/(1+'[92]Asumsi I'!$C$3)^(KKF!A11)</f>
        <v>0.63551807840483121</v>
      </c>
      <c r="P11" s="263">
        <f t="shared" ca="1" si="7"/>
        <v>0.20378908557407854</v>
      </c>
      <c r="Q11" s="263">
        <f t="shared" ca="1" si="9"/>
        <v>-61.948501718558902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1.45437563076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7.3073499284924903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0.32066607150750936</v>
      </c>
      <c r="O12" s="262">
        <f>1/(1+'[92]Asumsi I'!$C$3)^(KKF!A12)</f>
        <v>0.56742685571859919</v>
      </c>
      <c r="P12" s="263">
        <f t="shared" ca="1" si="7"/>
        <v>0.18195454069114153</v>
      </c>
      <c r="Q12" s="263">
        <f t="shared" ca="1" si="9"/>
        <v>-61.766547177867757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1.45437563076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7.3073499284924903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0.32066607150750936</v>
      </c>
      <c r="O13" s="262">
        <f>1/(1+'[92]Asumsi I'!$C$3)^(KKF!A13)</f>
        <v>0.50663112117732068</v>
      </c>
      <c r="P13" s="263">
        <f t="shared" ca="1" si="7"/>
        <v>0.16245941133137634</v>
      </c>
      <c r="Q13" s="263">
        <f t="shared" ca="1" si="9"/>
        <v>-61.604087766536381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1.45437563076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7.3073499284924903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0.32066607150750936</v>
      </c>
      <c r="O14" s="262">
        <f>1/(1+'[92]Asumsi I'!$C$3)^(KKF!A14)</f>
        <v>0.45234921533689343</v>
      </c>
      <c r="P14" s="263">
        <f t="shared" ca="1" si="7"/>
        <v>0.14505304583158601</v>
      </c>
      <c r="Q14" s="263">
        <f t="shared" ca="1" si="9"/>
        <v>-61.459034720704793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1.45437563076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7.3073499284924903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0.32066607150750936</v>
      </c>
      <c r="O15" s="262">
        <f>1/(1+'[92]Asumsi I'!$C$3)^(KKF!A15)</f>
        <v>0.4038832279793691</v>
      </c>
      <c r="P15" s="263">
        <f t="shared" ca="1" si="7"/>
        <v>0.12951164806391607</v>
      </c>
      <c r="Q15" s="263">
        <f t="shared" ca="1" si="9"/>
        <v>-61.329523072640875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1.45437563076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7.3073499284924903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0.32066607150750936</v>
      </c>
      <c r="O16" s="262">
        <f>1/(1+'[92]Asumsi I'!$C$3)^(KKF!A16)</f>
        <v>0.36061002498157957</v>
      </c>
      <c r="P16" s="263">
        <f t="shared" ca="1" si="7"/>
        <v>0.11563540005706793</v>
      </c>
      <c r="Q16" s="263">
        <f t="shared" ca="1" si="9"/>
        <v>-61.213887672583809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1.45437563076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7.3073499284924903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0.32066607150750936</v>
      </c>
      <c r="O17" s="262">
        <f>1/(1+'[92]Asumsi I'!$C$3)^(KKF!A17)</f>
        <v>0.32197323659069599</v>
      </c>
      <c r="P17" s="263">
        <f t="shared" ca="1" si="7"/>
        <v>0.10324589290809635</v>
      </c>
      <c r="Q17" s="263">
        <f t="shared" ca="1" si="9"/>
        <v>-61.11064177967571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1.45437563076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7.3073499284924903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0.32066607150750936</v>
      </c>
      <c r="O18" s="262">
        <f>1/(1+'[92]Asumsi I'!$C$3)^(KKF!A18)</f>
        <v>0.28747610409883567</v>
      </c>
      <c r="P18" s="263">
        <f t="shared" ca="1" si="7"/>
        <v>9.2183832953657452E-2</v>
      </c>
      <c r="Q18" s="263">
        <f t="shared" ca="1" si="9"/>
        <v>-61.018457946722052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1.45437563076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7.3073499284924903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0.32066607150750936</v>
      </c>
      <c r="O19" s="262">
        <f>1/(1+'[92]Asumsi I'!$C$3)^(KKF!A19)</f>
        <v>0.25667509294538904</v>
      </c>
      <c r="P19" s="263">
        <f t="shared" ca="1" si="7"/>
        <v>8.2306993708622739E-2</v>
      </c>
      <c r="Q19" s="263">
        <f t="shared" ca="1" si="9"/>
        <v>-60.936150953013431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1.45437563076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7.3073499284924903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0.32066607150750936</v>
      </c>
      <c r="O20" s="262">
        <f>1/(1+'[92]Asumsi I'!$C$3)^(KKF!A20)</f>
        <v>0.22917419012981158</v>
      </c>
      <c r="P20" s="263">
        <f t="shared" ca="1" si="7"/>
        <v>7.3488387239841704E-2</v>
      </c>
      <c r="Q20" s="263">
        <f t="shared" ca="1" si="9"/>
        <v>-60.86266256577359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1.45437563076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7.3073499284924903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0.32066607150750936</v>
      </c>
      <c r="O21" s="262">
        <f>1/(1+'[92]Asumsi I'!$C$3)^(KKF!A21)</f>
        <v>0.20461981261590317</v>
      </c>
      <c r="P21" s="263">
        <f t="shared" ca="1" si="7"/>
        <v>6.5614631464144368E-2</v>
      </c>
      <c r="Q21" s="263">
        <f t="shared" ca="1" si="9"/>
        <v>-60.797047934309447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1.45437563076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7.3073499284924903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0.32066607150750936</v>
      </c>
      <c r="O22" s="262">
        <f>1/(1+'[92]Asumsi I'!$C$3)^(KKF!A22)</f>
        <v>0.18269626126419927</v>
      </c>
      <c r="P22" s="263">
        <f t="shared" ca="1" si="7"/>
        <v>5.8584492378700337E-2</v>
      </c>
      <c r="Q22" s="263">
        <f t="shared" ca="1" si="9"/>
        <v>-60.738463441930747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1.45437563076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7.3073499284924903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0.32066607150750936</v>
      </c>
      <c r="O23" s="262">
        <f>1/(1+'[92]Asumsi I'!$C$3)^(KKF!A23)</f>
        <v>0.16312166184303503</v>
      </c>
      <c r="P23" s="263">
        <f t="shared" ca="1" si="7"/>
        <v>5.2307582480982433E-2</v>
      </c>
      <c r="Q23" s="263">
        <f t="shared" ca="1" si="9"/>
        <v>-60.686155859449762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1.45437563076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7.3073499284924903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0.32066607150750936</v>
      </c>
      <c r="O24" s="262">
        <f>1/(1+'[92]Asumsi I'!$C$3)^(KKF!A24)</f>
        <v>0.14564434093128129</v>
      </c>
      <c r="P24" s="263">
        <f t="shared" ca="1" si="7"/>
        <v>4.6703198643734317E-2</v>
      </c>
      <c r="Q24" s="263">
        <f t="shared" ca="1" si="9"/>
        <v>-60.639452660806029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1.45437563076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7.3073499284924903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0.32066607150750936</v>
      </c>
      <c r="O25" s="262">
        <f>1/(1+'[92]Asumsi I'!$C$3)^(KKF!A25)</f>
        <v>0.13003959011721541</v>
      </c>
      <c r="P25" s="263">
        <f t="shared" ca="1" si="7"/>
        <v>4.1699284503334204E-2</v>
      </c>
      <c r="Q25" s="263">
        <f t="shared" ca="1" si="9"/>
        <v>-60.597753376302691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1.45437563076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7.3073499284924903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0.32066607150750936</v>
      </c>
      <c r="O26" s="262">
        <f>1/(1+'[92]Asumsi I'!$C$3)^(KKF!A26)</f>
        <v>0.1161067768903709</v>
      </c>
      <c r="P26" s="263">
        <f t="shared" ca="1" si="7"/>
        <v>3.7231504020834111E-2</v>
      </c>
      <c r="Q26" s="263">
        <f t="shared" ca="1" si="9"/>
        <v>-60.560521872281861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1.45437563076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7.3073499284924903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0.32066607150750936</v>
      </c>
      <c r="O27" s="262">
        <f>1/(1+'[92]Asumsi I'!$C$3)^(KKF!A27)</f>
        <v>0.1036667650806883</v>
      </c>
      <c r="P27" s="263">
        <f t="shared" ca="1" si="7"/>
        <v>3.3242414304316167E-2</v>
      </c>
      <c r="Q27" s="263">
        <f t="shared" ca="1" si="9"/>
        <v>-60.527279457977542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1.45437563076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7.3073499284924903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0.32066607150750936</v>
      </c>
      <c r="O28" s="262">
        <f>1/(1+'[92]Asumsi I'!$C$3)^(KKF!A28)</f>
        <v>9.2559611679185971E-2</v>
      </c>
      <c r="P28" s="263">
        <f t="shared" ca="1" si="7"/>
        <v>2.9680727057425148E-2</v>
      </c>
      <c r="Q28" s="263">
        <f t="shared" ca="1" si="9"/>
        <v>-60.497598730920117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1.45437563076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7.3073499284924903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0.32066607150750936</v>
      </c>
      <c r="O29" s="262">
        <f>1/(1+'[92]Asumsi I'!$C$3)^(KKF!A29)</f>
        <v>8.2642510427844609E-2</v>
      </c>
      <c r="P29" s="263">
        <f t="shared" ca="1" si="7"/>
        <v>2.6500649158415306E-2</v>
      </c>
      <c r="Q29" s="263">
        <f t="shared" ca="1" si="9"/>
        <v>-60.471098081761703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1.45437563076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7.3073499284924903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0.32066607150750936</v>
      </c>
      <c r="O30" s="262">
        <f>1/(1+'[92]Asumsi I'!$C$3)^(KKF!A30)</f>
        <v>7.3787955739146982E-2</v>
      </c>
      <c r="P30" s="263">
        <f t="shared" ca="1" si="7"/>
        <v>2.3661293891442243E-2</v>
      </c>
      <c r="Q30" s="263">
        <f t="shared" ca="1" si="9"/>
        <v>-60.447436787870259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1.45437563076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7.3073499284924903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0.32066607150750936</v>
      </c>
      <c r="O31" s="262">
        <f>1/(1+'[92]Asumsi I'!$C$3)^(KKF!A31)</f>
        <v>6.5882103338524081E-2</v>
      </c>
      <c r="P31" s="263">
        <f t="shared" ca="1" si="7"/>
        <v>2.1126155260216283E-2</v>
      </c>
      <c r="Q31" s="263">
        <f ca="1">Q30+P31</f>
        <v>-60.42631063261004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1.45437563076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7.3073499284924903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0.32066607150750936</v>
      </c>
      <c r="O32" s="262">
        <f>1/(1+'[92]Asumsi I'!$C$3)^(KKF!A32)</f>
        <v>5.8823306552253637E-2</v>
      </c>
      <c r="P32" s="263">
        <f t="shared" ca="1" si="7"/>
        <v>1.886263862519311E-2</v>
      </c>
      <c r="Q32" s="263">
        <f ca="1">Q31+P32</f>
        <v>-60.407447993984846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258.80789681364985</v>
      </c>
      <c r="K33" s="612" t="s">
        <v>1374</v>
      </c>
      <c r="L33" s="612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237.39383541097462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0.78785104515885851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-53.935221423200751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-0.12023263767154291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5"/>
  <sheetViews>
    <sheetView showGridLines="0" zoomScale="70" zoomScaleNormal="70" zoomScaleSheetLayoutView="70" workbookViewId="0">
      <pane ySplit="13" topLeftCell="A21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6" t="s">
        <v>1036</v>
      </c>
      <c r="P3" s="636"/>
      <c r="Q3" s="293"/>
      <c r="T3" s="291"/>
      <c r="U3" s="292" t="s">
        <v>1041</v>
      </c>
      <c r="V3" s="291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9" t="s">
        <v>1639</v>
      </c>
      <c r="H6" s="620"/>
      <c r="I6" s="620"/>
      <c r="J6" s="620"/>
      <c r="K6" s="62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1640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0" t="s">
        <v>1035</v>
      </c>
      <c r="C20" s="721" t="s">
        <v>1637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20">
        <v>1</v>
      </c>
      <c r="C21" s="721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50" ca="1" si="9">IF(OR(D21="MDU",D21="MDU-KD"),(IF($O$3="RAB NON MDU","PLN KD",G21*F21)),0)</f>
        <v>42757200</v>
      </c>
      <c r="I21" s="308">
        <f t="shared" ref="I21:I50" ca="1" si="10">IF(D21="HDW",G21*F21,0)</f>
        <v>0</v>
      </c>
      <c r="J21" s="308">
        <f t="shared" ref="J21:J50" ca="1" si="11">IF(D21="JASA",G21*F21,0)</f>
        <v>0</v>
      </c>
      <c r="K21" s="309">
        <f t="shared" ref="K21:K50" ca="1" si="12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1" t="s">
        <v>1614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8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0"/>
      <c r="C23" s="461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127800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127800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0"/>
      <c r="C24" s="461" t="s">
        <v>1627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0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0">
        <v>4</v>
      </c>
      <c r="C26" s="721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0">
        <v>5</v>
      </c>
      <c r="C27" s="721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9"/>
        <v>0</v>
      </c>
      <c r="I27" s="308">
        <f t="shared" ca="1" si="10"/>
        <v>52500</v>
      </c>
      <c r="J27" s="308">
        <f t="shared" ca="1" si="11"/>
        <v>0</v>
      </c>
      <c r="K27" s="309">
        <f t="shared" ca="1" si="12"/>
        <v>52500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0">
        <v>6</v>
      </c>
      <c r="C28" s="721" t="s">
        <v>1616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637000</v>
      </c>
      <c r="J28" s="308">
        <f t="shared" ca="1" si="11"/>
        <v>0</v>
      </c>
      <c r="K28" s="309">
        <f t="shared" ca="1" si="12"/>
        <v>637000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0">
        <v>7</v>
      </c>
      <c r="C29" s="721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F20*22</f>
        <v>22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174636</v>
      </c>
      <c r="J29" s="308">
        <f t="shared" ca="1" si="11"/>
        <v>0</v>
      </c>
      <c r="K29" s="309">
        <f t="shared" ca="1" si="12"/>
        <v>174636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0">
        <v>8</v>
      </c>
      <c r="C30" s="721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F20*1</f>
        <v>1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404600</v>
      </c>
      <c r="J30" s="308">
        <f t="shared" ca="1" si="11"/>
        <v>0</v>
      </c>
      <c r="K30" s="309">
        <f t="shared" ca="1" si="12"/>
        <v>404600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0">
        <v>9</v>
      </c>
      <c r="C31" s="721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47700</v>
      </c>
      <c r="J31" s="308">
        <f t="shared" ca="1" si="11"/>
        <v>0</v>
      </c>
      <c r="K31" s="309">
        <f t="shared" ca="1" si="12"/>
        <v>47700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0">
        <v>10</v>
      </c>
      <c r="C32" s="721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1415500</v>
      </c>
      <c r="J32" s="308">
        <f t="shared" ca="1" si="11"/>
        <v>0</v>
      </c>
      <c r="K32" s="309">
        <f t="shared" ca="1" si="12"/>
        <v>1415500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0">
        <v>11</v>
      </c>
      <c r="C33" s="721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1522000</v>
      </c>
      <c r="J33" s="308">
        <f t="shared" ca="1" si="11"/>
        <v>0</v>
      </c>
      <c r="K33" s="309">
        <f t="shared" ca="1" si="12"/>
        <v>1522000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0">
        <v>12</v>
      </c>
      <c r="C34" s="721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520200</v>
      </c>
      <c r="J34" s="308">
        <f t="shared" ca="1" si="11"/>
        <v>0</v>
      </c>
      <c r="K34" s="309">
        <f t="shared" ca="1" si="12"/>
        <v>520200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0">
        <v>13</v>
      </c>
      <c r="C35" s="721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F20*1</f>
        <v>1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57690</v>
      </c>
      <c r="J35" s="308">
        <f t="shared" ca="1" si="11"/>
        <v>0</v>
      </c>
      <c r="K35" s="309">
        <f t="shared" ca="1" si="12"/>
        <v>57690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0">
        <v>14</v>
      </c>
      <c r="C36" s="721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135000</v>
      </c>
      <c r="J36" s="308">
        <f t="shared" ca="1" si="11"/>
        <v>0</v>
      </c>
      <c r="K36" s="309">
        <f t="shared" ca="1" si="12"/>
        <v>135000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0">
        <v>15</v>
      </c>
      <c r="C37" s="721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F20*2</f>
        <v>2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258000</v>
      </c>
      <c r="J37" s="308">
        <f t="shared" ca="1" si="11"/>
        <v>0</v>
      </c>
      <c r="K37" s="309">
        <f t="shared" ca="1" si="12"/>
        <v>258000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0">
        <v>16</v>
      </c>
      <c r="C38" s="721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F20*4</f>
        <v>4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1000000</v>
      </c>
      <c r="J38" s="308">
        <f t="shared" ca="1" si="11"/>
        <v>0</v>
      </c>
      <c r="K38" s="309">
        <f t="shared" ca="1" si="12"/>
        <v>1000000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20">
        <v>17</v>
      </c>
      <c r="C39" s="721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f>F20*1</f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9"/>
        <v>0</v>
      </c>
      <c r="I39" s="308">
        <f t="shared" ca="1" si="10"/>
        <v>0</v>
      </c>
      <c r="J39" s="308">
        <f t="shared" ca="1" si="11"/>
        <v>1182800</v>
      </c>
      <c r="K39" s="309">
        <f t="shared" ca="1" si="12"/>
        <v>1182800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20"/>
      <c r="C40" s="721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1" t="s">
        <v>1035</v>
      </c>
      <c r="C41" s="722" t="s">
        <v>1636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1">
        <v>1</v>
      </c>
      <c r="C42" s="723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1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9"/>
        <v>0</v>
      </c>
      <c r="I42" s="308">
        <f t="shared" ca="1" si="10"/>
        <v>185200</v>
      </c>
      <c r="J42" s="308">
        <f t="shared" ca="1" si="11"/>
        <v>0</v>
      </c>
      <c r="K42" s="309">
        <f t="shared" ca="1" si="12"/>
        <v>185200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0">
        <v>2</v>
      </c>
      <c r="C43" s="721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F41*1</f>
        <v>1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9"/>
        <v>0</v>
      </c>
      <c r="I43" s="308">
        <f t="shared" ca="1" si="10"/>
        <v>47459</v>
      </c>
      <c r="J43" s="308">
        <f t="shared" ca="1" si="11"/>
        <v>0</v>
      </c>
      <c r="K43" s="309">
        <f t="shared" ca="1" si="12"/>
        <v>47459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0">
        <v>3</v>
      </c>
      <c r="C44" s="721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F41*1</f>
        <v>1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9"/>
        <v>0</v>
      </c>
      <c r="I44" s="308">
        <f t="shared" ca="1" si="10"/>
        <v>4880</v>
      </c>
      <c r="J44" s="308">
        <f t="shared" ca="1" si="11"/>
        <v>0</v>
      </c>
      <c r="K44" s="309">
        <f t="shared" ca="1" si="12"/>
        <v>4880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0">
        <v>4</v>
      </c>
      <c r="C45" s="721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2">
        <f>F41*10</f>
        <v>10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9"/>
        <v>0</v>
      </c>
      <c r="I45" s="308">
        <f t="shared" ca="1" si="10"/>
        <v>300000</v>
      </c>
      <c r="J45" s="308">
        <f t="shared" ca="1" si="11"/>
        <v>0</v>
      </c>
      <c r="K45" s="309">
        <f t="shared" ca="1" si="12"/>
        <v>300000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0">
        <v>5</v>
      </c>
      <c r="C46" s="721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2">
        <f>F41*2</f>
        <v>2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9"/>
        <v>0</v>
      </c>
      <c r="I46" s="308">
        <f t="shared" ca="1" si="10"/>
        <v>19000</v>
      </c>
      <c r="J46" s="308">
        <f t="shared" ca="1" si="11"/>
        <v>0</v>
      </c>
      <c r="K46" s="309">
        <f t="shared" ca="1" si="12"/>
        <v>19000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0">
        <v>6</v>
      </c>
      <c r="C47" s="721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2">
        <f>F41*5.5</f>
        <v>5.5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9"/>
        <v>0</v>
      </c>
      <c r="I47" s="308">
        <f t="shared" ca="1" si="10"/>
        <v>33550</v>
      </c>
      <c r="J47" s="308">
        <f t="shared" ca="1" si="11"/>
        <v>0</v>
      </c>
      <c r="K47" s="309">
        <f t="shared" ca="1" si="12"/>
        <v>33550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0">
        <v>7</v>
      </c>
      <c r="C48" s="721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F41*6</f>
        <v>6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9"/>
        <v>0</v>
      </c>
      <c r="I48" s="308">
        <f t="shared" ca="1" si="10"/>
        <v>13800</v>
      </c>
      <c r="J48" s="308">
        <f t="shared" ca="1" si="11"/>
        <v>0</v>
      </c>
      <c r="K48" s="309">
        <f t="shared" ca="1" si="12"/>
        <v>13800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0">
        <v>8</v>
      </c>
      <c r="C49" s="721" t="s">
        <v>1638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2">
        <f>F41*4.8</f>
        <v>4.8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9"/>
        <v>0</v>
      </c>
      <c r="I49" s="308">
        <f t="shared" ca="1" si="10"/>
        <v>111888</v>
      </c>
      <c r="J49" s="308">
        <f t="shared" ca="1" si="11"/>
        <v>0</v>
      </c>
      <c r="K49" s="309">
        <f t="shared" ca="1" si="12"/>
        <v>111888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0">
        <v>9</v>
      </c>
      <c r="C50" s="721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2">
        <f>F41*1</f>
        <v>1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9"/>
        <v>0</v>
      </c>
      <c r="I50" s="308">
        <f t="shared" ca="1" si="10"/>
        <v>0</v>
      </c>
      <c r="J50" s="308">
        <f t="shared" ca="1" si="11"/>
        <v>65400</v>
      </c>
      <c r="K50" s="309">
        <f t="shared" ca="1" si="12"/>
        <v>65400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20"/>
      <c r="C51" s="417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2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ref="H51:H72" ca="1" si="14">IF(OR(D51="MDU",D51="MDU-KD"),(IF($O$3="RAB NON MDU","PLN KD",G51*F51)),0)</f>
        <v>0</v>
      </c>
      <c r="I51" s="308">
        <f t="shared" ref="I51:I72" ca="1" si="15">IF(D51="HDW",G51*F51,0)</f>
        <v>0</v>
      </c>
      <c r="J51" s="308">
        <f t="shared" ref="J51:J72" ca="1" si="16">IF(D51="JASA",G51*F51,0)</f>
        <v>0</v>
      </c>
      <c r="K51" s="309">
        <f t="shared" ref="K51:K72" ca="1" si="17">SUM(H51:J51)</f>
        <v>0</v>
      </c>
      <c r="L51" s="316"/>
      <c r="M51" s="289" t="e">
        <f>IF(AND(F51&gt;0,#REF!=0),"",IF(AND(ISBLANK(F51)=FALSE,K51=0),"WARNING",""))</f>
        <v>#REF!</v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20">
        <v>10</v>
      </c>
      <c r="C52" s="417" t="s">
        <v>1616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4"/>
      <c r="G52" s="307">
        <f ca="1">IF(ISERROR(OFFSET('HARGA SATUAN'!$I$6,MATCH(RAB!C52,'HARGA SATUAN'!$C$7:$C$1495,0),0)),0,OFFSET('HARGA SATUAN'!$I$6,MATCH(RAB!C52,'HARGA SATUAN'!$C$7:$C$1495,0),0))</f>
        <v>49000</v>
      </c>
      <c r="H52" s="308">
        <f t="shared" ca="1" si="14"/>
        <v>0</v>
      </c>
      <c r="I52" s="308">
        <f t="shared" ca="1" si="15"/>
        <v>0</v>
      </c>
      <c r="J52" s="308">
        <f t="shared" ca="1" si="16"/>
        <v>0</v>
      </c>
      <c r="K52" s="309">
        <f t="shared" ca="1" si="17"/>
        <v>0</v>
      </c>
      <c r="L52" s="316"/>
      <c r="M52" s="289" t="str">
        <f t="shared" ref="M52:M90" ca="1" si="18">IF(AND(F52&gt;0,F51=0),"",IF(AND(ISBLANK(F52)=FALSE,K52=0),"WARNING",""))</f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4"/>
        <v>0</v>
      </c>
      <c r="I53" s="308">
        <f t="shared" ca="1" si="15"/>
        <v>0</v>
      </c>
      <c r="J53" s="308">
        <f t="shared" ca="1" si="16"/>
        <v>0</v>
      </c>
      <c r="K53" s="309">
        <f t="shared" ca="1" si="17"/>
        <v>0</v>
      </c>
      <c r="L53" s="316"/>
      <c r="M53" s="289" t="str">
        <f t="shared" ca="1" si="18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4"/>
        <v>0</v>
      </c>
      <c r="I54" s="308">
        <f t="shared" ca="1" si="15"/>
        <v>0</v>
      </c>
      <c r="J54" s="308">
        <f t="shared" ca="1" si="16"/>
        <v>0</v>
      </c>
      <c r="K54" s="309">
        <f t="shared" ca="1" si="17"/>
        <v>0</v>
      </c>
      <c r="L54" s="316"/>
      <c r="M54" s="289" t="str">
        <f t="shared" ca="1" si="18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4"/>
        <v>0</v>
      </c>
      <c r="I55" s="308">
        <f t="shared" ca="1" si="15"/>
        <v>0</v>
      </c>
      <c r="J55" s="308">
        <f t="shared" ca="1" si="16"/>
        <v>0</v>
      </c>
      <c r="K55" s="309">
        <f t="shared" ca="1" si="17"/>
        <v>0</v>
      </c>
      <c r="L55" s="316"/>
      <c r="M55" s="289" t="str">
        <f t="shared" ca="1" si="18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4"/>
        <v>0</v>
      </c>
      <c r="I56" s="308">
        <f t="shared" ca="1" si="15"/>
        <v>0</v>
      </c>
      <c r="J56" s="308">
        <f t="shared" ca="1" si="16"/>
        <v>0</v>
      </c>
      <c r="K56" s="309">
        <f t="shared" ca="1" si="17"/>
        <v>0</v>
      </c>
      <c r="L56" s="316"/>
      <c r="M56" s="289" t="str">
        <f t="shared" ca="1" si="18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4"/>
        <v>0</v>
      </c>
      <c r="I57" s="308">
        <f t="shared" ca="1" si="15"/>
        <v>0</v>
      </c>
      <c r="J57" s="308">
        <f t="shared" ca="1" si="16"/>
        <v>0</v>
      </c>
      <c r="K57" s="309">
        <f t="shared" ca="1" si="17"/>
        <v>0</v>
      </c>
      <c r="L57" s="316"/>
      <c r="M57" s="289" t="str">
        <f t="shared" ca="1" si="18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4"/>
        <v>0</v>
      </c>
      <c r="I58" s="308">
        <f t="shared" ca="1" si="15"/>
        <v>0</v>
      </c>
      <c r="J58" s="308">
        <f t="shared" ca="1" si="16"/>
        <v>0</v>
      </c>
      <c r="K58" s="309">
        <f t="shared" ca="1" si="17"/>
        <v>0</v>
      </c>
      <c r="L58" s="316"/>
      <c r="M58" s="289" t="str">
        <f t="shared" ca="1" si="18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4"/>
        <v>0</v>
      </c>
      <c r="I59" s="308">
        <f t="shared" ca="1" si="15"/>
        <v>0</v>
      </c>
      <c r="J59" s="308">
        <f t="shared" ca="1" si="16"/>
        <v>0</v>
      </c>
      <c r="K59" s="309">
        <f t="shared" ca="1" si="17"/>
        <v>0</v>
      </c>
      <c r="L59" s="316"/>
      <c r="M59" s="289" t="str">
        <f t="shared" ca="1" si="18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4"/>
        <v>0</v>
      </c>
      <c r="I60" s="308">
        <f t="shared" ca="1" si="15"/>
        <v>0</v>
      </c>
      <c r="J60" s="308">
        <f t="shared" ca="1" si="16"/>
        <v>0</v>
      </c>
      <c r="K60" s="309">
        <f t="shared" ca="1" si="17"/>
        <v>0</v>
      </c>
      <c r="L60" s="316"/>
      <c r="M60" s="289" t="str">
        <f t="shared" ca="1" si="18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49"/>
      <c r="C61" s="450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4"/>
        <v>0</v>
      </c>
      <c r="I61" s="308">
        <f t="shared" ca="1" si="15"/>
        <v>0</v>
      </c>
      <c r="J61" s="308">
        <f t="shared" ca="1" si="16"/>
        <v>0</v>
      </c>
      <c r="K61" s="309">
        <f t="shared" ca="1" si="17"/>
        <v>0</v>
      </c>
      <c r="L61" s="316"/>
      <c r="M61" s="289" t="str">
        <f t="shared" ca="1" si="18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49"/>
      <c r="C62" s="450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4"/>
        <v>0</v>
      </c>
      <c r="I62" s="308">
        <f t="shared" ca="1" si="15"/>
        <v>0</v>
      </c>
      <c r="J62" s="308">
        <f t="shared" ca="1" si="16"/>
        <v>0</v>
      </c>
      <c r="K62" s="309">
        <f t="shared" ca="1" si="17"/>
        <v>0</v>
      </c>
      <c r="L62" s="316"/>
      <c r="M62" s="289" t="str">
        <f t="shared" ca="1" si="18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49"/>
      <c r="C63" s="450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4"/>
        <v>0</v>
      </c>
      <c r="I63" s="308">
        <f t="shared" ca="1" si="15"/>
        <v>0</v>
      </c>
      <c r="J63" s="308">
        <f t="shared" ca="1" si="16"/>
        <v>0</v>
      </c>
      <c r="K63" s="309">
        <f t="shared" ca="1" si="17"/>
        <v>0</v>
      </c>
      <c r="L63" s="316"/>
      <c r="M63" s="289" t="str">
        <f t="shared" ca="1" si="18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49"/>
      <c r="C64" s="45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4"/>
        <v>0</v>
      </c>
      <c r="I64" s="308">
        <f t="shared" ca="1" si="15"/>
        <v>0</v>
      </c>
      <c r="J64" s="308">
        <f t="shared" ca="1" si="16"/>
        <v>0</v>
      </c>
      <c r="K64" s="309">
        <f t="shared" ca="1" si="17"/>
        <v>0</v>
      </c>
      <c r="L64" s="316"/>
      <c r="M64" s="289" t="str">
        <f t="shared" ca="1" si="18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49"/>
      <c r="C65" s="450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4"/>
        <v>0</v>
      </c>
      <c r="I65" s="308">
        <f t="shared" ca="1" si="15"/>
        <v>0</v>
      </c>
      <c r="J65" s="308">
        <f t="shared" ca="1" si="16"/>
        <v>0</v>
      </c>
      <c r="K65" s="309">
        <f t="shared" ca="1" si="17"/>
        <v>0</v>
      </c>
      <c r="L65" s="316"/>
      <c r="M65" s="289" t="str">
        <f t="shared" ca="1" si="18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49"/>
      <c r="C66" s="450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4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4"/>
        <v>0</v>
      </c>
      <c r="I66" s="308">
        <f t="shared" ca="1" si="15"/>
        <v>0</v>
      </c>
      <c r="J66" s="308">
        <f t="shared" ca="1" si="16"/>
        <v>0</v>
      </c>
      <c r="K66" s="309">
        <f t="shared" ca="1" si="17"/>
        <v>0</v>
      </c>
      <c r="L66" s="316"/>
      <c r="M66" s="289" t="str">
        <f t="shared" ca="1" si="18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4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4"/>
        <v>0</v>
      </c>
      <c r="I67" s="308">
        <f t="shared" ca="1" si="15"/>
        <v>0</v>
      </c>
      <c r="J67" s="308">
        <f t="shared" ca="1" si="16"/>
        <v>0</v>
      </c>
      <c r="K67" s="309">
        <f t="shared" ca="1" si="17"/>
        <v>0</v>
      </c>
      <c r="L67" s="316"/>
      <c r="M67" s="289" t="str">
        <f t="shared" ca="1" si="18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4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4"/>
        <v>0</v>
      </c>
      <c r="I68" s="308">
        <f t="shared" ca="1" si="15"/>
        <v>0</v>
      </c>
      <c r="J68" s="308">
        <f t="shared" ca="1" si="16"/>
        <v>0</v>
      </c>
      <c r="K68" s="309">
        <f t="shared" ca="1" si="17"/>
        <v>0</v>
      </c>
      <c r="L68" s="316"/>
      <c r="M68" s="289" t="str">
        <f t="shared" ca="1" si="18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49"/>
      <c r="C69" s="450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4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4"/>
        <v>0</v>
      </c>
      <c r="I69" s="308">
        <f t="shared" ca="1" si="15"/>
        <v>0</v>
      </c>
      <c r="J69" s="308">
        <f t="shared" ca="1" si="16"/>
        <v>0</v>
      </c>
      <c r="K69" s="309">
        <f t="shared" ca="1" si="17"/>
        <v>0</v>
      </c>
      <c r="L69" s="316"/>
      <c r="M69" s="289" t="str">
        <f t="shared" ca="1" si="18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49"/>
      <c r="C70" s="450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4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4"/>
        <v>0</v>
      </c>
      <c r="I70" s="308">
        <f t="shared" ca="1" si="15"/>
        <v>0</v>
      </c>
      <c r="J70" s="308">
        <f t="shared" ca="1" si="16"/>
        <v>0</v>
      </c>
      <c r="K70" s="309">
        <f t="shared" ca="1" si="17"/>
        <v>0</v>
      </c>
      <c r="L70" s="316"/>
      <c r="M70" s="289" t="str">
        <f t="shared" ca="1" si="18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49"/>
      <c r="C71" s="45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4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4"/>
        <v>0</v>
      </c>
      <c r="I71" s="308">
        <f t="shared" ca="1" si="15"/>
        <v>0</v>
      </c>
      <c r="J71" s="308">
        <f t="shared" ca="1" si="16"/>
        <v>0</v>
      </c>
      <c r="K71" s="309">
        <f t="shared" ca="1" si="17"/>
        <v>0</v>
      </c>
      <c r="L71" s="316"/>
      <c r="M71" s="289" t="str">
        <f t="shared" ca="1" si="18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49"/>
      <c r="C72" s="45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4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4"/>
        <v>0</v>
      </c>
      <c r="I72" s="308">
        <f t="shared" ca="1" si="15"/>
        <v>0</v>
      </c>
      <c r="J72" s="308">
        <f t="shared" ca="1" si="16"/>
        <v>0</v>
      </c>
      <c r="K72" s="309">
        <f t="shared" ca="1" si="17"/>
        <v>0</v>
      </c>
      <c r="L72" s="316"/>
      <c r="M72" s="289" t="str">
        <f t="shared" ca="1" si="18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18" t="s">
        <v>1602</v>
      </c>
      <c r="C73" s="421" t="s">
        <v>1604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5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74" ca="1" si="19">IF(OR(D73="MDU",D73="MDU-KD"),(IF($O$3="RAB NON MDU","PLN KD",G73*F73)),0)</f>
        <v>0</v>
      </c>
      <c r="I73" s="308">
        <f t="shared" ref="I73:I74" ca="1" si="20">IF(D73="HDW",G73*F73,0)</f>
        <v>0</v>
      </c>
      <c r="J73" s="308">
        <f t="shared" ref="J73:J74" ca="1" si="21">IF(D73="JASA",G73*F73,0)</f>
        <v>0</v>
      </c>
      <c r="K73" s="309">
        <f t="shared" ref="K73:K74" ca="1" si="22">SUM(H73:J73)</f>
        <v>0</v>
      </c>
      <c r="L73" s="316"/>
      <c r="M73" s="289" t="str">
        <f t="shared" ca="1" si="18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/>
      <c r="C74" s="109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19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9"/>
        <v>0</v>
      </c>
      <c r="I74" s="308">
        <f t="shared" ca="1" si="20"/>
        <v>0</v>
      </c>
      <c r="J74" s="308">
        <f t="shared" ca="1" si="21"/>
        <v>0</v>
      </c>
      <c r="K74" s="309">
        <f t="shared" ca="1" si="22"/>
        <v>0</v>
      </c>
      <c r="L74" s="316"/>
      <c r="M74" s="289" t="str">
        <f t="shared" ca="1" si="18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/>
      <c r="C75" s="109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19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ref="H75" ca="1" si="23">IF(OR(D75="MDU",D75="MDU-KD"),(IF($O$3="RAB NON MDU","PLN KD",G75*F75)),0)</f>
        <v>0</v>
      </c>
      <c r="I75" s="308">
        <f t="shared" ref="I75" ca="1" si="24">IF(D75="HDW",G75*F75,0)</f>
        <v>0</v>
      </c>
      <c r="J75" s="308">
        <f t="shared" ref="J75" ca="1" si="25">IF(D75="JASA",G75*F75,0)</f>
        <v>0</v>
      </c>
      <c r="K75" s="309">
        <f t="shared" ref="K75" ca="1" si="26">SUM(H75:J75)</f>
        <v>0</v>
      </c>
      <c r="L75" s="316"/>
      <c r="M75" s="289" t="str">
        <f t="shared" ca="1" si="18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/>
      <c r="C76" s="3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19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94" ca="1" si="27">IF(OR(D76="MDU",D76="MDU-KD"),(IF($O$3="RAB NON MDU","PLN KD",G76*F76)),0)</f>
        <v>0</v>
      </c>
      <c r="I76" s="308">
        <f t="shared" ref="I76:I94" ca="1" si="28">IF(D76="HDW",G76*F76,0)</f>
        <v>0</v>
      </c>
      <c r="J76" s="308">
        <f t="shared" ref="J76:J94" ca="1" si="29">IF(D76="JASA",G76*F76,0)</f>
        <v>0</v>
      </c>
      <c r="K76" s="309">
        <f t="shared" ref="K76:K94" ca="1" si="30">SUM(H76:J76)</f>
        <v>0</v>
      </c>
      <c r="L76" s="316"/>
      <c r="M76" s="289" t="e">
        <f>IF(AND(F76&gt;0,#REF!=0),"",IF(AND(ISBLANK(F76)=FALSE,K76=0),"WARNING",""))</f>
        <v>#REF!</v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418" t="s">
        <v>1610</v>
      </c>
      <c r="C77" s="421" t="s">
        <v>1606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6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ref="H77:H93" ca="1" si="31">IF(OR(D77="MDU",D77="MDU-KD"),(IF($O$3="RAB NON MDU","PLN KD",G77*F77)),0)</f>
        <v>0</v>
      </c>
      <c r="I77" s="308">
        <f t="shared" ref="I77:I93" ca="1" si="32">IF(D77="HDW",G77*F77,0)</f>
        <v>0</v>
      </c>
      <c r="J77" s="308">
        <f t="shared" ref="J77:J93" ca="1" si="33">IF(D77="JASA",G77*F77,0)</f>
        <v>0</v>
      </c>
      <c r="K77" s="309">
        <f t="shared" ref="K77:K93" ca="1" si="34">SUM(H77:J77)</f>
        <v>0</v>
      </c>
      <c r="L77" s="316"/>
      <c r="M77" s="289" t="str">
        <f t="shared" ca="1" si="18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62" t="s">
        <v>1035</v>
      </c>
      <c r="C78" s="463" t="s">
        <v>1634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7">
        <v>1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t="30">
      <c r="A79" s="283"/>
      <c r="B79" s="515">
        <v>1</v>
      </c>
      <c r="C79" s="109" t="s">
        <v>1196</v>
      </c>
      <c r="D79" s="305" t="str">
        <f ca="1">IF(ISERROR(OFFSET('HARGA SATUAN'!$D$6,MATCH(RAB!C79,'HARGA SATUAN'!$C$7:$C$1495,0),0)),"",OFFSET('HARGA SATUAN'!$D$6,MATCH(RAB!C79,'HARGA SATUAN'!$C$7:$C$1495,0),0))</f>
        <v>MDU-KD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517">
        <f>F78*1</f>
        <v>1</v>
      </c>
      <c r="G79" s="307">
        <f ca="1">IF(ISERROR(OFFSET('HARGA SATUAN'!$I$6,MATCH(RAB!C79,'HARGA SATUAN'!$C$7:$C$1495,0),0)),0,OFFSET('HARGA SATUAN'!$I$6,MATCH(RAB!C79,'HARGA SATUAN'!$C$7:$C$1495,0),0))</f>
        <v>1427400</v>
      </c>
      <c r="H79" s="308">
        <f t="shared" ca="1" si="31"/>
        <v>1427400</v>
      </c>
      <c r="I79" s="308">
        <f t="shared" ca="1" si="32"/>
        <v>0</v>
      </c>
      <c r="J79" s="308">
        <f t="shared" ca="1" si="33"/>
        <v>0</v>
      </c>
      <c r="K79" s="309">
        <f t="shared" ca="1" si="34"/>
        <v>1427400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5">
        <v>2</v>
      </c>
      <c r="C80" s="516" t="s">
        <v>513</v>
      </c>
      <c r="D80" s="305" t="str">
        <f ca="1">IF(ISERROR(OFFSET('HARGA SATUAN'!$D$6,MATCH(RAB!C80,'HARGA SATUAN'!$C$7:$C$1495,0),0)),"",OFFSET('HARGA SATUAN'!$D$6,MATCH(RAB!C80,'HARGA SATUAN'!$C$7:$C$1495,0),0))</f>
        <v>MDU-KD</v>
      </c>
      <c r="E80" s="306" t="str">
        <f ca="1">IF(B80="+","Unit",IF(ISERROR(OFFSET('HARGA SATUAN'!$E$6,MATCH(RAB!C80,'HARGA SATUAN'!$C$7:$C$1495,0),0)),"",OFFSET('HARGA SATUAN'!$E$6,MATCH(RAB!C80,'HARGA SATUAN'!$C$7:$C$1495,0),0)))</f>
        <v>Unit</v>
      </c>
      <c r="F80" s="517">
        <f>F78*1</f>
        <v>1</v>
      </c>
      <c r="G80" s="307">
        <f ca="1">IF(ISERROR(OFFSET('HARGA SATUAN'!$I$6,MATCH(RAB!C80,'HARGA SATUAN'!$C$7:$C$1495,0),0)),0,OFFSET('HARGA SATUAN'!$I$6,MATCH(RAB!C80,'HARGA SATUAN'!$C$7:$C$1495,0),0))</f>
        <v>3564900</v>
      </c>
      <c r="H80" s="308">
        <f t="shared" ca="1" si="31"/>
        <v>3564900</v>
      </c>
      <c r="I80" s="308">
        <f t="shared" ca="1" si="32"/>
        <v>0</v>
      </c>
      <c r="J80" s="308">
        <f t="shared" ca="1" si="33"/>
        <v>0</v>
      </c>
      <c r="K80" s="309">
        <f t="shared" ca="1" si="34"/>
        <v>3564900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15">
        <v>3</v>
      </c>
      <c r="C81" s="516" t="s">
        <v>1141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517">
        <f>F78*1</f>
        <v>1</v>
      </c>
      <c r="G81" s="307">
        <f ca="1">IF(ISERROR(OFFSET('HARGA SATUAN'!$I$6,MATCH(RAB!C81,'HARGA SATUAN'!$C$7:$C$1495,0),0)),0,OFFSET('HARGA SATUAN'!$I$6,MATCH(RAB!C81,'HARGA SATUAN'!$C$7:$C$1495,0),0))</f>
        <v>1113900</v>
      </c>
      <c r="H81" s="308">
        <f t="shared" ca="1" si="31"/>
        <v>0</v>
      </c>
      <c r="I81" s="308">
        <f t="shared" ca="1" si="32"/>
        <v>1113900</v>
      </c>
      <c r="J81" s="308">
        <f t="shared" ca="1" si="33"/>
        <v>0</v>
      </c>
      <c r="K81" s="309">
        <f t="shared" ca="1" si="34"/>
        <v>1113900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15">
        <v>4</v>
      </c>
      <c r="C82" s="109" t="s">
        <v>1402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517">
        <v>50</v>
      </c>
      <c r="G82" s="307">
        <f ca="1">IF(ISERROR(OFFSET('HARGA SATUAN'!$I$6,MATCH(RAB!C82,'HARGA SATUAN'!$C$7:$C$1495,0),0)),0,OFFSET('HARGA SATUAN'!$I$6,MATCH(RAB!C82,'HARGA SATUAN'!$C$7:$C$1495,0),0))</f>
        <v>30400</v>
      </c>
      <c r="H82" s="308">
        <f t="shared" ca="1" si="31"/>
        <v>1520000</v>
      </c>
      <c r="I82" s="308">
        <f t="shared" ca="1" si="32"/>
        <v>0</v>
      </c>
      <c r="J82" s="308">
        <f t="shared" ca="1" si="33"/>
        <v>0</v>
      </c>
      <c r="K82" s="309">
        <f t="shared" ca="1" si="34"/>
        <v>1520000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5">
        <v>5</v>
      </c>
      <c r="C83" s="516" t="s">
        <v>799</v>
      </c>
      <c r="D83" s="305" t="str">
        <f ca="1">IF(ISERROR(OFFSET('HARGA SATUAN'!$D$6,MATCH(RAB!C83,'HARGA SATUAN'!$C$7:$C$1495,0),0)),"",OFFSET('HARGA SATUAN'!$D$6,MATCH(RAB!C83,'HARGA SATUAN'!$C$7:$C$1495,0),0))</f>
        <v>JASA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517">
        <f>F78*1</f>
        <v>1</v>
      </c>
      <c r="G83" s="307">
        <f ca="1">IF(ISERROR(OFFSET('HARGA SATUAN'!$I$6,MATCH(RAB!C83,'HARGA SATUAN'!$C$7:$C$1495,0),0)),0,OFFSET('HARGA SATUAN'!$I$6,MATCH(RAB!C83,'HARGA SATUAN'!$C$7:$C$1495,0),0))</f>
        <v>106400</v>
      </c>
      <c r="H83" s="308">
        <f t="shared" ref="H83" ca="1" si="35">IF(OR(D83="MDU",D83="MDU-KD"),(IF($O$3="RAB NON MDU","PLN KD",G83*F83)),0)</f>
        <v>0</v>
      </c>
      <c r="I83" s="308">
        <f t="shared" ref="I83" ca="1" si="36">IF(D83="HDW",G83*F83,0)</f>
        <v>0</v>
      </c>
      <c r="J83" s="308">
        <f t="shared" ref="J83" ca="1" si="37">IF(D83="JASA",G83*F83,0)</f>
        <v>106400</v>
      </c>
      <c r="K83" s="309">
        <f t="shared" ref="K83" ca="1" si="38">SUM(H83:J83)</f>
        <v>106400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/>
      <c r="C84" s="319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3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31"/>
        <v>0</v>
      </c>
      <c r="I84" s="308">
        <f t="shared" ca="1" si="32"/>
        <v>0</v>
      </c>
      <c r="J84" s="308">
        <f t="shared" ca="1" si="33"/>
        <v>0</v>
      </c>
      <c r="K84" s="309">
        <f t="shared" ca="1" si="34"/>
        <v>0</v>
      </c>
      <c r="L84" s="316"/>
      <c r="M84" s="289" t="str">
        <f ca="1">IF(AND(F84&gt;0,F77=0),"",IF(AND(ISBLANK(F84)=FALSE,K84=0),"WARNING",""))</f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 t="s">
        <v>1035</v>
      </c>
      <c r="C85" s="319" t="s">
        <v>1619</v>
      </c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52">
        <v>1</v>
      </c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31"/>
        <v>0</v>
      </c>
      <c r="I85" s="308">
        <f t="shared" ca="1" si="32"/>
        <v>0</v>
      </c>
      <c r="J85" s="308">
        <f t="shared" ca="1" si="33"/>
        <v>0</v>
      </c>
      <c r="K85" s="309">
        <f t="shared" ca="1" si="34"/>
        <v>0</v>
      </c>
      <c r="L85" s="316"/>
      <c r="M85" s="289" t="str">
        <f t="shared" si="18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1</v>
      </c>
      <c r="C86" s="319" t="s">
        <v>29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2">
        <f>F85*1</f>
        <v>1</v>
      </c>
      <c r="G86" s="307">
        <f ca="1">IF(ISERROR(OFFSET('HARGA SATUAN'!$I$6,MATCH(RAB!C86,'HARGA SATUAN'!$C$7:$C$1495,0),0)),0,OFFSET('HARGA SATUAN'!$I$6,MATCH(RAB!C86,'HARGA SATUAN'!$C$7:$C$1495,0),0))</f>
        <v>185200</v>
      </c>
      <c r="H86" s="308">
        <f t="shared" ca="1" si="31"/>
        <v>0</v>
      </c>
      <c r="I86" s="308">
        <f t="shared" ca="1" si="32"/>
        <v>185200</v>
      </c>
      <c r="J86" s="308">
        <f t="shared" ca="1" si="33"/>
        <v>0</v>
      </c>
      <c r="K86" s="309">
        <f t="shared" ca="1" si="34"/>
        <v>185200</v>
      </c>
      <c r="L86" s="316"/>
      <c r="M86" s="289" t="str">
        <f t="shared" ca="1" si="18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2</v>
      </c>
      <c r="C87" s="319" t="s">
        <v>30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52">
        <f>F85*1</f>
        <v>1</v>
      </c>
      <c r="G87" s="307">
        <f ca="1">IF(ISERROR(OFFSET('HARGA SATUAN'!$I$6,MATCH(RAB!C87,'HARGA SATUAN'!$C$7:$C$1495,0),0)),0,OFFSET('HARGA SATUAN'!$I$6,MATCH(RAB!C87,'HARGA SATUAN'!$C$7:$C$1495,0),0))</f>
        <v>47459</v>
      </c>
      <c r="H87" s="308">
        <f t="shared" ca="1" si="31"/>
        <v>0</v>
      </c>
      <c r="I87" s="308">
        <f t="shared" ca="1" si="32"/>
        <v>47459</v>
      </c>
      <c r="J87" s="308">
        <f t="shared" ca="1" si="33"/>
        <v>0</v>
      </c>
      <c r="K87" s="309">
        <f t="shared" ca="1" si="34"/>
        <v>47459</v>
      </c>
      <c r="L87" s="316"/>
      <c r="M87" s="289" t="str">
        <f t="shared" ca="1" si="18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3</v>
      </c>
      <c r="C88" s="319" t="s">
        <v>32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452">
        <f>F85*1.5</f>
        <v>1.5</v>
      </c>
      <c r="G88" s="307">
        <f ca="1">IF(ISERROR(OFFSET('HARGA SATUAN'!$I$6,MATCH(RAB!C88,'HARGA SATUAN'!$C$7:$C$1495,0),0)),0,OFFSET('HARGA SATUAN'!$I$6,MATCH(RAB!C88,'HARGA SATUAN'!$C$7:$C$1495,0),0))</f>
        <v>30000</v>
      </c>
      <c r="H88" s="308">
        <f t="shared" ca="1" si="31"/>
        <v>0</v>
      </c>
      <c r="I88" s="308">
        <f t="shared" ca="1" si="32"/>
        <v>45000</v>
      </c>
      <c r="J88" s="308">
        <f t="shared" ca="1" si="33"/>
        <v>0</v>
      </c>
      <c r="K88" s="309">
        <f t="shared" ca="1" si="34"/>
        <v>45000</v>
      </c>
      <c r="L88" s="316"/>
      <c r="M88" s="289" t="str">
        <f t="shared" ca="1" si="18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4</v>
      </c>
      <c r="C89" s="319" t="s">
        <v>33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52">
        <f>F85*2</f>
        <v>2</v>
      </c>
      <c r="G89" s="307">
        <f ca="1">IF(ISERROR(OFFSET('HARGA SATUAN'!$I$6,MATCH(RAB!C89,'HARGA SATUAN'!$C$7:$C$1495,0),0)),0,OFFSET('HARGA SATUAN'!$I$6,MATCH(RAB!C89,'HARGA SATUAN'!$C$7:$C$1495,0),0))</f>
        <v>9500</v>
      </c>
      <c r="H89" s="308">
        <f t="shared" ca="1" si="31"/>
        <v>0</v>
      </c>
      <c r="I89" s="308">
        <f t="shared" ca="1" si="32"/>
        <v>19000</v>
      </c>
      <c r="J89" s="308">
        <f t="shared" ca="1" si="33"/>
        <v>0</v>
      </c>
      <c r="K89" s="309">
        <f t="shared" ca="1" si="34"/>
        <v>19000</v>
      </c>
      <c r="L89" s="316"/>
      <c r="M89" s="289" t="str">
        <f t="shared" ca="1" si="18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5</v>
      </c>
      <c r="C90" s="319" t="s">
        <v>735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52">
        <f>F85*1</f>
        <v>1</v>
      </c>
      <c r="G90" s="307">
        <f ca="1">IF(ISERROR(OFFSET('HARGA SATUAN'!$I$6,MATCH(RAB!C90,'HARGA SATUAN'!$C$7:$C$1495,0),0)),0,OFFSET('HARGA SATUAN'!$I$6,MATCH(RAB!C90,'HARGA SATUAN'!$C$7:$C$1495,0),0))</f>
        <v>56400</v>
      </c>
      <c r="H90" s="308">
        <f t="shared" ca="1" si="31"/>
        <v>0</v>
      </c>
      <c r="I90" s="308">
        <f t="shared" ca="1" si="32"/>
        <v>0</v>
      </c>
      <c r="J90" s="308">
        <f t="shared" ca="1" si="33"/>
        <v>56400</v>
      </c>
      <c r="K90" s="309">
        <f t="shared" ca="1" si="34"/>
        <v>56400</v>
      </c>
      <c r="L90" s="316"/>
      <c r="M90" s="289" t="str">
        <f t="shared" ca="1" si="18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18" t="s">
        <v>22</v>
      </c>
      <c r="C91" s="421" t="s">
        <v>802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>
        <f ca="1">IF(B91="+","Unit",IF(ISERROR(OFFSET('HARGA SATUAN'!$E$6,MATCH(RAB!C91,'HARGA SATUAN'!$C$7:$C$1495,0),0)),"",OFFSET('HARGA SATUAN'!$E$6,MATCH(RAB!C91,'HARGA SATUAN'!$C$7:$C$1495,0),0)))</f>
        <v>0</v>
      </c>
      <c r="F91" s="452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ref="H91:H92" ca="1" si="39">IF(OR(D91="MDU",D91="MDU-KD"),(IF($O$3="RAB NON MDU","PLN KD",G91*F91)),0)</f>
        <v>0</v>
      </c>
      <c r="I91" s="308">
        <f t="shared" ref="I91:I92" ca="1" si="40">IF(D91="HDW",G91*F91,0)</f>
        <v>0</v>
      </c>
      <c r="J91" s="308">
        <f t="shared" ref="J91:J92" ca="1" si="41">IF(D91="JASA",G91*F91,0)</f>
        <v>0</v>
      </c>
      <c r="K91" s="309">
        <f t="shared" ref="K91:K92" ca="1" si="42">SUM(H91:J91)</f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1</v>
      </c>
      <c r="C92" s="109" t="s">
        <v>981</v>
      </c>
      <c r="D92" s="305" t="str">
        <f ca="1">IF(ISERROR(OFFSET('HARGA SATUAN'!$D$6,MATCH(RAB!C92,'HARGA SATUAN'!$C$7:$C$1495,0),0)),"",OFFSET('HARGA SATUAN'!$D$6,MATCH(RAB!C92,'HARGA SATUAN'!$C$7:$C$1495,0),0))</f>
        <v>JASA</v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452">
        <v>1</v>
      </c>
      <c r="G92" s="307">
        <f ca="1">IF(ISERROR(OFFSET('HARGA SATUAN'!$I$6,MATCH(RAB!C92,'HARGA SATUAN'!$C$7:$C$1495,0),0)),0,OFFSET('HARGA SATUAN'!$I$6,MATCH(RAB!C92,'HARGA SATUAN'!$C$7:$C$1495,0),0))</f>
        <v>32640</v>
      </c>
      <c r="H92" s="308">
        <f t="shared" ca="1" si="39"/>
        <v>0</v>
      </c>
      <c r="I92" s="308">
        <f t="shared" ca="1" si="40"/>
        <v>0</v>
      </c>
      <c r="J92" s="308">
        <f t="shared" ca="1" si="41"/>
        <v>32640</v>
      </c>
      <c r="K92" s="309">
        <f t="shared" ca="1" si="42"/>
        <v>32640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>
      <c r="B93" s="320"/>
      <c r="C93" s="109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315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31"/>
        <v>0</v>
      </c>
      <c r="I93" s="308">
        <f t="shared" ca="1" si="32"/>
        <v>0</v>
      </c>
      <c r="J93" s="308">
        <f t="shared" ca="1" si="33"/>
        <v>0</v>
      </c>
      <c r="K93" s="309">
        <f t="shared" ca="1" si="34"/>
        <v>0</v>
      </c>
      <c r="M93" s="289" t="str">
        <f ca="1">IF(AND(F93&gt;0,F90=0),"",IF(AND(ISBLANK(F93)=FALSE,K93=0),"WARNING",""))</f>
        <v/>
      </c>
    </row>
    <row r="94" spans="1:22">
      <c r="B94" s="321"/>
      <c r="C94" s="322" t="s">
        <v>475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31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7"/>
        <v>0</v>
      </c>
      <c r="I94" s="308">
        <f t="shared" ca="1" si="28"/>
        <v>0</v>
      </c>
      <c r="J94" s="308">
        <f t="shared" ca="1" si="29"/>
        <v>0</v>
      </c>
      <c r="K94" s="309">
        <f t="shared" ca="1" si="30"/>
        <v>0</v>
      </c>
      <c r="M94" s="289" t="e">
        <f>IF(AND(F94&gt;0,#REF!=0),"",IF(AND(ISBLANK(F94)=FALSE,K94=0),"WARNING",""))</f>
        <v>#REF!</v>
      </c>
    </row>
    <row r="95" spans="1:22">
      <c r="B95" s="324">
        <v>1</v>
      </c>
      <c r="C95" s="325" t="s">
        <v>1091</v>
      </c>
      <c r="D95" s="326" t="str">
        <f ca="1">IF(ISERROR(OFFSET('HARGA SATUAN'!$D$6,MATCH(RAB!C95,'HARGA SATUAN'!$C$7:$C$1495,0),0)),"",OFFSET('HARGA SATUAN'!$D$6,MATCH(RAB!C95,'HARGA SATUAN'!$C$7:$C$1495,0),0))</f>
        <v>JASA</v>
      </c>
      <c r="E95" s="327" t="str">
        <f ca="1">IF(ISERROR(OFFSET('HARGA SATUAN'!$E$6,MATCH(RAB!C95,'HARGA SATUAN'!$C$7:$C$1495,0),0)),"",OFFSET('HARGA SATUAN'!$E$6,MATCH(RAB!C95,'HARGA SATUAN'!$C$7:$C$1495,0),0))</f>
        <v>Lot</v>
      </c>
      <c r="F95" s="328">
        <v>1</v>
      </c>
      <c r="G95" s="329">
        <f ca="1">IF(ISERROR(OFFSET('HARGA SATUAN'!$I$6,MATCH(RAB!C95,'HARGA SATUAN'!$C$7:$C$1495,0),0)),0,OFFSET('HARGA SATUAN'!$I$6,MATCH(RAB!C95,'HARGA SATUAN'!$C$7:$C$1495,0),0))</f>
        <v>2.5000000000000001E-2</v>
      </c>
      <c r="H95" s="330">
        <f ca="1">SUM(H14:H94)*G95</f>
        <v>1352993.75</v>
      </c>
      <c r="I95" s="330">
        <f ca="1">SUM(I14:I94)*G95</f>
        <v>208779.05000000002</v>
      </c>
      <c r="J95" s="330">
        <f ca="1">SUM(J14:J94)*G95</f>
        <v>36091</v>
      </c>
      <c r="K95" s="330">
        <f ca="1">SUM(K14:K94)*G95</f>
        <v>1597863.8</v>
      </c>
      <c r="M95" s="289" t="str">
        <f t="shared" ref="M95" si="43">IF(AND(F95&gt;0,F94=0),"",IF(AND(ISBLANK(F95)=FALSE,K95=0),"WARNING",""))</f>
        <v/>
      </c>
    </row>
    <row r="96" spans="1:22">
      <c r="B96" s="331"/>
      <c r="C96" s="332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IF(ISERROR(OFFSET('HARGA SATUAN'!$E$6,MATCH(RAB!C96,'HARGA SATUAN'!$C$7:$C$1495,0),0)),"",OFFSET('HARGA SATUAN'!$E$6,MATCH(RAB!C96,'HARGA SATUAN'!$C$7:$C$1495,0),0))</f>
        <v/>
      </c>
      <c r="F96" s="323"/>
      <c r="G96" s="307" t="str">
        <f ca="1">IF(ISERROR(OFFSET('HARGA SATUAN'!$I$6,MATCH(RAB!C96,'HARGA SATUAN'!$C$7:$C$1495,0),0)),"",OFFSET('HARGA SATUAN'!$I$6,MATCH(RAB!C96,'HARGA SATUAN'!$C$7:$C$1495,0),0))</f>
        <v/>
      </c>
      <c r="H96" s="308">
        <f ca="1">IF(OR(D96="MDU",D96="MDU-KD"),IF(G96="PLN",0,G96*F96),0)</f>
        <v>0</v>
      </c>
      <c r="I96" s="308">
        <f ca="1">IF(D96="HDW",IF(G96="PLN",0,G96*F96),0)</f>
        <v>0</v>
      </c>
      <c r="J96" s="308">
        <f ca="1">IF(D96="JASA",IF(G96="PLN",0,G96*F96),0)</f>
        <v>0</v>
      </c>
      <c r="K96" s="309">
        <f ca="1">SUM(H96:J96)</f>
        <v>0</v>
      </c>
    </row>
    <row r="97" spans="2:13" ht="15.75" thickBot="1">
      <c r="B97" s="333"/>
      <c r="C97" s="334"/>
      <c r="D97" s="335"/>
      <c r="E97" s="336"/>
      <c r="F97" s="336"/>
      <c r="G97" s="336"/>
      <c r="H97" s="337"/>
      <c r="I97" s="337"/>
      <c r="J97" s="337"/>
      <c r="K97" s="338"/>
    </row>
    <row r="98" spans="2:13">
      <c r="B98" s="339"/>
      <c r="C98" s="638" t="s">
        <v>1008</v>
      </c>
      <c r="D98" s="638"/>
      <c r="E98" s="638"/>
      <c r="F98" s="638"/>
      <c r="G98" s="340" t="s">
        <v>9</v>
      </c>
      <c r="H98" s="341">
        <f ca="1">SUM(H14:H96)</f>
        <v>55472743.75</v>
      </c>
      <c r="I98" s="341">
        <f ca="1">SUM(I14:I96)</f>
        <v>8559941.0500000007</v>
      </c>
      <c r="J98" s="341">
        <f ca="1">SUM(J14:J96)</f>
        <v>1479731</v>
      </c>
      <c r="K98" s="341">
        <f ca="1">SUM(K14:K96)</f>
        <v>65512415.799999997</v>
      </c>
    </row>
    <row r="99" spans="2:13">
      <c r="B99" s="342"/>
      <c r="C99" s="621" t="s">
        <v>1455</v>
      </c>
      <c r="D99" s="621"/>
      <c r="E99" s="621"/>
      <c r="F99" s="621"/>
      <c r="G99" s="343" t="s">
        <v>9</v>
      </c>
      <c r="H99" s="344">
        <f ca="1">H98*0.11</f>
        <v>6102001.8125</v>
      </c>
      <c r="I99" s="344">
        <f ca="1">I98*0.11</f>
        <v>941593.5155000001</v>
      </c>
      <c r="J99" s="344">
        <f ca="1">J98*0.11</f>
        <v>162770.41</v>
      </c>
      <c r="K99" s="344">
        <f ca="1">K98*0.11</f>
        <v>7206365.7379999999</v>
      </c>
    </row>
    <row r="100" spans="2:13" ht="15.75" thickBot="1">
      <c r="B100" s="342"/>
      <c r="C100" s="618" t="s">
        <v>463</v>
      </c>
      <c r="D100" s="618"/>
      <c r="E100" s="618"/>
      <c r="F100" s="618"/>
      <c r="G100" s="345" t="s">
        <v>9</v>
      </c>
      <c r="H100" s="346">
        <f ca="1">SUM(H98:H99)</f>
        <v>61574745.5625</v>
      </c>
      <c r="I100" s="346">
        <f ca="1">SUM(I98:I99)</f>
        <v>9501534.5655000005</v>
      </c>
      <c r="J100" s="345">
        <f ca="1">SUM(J98:J99)</f>
        <v>1642501.41</v>
      </c>
      <c r="K100" s="345">
        <f ca="1">SUM(K98:K99)</f>
        <v>72718781.538000003</v>
      </c>
      <c r="M100" s="410"/>
    </row>
    <row r="101" spans="2:13">
      <c r="B101" s="622" t="str">
        <f ca="1">"Terbilang : "&amp;PROPER(IF(K100=0,"nol",IF(K100&lt;0,"minus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IF(--MID(TEXT(ABS(K100),"000000000000000"),1,3)=0,"",MID(TEXT(ABS(K100),"000000000000000"),1,1)&amp;" ratus "&amp;MID(TEXT(ABS(K100),"000000000000000"),2,1)&amp;" puluh "&amp;MID(TEXT(ABS(K100),"000000000000000"),3,1)&amp;" trilyun ")&amp; IF(--MID(TEXT(ABS(K100),"000000000000000"),4,3)=0,"",MID(TEXT(ABS(K100),"000000000000000"),4,1)&amp;" ratus "&amp;MID(TEXT(ABS(K100),"000000000000000"),5,1)&amp;" puluh "&amp;MID(TEXT(ABS(K100),"000000000000000"),6,1)&amp;" milyar ")&amp; IF(--MID(TEXT(ABS(K100),"000000000000000"),7,3)=0,"",MID(TEXT(ABS(K100),"000000000000000"),7,1)&amp;" ratus "&amp;MID(TEXT(ABS(K100),"000000000000000"),8,1)&amp;" puluh "&amp;MID(TEXT(ABS(K100),"000000000000000"),9,1)&amp;" juta ")&amp; IF(--MID(TEXT(ABS(K100),"000000000000000"),10,3)=0,"",IF(--MID(TEXT(ABS(K100),"000000000000000"),10,3)=1,"*",MID(TEXT(ABS(K100),"000000000000000"),10,1)&amp;" ratus "&amp;MID(TEXT(ABS(K100),"000000000000000"),11,1)&amp;" puluh ")&amp;MID(TEXT(ABS(K100),"000000000000000"),12,1)&amp;" ribu ")&amp; IF(--MID(TEXT(ABS(K100),"000000000000000"),13,3)=0,"",MID(TEXT(ABS(K100),"000000000000000"),13,1)&amp;" ratus "&amp;MID(TEXT(ABS(K100),"000000000000000"),14,1)&amp;" puluh "&amp;MID(TEXT(ABS(K100),"000000000000000"),15,1)),1,"satu"),2,"dua"),3,"tiga"),4,"empat"),5,"lima"),6,"enam"),7,"tujuh"),8,"delapan"),9,"sembilan"),"0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Dua Juta Tujuh Ratus Delapan Belas Ribu Tujuh Ratus Delapan Puluh Dua Rupiah</v>
      </c>
      <c r="C101" s="623"/>
      <c r="D101" s="623"/>
      <c r="E101" s="623"/>
      <c r="F101" s="623"/>
      <c r="G101" s="623"/>
      <c r="H101" s="623"/>
      <c r="I101" s="623"/>
      <c r="J101" s="623"/>
      <c r="K101" s="624"/>
    </row>
    <row r="102" spans="2:13">
      <c r="B102" s="625"/>
      <c r="C102" s="626"/>
      <c r="D102" s="626"/>
      <c r="E102" s="626"/>
      <c r="F102" s="626"/>
      <c r="G102" s="626"/>
      <c r="H102" s="626"/>
      <c r="I102" s="626"/>
      <c r="J102" s="626"/>
      <c r="K102" s="627"/>
    </row>
    <row r="103" spans="2:13" ht="15.75" thickBot="1">
      <c r="B103" s="347" t="str">
        <f>"Harga yang dipakai adalah "&amp;'HARGA SATUAN'!I5&amp;""</f>
        <v>Harga yang dipakai adalah RAB HSS 2023</v>
      </c>
      <c r="C103" s="348"/>
      <c r="D103" s="349"/>
      <c r="E103" s="349"/>
      <c r="F103" s="349"/>
      <c r="G103" s="350"/>
      <c r="H103" s="350"/>
      <c r="I103" s="350"/>
      <c r="J103" s="350"/>
      <c r="K103" s="351"/>
    </row>
    <row r="104" spans="2:13">
      <c r="C104" s="352"/>
      <c r="E104" s="354"/>
      <c r="F104" s="354"/>
      <c r="G104" s="354"/>
    </row>
    <row r="105" spans="2:13">
      <c r="C105" s="284"/>
      <c r="E105" s="354"/>
      <c r="F105" s="354"/>
      <c r="G105" s="354"/>
      <c r="H105" s="628"/>
      <c r="I105" s="628"/>
      <c r="J105" s="629"/>
      <c r="K105" s="629"/>
    </row>
    <row r="106" spans="2:13">
      <c r="C106" s="284"/>
      <c r="E106" s="354"/>
      <c r="F106" s="354"/>
      <c r="G106" s="354"/>
      <c r="H106" s="355"/>
      <c r="I106" s="617" t="s">
        <v>1617</v>
      </c>
      <c r="J106" s="617"/>
      <c r="K106" s="617"/>
    </row>
    <row r="107" spans="2:13">
      <c r="C107" s="284"/>
      <c r="E107" s="354"/>
      <c r="F107" s="354"/>
      <c r="G107" s="354"/>
      <c r="H107" s="355"/>
      <c r="I107" s="617" t="s">
        <v>1611</v>
      </c>
      <c r="J107" s="617"/>
      <c r="K107" s="617"/>
    </row>
    <row r="108" spans="2:13">
      <c r="C108" s="284"/>
      <c r="E108" s="354"/>
      <c r="F108" s="354"/>
      <c r="G108" s="354"/>
      <c r="H108" s="356"/>
      <c r="I108" s="357"/>
      <c r="J108" s="357"/>
      <c r="K108" s="357"/>
    </row>
    <row r="109" spans="2:13">
      <c r="C109" s="284"/>
      <c r="E109" s="354"/>
      <c r="F109" s="354"/>
      <c r="G109" s="354"/>
      <c r="H109" s="356"/>
      <c r="I109" s="356"/>
      <c r="J109" s="356"/>
      <c r="K109" s="356"/>
    </row>
    <row r="110" spans="2:13">
      <c r="C110" s="284"/>
      <c r="E110" s="354"/>
      <c r="F110" s="354"/>
      <c r="G110" s="354"/>
      <c r="H110" s="356"/>
      <c r="I110" s="356"/>
      <c r="J110" s="356"/>
      <c r="K110" s="356"/>
    </row>
    <row r="111" spans="2:13">
      <c r="C111" s="284"/>
      <c r="E111" s="354"/>
      <c r="F111" s="354"/>
      <c r="G111" s="354"/>
      <c r="H111" s="356"/>
      <c r="I111" s="356"/>
      <c r="J111" s="356"/>
      <c r="K111" s="356"/>
    </row>
    <row r="112" spans="2:13">
      <c r="C112" s="284"/>
      <c r="E112" s="354"/>
      <c r="F112" s="354"/>
      <c r="G112" s="354"/>
      <c r="H112" s="358"/>
      <c r="I112" s="617" t="s">
        <v>1612</v>
      </c>
      <c r="J112" s="617"/>
      <c r="K112" s="617"/>
    </row>
    <row r="113" spans="3:11">
      <c r="C113" s="352"/>
      <c r="E113" s="354"/>
      <c r="F113" s="354"/>
      <c r="G113" s="354"/>
      <c r="H113" s="356"/>
      <c r="I113" s="356"/>
      <c r="J113" s="356"/>
      <c r="K113" s="356"/>
    </row>
    <row r="114" spans="3:11">
      <c r="C114" s="352"/>
      <c r="E114" s="354"/>
      <c r="F114" s="354"/>
      <c r="G114" s="354"/>
      <c r="H114" s="356"/>
      <c r="I114" s="356"/>
      <c r="J114" s="356"/>
      <c r="K114" s="356"/>
    </row>
    <row r="115" spans="3:11">
      <c r="C115" s="352"/>
      <c r="E115" s="354"/>
      <c r="F115" s="354"/>
      <c r="G115" s="354"/>
      <c r="H115" s="356"/>
      <c r="I115" s="356"/>
      <c r="J115" s="356"/>
      <c r="K115" s="356"/>
    </row>
  </sheetData>
  <sheetProtection sort="0" autoFilter="0"/>
  <protectedRanges>
    <protectedRange sqref="B77:C77 B15 B16:C16 B19:C30 B17:B18 B53:C73 B74:B76" name="Range1_6_1"/>
    <protectedRange sqref="B37:C50" name="Range1_6_1_1_1"/>
    <protectedRange sqref="B31:C36" name="Range1_6_1_2"/>
    <protectedRange sqref="C76" name="Range1_6_1_10"/>
    <protectedRange sqref="B84:C91 B78:B83 B92" name="Range1_6_1_11"/>
    <protectedRange sqref="B51:C52" name="Range1_6_1_15"/>
    <protectedRange sqref="C78:C80 C83" name="Range1_6_1_18"/>
    <protectedRange sqref="C18" name="Range1_1_3_1"/>
    <protectedRange sqref="C74" name="Range1_1_3_3"/>
    <protectedRange sqref="C75" name="Range1_1_3_4"/>
    <protectedRange sqref="C17" name="Range1_1_3_2"/>
    <protectedRange sqref="C81" name="Range1_1_3_7"/>
    <protectedRange sqref="C82" name="Range1_1_3"/>
    <protectedRange sqref="C92" name="Range1_1_3_8"/>
    <protectedRange sqref="C93" name="Range1_1_3_9"/>
  </protectedRanges>
  <mergeCells count="22">
    <mergeCell ref="O3:P4"/>
    <mergeCell ref="B4:K4"/>
    <mergeCell ref="C98:F98"/>
    <mergeCell ref="B11:B13"/>
    <mergeCell ref="C11:C13"/>
    <mergeCell ref="D11:D13"/>
    <mergeCell ref="E11:E13"/>
    <mergeCell ref="F11:F13"/>
    <mergeCell ref="G11:G13"/>
    <mergeCell ref="I12:I13"/>
    <mergeCell ref="I107:K107"/>
    <mergeCell ref="I112:K112"/>
    <mergeCell ref="C100:F100"/>
    <mergeCell ref="G6:K6"/>
    <mergeCell ref="I106:K106"/>
    <mergeCell ref="C99:F99"/>
    <mergeCell ref="B101:K102"/>
    <mergeCell ref="H105:K105"/>
    <mergeCell ref="H11:K11"/>
    <mergeCell ref="H12:H13"/>
    <mergeCell ref="J12:J13"/>
    <mergeCell ref="K12:K13"/>
  </mergeCells>
  <phoneticPr fontId="133" type="noConversion"/>
  <conditionalFormatting sqref="C15">
    <cfRule type="cellIs" dxfId="12" priority="102" operator="equal">
      <formula>0</formula>
    </cfRule>
  </conditionalFormatting>
  <conditionalFormatting sqref="C17:C18">
    <cfRule type="cellIs" dxfId="11" priority="16" operator="equal">
      <formula>0</formula>
    </cfRule>
  </conditionalFormatting>
  <conditionalFormatting sqref="C74:C75">
    <cfRule type="cellIs" dxfId="10" priority="18" operator="equal">
      <formula>0</formula>
    </cfRule>
  </conditionalFormatting>
  <conditionalFormatting sqref="C79">
    <cfRule type="cellIs" dxfId="9" priority="8" operator="equal">
      <formula>0</formula>
    </cfRule>
  </conditionalFormatting>
  <conditionalFormatting sqref="C82">
    <cfRule type="cellIs" dxfId="8" priority="6" operator="equal">
      <formula>0</formula>
    </cfRule>
  </conditionalFormatting>
  <conditionalFormatting sqref="C92:C93">
    <cfRule type="cellIs" dxfId="7" priority="4" operator="equal">
      <formula>0</formula>
    </cfRule>
  </conditionalFormatting>
  <conditionalFormatting sqref="E1:E3 E5:E13 H12:I12 O13 E95:G95 H95:K97 E96:H96 E97:F97 S14:V92">
    <cfRule type="cellIs" dxfId="6" priority="1146" stopIfTrue="1" operator="equal">
      <formula>0</formula>
    </cfRule>
  </conditionalFormatting>
  <conditionalFormatting sqref="E14:K19 E51:K94 E20:E50 G20:K50">
    <cfRule type="cellIs" dxfId="5" priority="7" stopIfTrue="1" operator="equal">
      <formula>0</formula>
    </cfRule>
  </conditionalFormatting>
  <conditionalFormatting sqref="G1:G13">
    <cfRule type="cellIs" dxfId="4" priority="71" stopIfTrue="1" operator="equal">
      <formula>0</formula>
    </cfRule>
  </conditionalFormatting>
  <conditionalFormatting sqref="G96:G65562 E101:E65562">
    <cfRule type="cellIs" dxfId="3" priority="280" stopIfTrue="1" operator="equal">
      <formula>0</formula>
    </cfRule>
  </conditionalFormatting>
  <conditionalFormatting sqref="C25">
    <cfRule type="cellIs" dxfId="2" priority="3" operator="equal">
      <formula>0</formula>
    </cfRule>
  </conditionalFormatting>
  <conditionalFormatting sqref="F20:F40">
    <cfRule type="cellIs" dxfId="1" priority="2" stopIfTrue="1" operator="equal">
      <formula>0</formula>
    </cfRule>
  </conditionalFormatting>
  <conditionalFormatting sqref="F41:F5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5:F92 F74:F76 C22:C24 F16:F72 H14:K9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9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E13" zoomScale="90" zoomScaleNormal="90" zoomScaleSheetLayoutView="100" workbookViewId="0">
      <selection activeCell="V27" sqref="V27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47" t="s">
        <v>1438</v>
      </c>
      <c r="X2" s="648"/>
      <c r="Y2" s="648"/>
      <c r="Z2" s="648"/>
      <c r="AA2" s="648"/>
      <c r="AB2" s="648"/>
      <c r="AC2" s="648"/>
      <c r="AD2" s="649"/>
    </row>
    <row r="3" spans="3:30">
      <c r="C3" s="467"/>
      <c r="W3" s="650"/>
      <c r="X3" s="651"/>
      <c r="Y3" s="651"/>
      <c r="Z3" s="651"/>
      <c r="AA3" s="651"/>
      <c r="AB3" s="651"/>
      <c r="AC3" s="651"/>
      <c r="AD3" s="652"/>
    </row>
    <row r="4" spans="3:30">
      <c r="C4" s="467"/>
      <c r="G4" s="468" t="s">
        <v>1635</v>
      </c>
      <c r="W4" s="469" t="s">
        <v>987</v>
      </c>
      <c r="AD4" s="470"/>
    </row>
    <row r="5" spans="3:30">
      <c r="C5" s="467"/>
      <c r="W5" s="47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467"/>
      <c r="W6" s="47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467"/>
      <c r="W7" s="47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467"/>
      <c r="W8" s="47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467"/>
      <c r="W9" s="47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467"/>
      <c r="W10" s="47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467"/>
      <c r="W11" s="47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467"/>
      <c r="W12" s="47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467"/>
      <c r="W13" s="47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467"/>
      <c r="W14" s="47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467"/>
      <c r="W15" s="47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467"/>
      <c r="W16" s="471">
        <v>11</v>
      </c>
      <c r="X16" s="653" t="s">
        <v>1454</v>
      </c>
      <c r="Y16" s="653"/>
      <c r="Z16" s="653"/>
      <c r="AA16" s="653"/>
      <c r="AB16" s="653"/>
      <c r="AC16" s="653"/>
      <c r="AD16" s="654"/>
    </row>
    <row r="17" spans="3:30">
      <c r="C17" s="467"/>
      <c r="S17" s="473"/>
      <c r="W17" s="47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474"/>
      <c r="D18" s="475"/>
      <c r="E18" s="475"/>
      <c r="W18" s="47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467"/>
      <c r="W19" s="476"/>
      <c r="X19" s="663"/>
      <c r="Y19" s="663"/>
      <c r="Z19" s="663"/>
      <c r="AA19" s="663"/>
      <c r="AB19" s="663"/>
      <c r="AC19" s="663"/>
      <c r="AD19" s="664"/>
    </row>
    <row r="20" spans="3:30">
      <c r="C20" s="467"/>
      <c r="Q20" s="477"/>
      <c r="W20" s="665" t="s">
        <v>992</v>
      </c>
      <c r="X20" s="666"/>
      <c r="Y20" s="666"/>
      <c r="Z20" s="666"/>
      <c r="AA20" s="666"/>
      <c r="AB20" s="666"/>
      <c r="AC20" s="666"/>
      <c r="AD20" s="667"/>
    </row>
    <row r="21" spans="3:30">
      <c r="C21" s="467"/>
      <c r="W21" s="668" t="s">
        <v>985</v>
      </c>
      <c r="X21" s="669"/>
      <c r="Y21" s="669"/>
      <c r="Z21" s="670"/>
      <c r="AA21" s="671" t="s">
        <v>986</v>
      </c>
      <c r="AB21" s="672"/>
      <c r="AC21" s="672"/>
      <c r="AD21" s="673"/>
    </row>
    <row r="22" spans="3:30">
      <c r="C22" s="467"/>
      <c r="S22" s="478"/>
      <c r="W22" s="655" t="s">
        <v>1631</v>
      </c>
      <c r="X22" s="656"/>
      <c r="Y22" s="479" t="s">
        <v>1618</v>
      </c>
      <c r="Z22" s="480">
        <v>1</v>
      </c>
      <c r="AA22" s="657"/>
      <c r="AB22" s="658"/>
      <c r="AC22" s="481"/>
      <c r="AD22" s="482"/>
    </row>
    <row r="23" spans="3:30">
      <c r="C23" s="467"/>
      <c r="W23" s="655" t="s">
        <v>1636</v>
      </c>
      <c r="X23" s="656"/>
      <c r="Y23" s="479" t="s">
        <v>1618</v>
      </c>
      <c r="Z23" s="480">
        <v>2</v>
      </c>
      <c r="AA23" s="659" t="s">
        <v>1632</v>
      </c>
      <c r="AB23" s="660"/>
      <c r="AC23" s="481" t="s">
        <v>1618</v>
      </c>
      <c r="AD23" s="482">
        <v>1</v>
      </c>
    </row>
    <row r="24" spans="3:30" ht="14.25">
      <c r="C24" s="467"/>
      <c r="O24" s="514"/>
      <c r="W24" s="655"/>
      <c r="X24" s="656"/>
      <c r="Y24" s="479"/>
      <c r="Z24" s="480"/>
      <c r="AA24" s="661"/>
      <c r="AB24" s="662"/>
      <c r="AC24" s="481"/>
      <c r="AD24" s="482"/>
    </row>
    <row r="25" spans="3:30">
      <c r="C25" s="467"/>
      <c r="W25" s="655"/>
      <c r="X25" s="656"/>
      <c r="Y25" s="479"/>
      <c r="Z25" s="480"/>
      <c r="AA25" s="659"/>
      <c r="AB25" s="660"/>
      <c r="AC25" s="481"/>
      <c r="AD25" s="482"/>
    </row>
    <row r="26" spans="3:30">
      <c r="C26" s="467"/>
      <c r="W26" s="676" t="s">
        <v>1630</v>
      </c>
      <c r="X26" s="677"/>
      <c r="Y26" s="479" t="s">
        <v>1618</v>
      </c>
      <c r="Z26" s="480">
        <v>1</v>
      </c>
      <c r="AA26" s="659"/>
      <c r="AB26" s="660"/>
      <c r="AC26" s="481"/>
      <c r="AD26" s="482"/>
    </row>
    <row r="27" spans="3:30">
      <c r="C27" s="467"/>
      <c r="W27" s="676"/>
      <c r="X27" s="677"/>
      <c r="Y27" s="479"/>
      <c r="Z27" s="480"/>
      <c r="AA27" s="659"/>
      <c r="AB27" s="660"/>
      <c r="AC27" s="481"/>
      <c r="AD27" s="482"/>
    </row>
    <row r="28" spans="3:30">
      <c r="C28" s="467"/>
      <c r="W28" s="674"/>
      <c r="X28" s="675"/>
      <c r="Y28" s="479"/>
      <c r="Z28" s="480"/>
      <c r="AA28" s="659"/>
      <c r="AB28" s="660"/>
      <c r="AC28" s="481"/>
      <c r="AD28" s="482"/>
    </row>
    <row r="29" spans="3:30">
      <c r="C29" s="467"/>
      <c r="W29" s="676"/>
      <c r="X29" s="677"/>
      <c r="Y29" s="479"/>
      <c r="Z29" s="480"/>
      <c r="AA29" s="659"/>
      <c r="AB29" s="660"/>
      <c r="AC29" s="481"/>
      <c r="AD29" s="482"/>
    </row>
    <row r="30" spans="3:30" ht="11.25" customHeight="1">
      <c r="C30" s="467"/>
      <c r="W30" s="674"/>
      <c r="X30" s="675"/>
      <c r="Y30" s="479"/>
      <c r="Z30" s="480"/>
      <c r="AA30" s="659"/>
      <c r="AB30" s="660"/>
      <c r="AC30" s="481"/>
      <c r="AD30" s="482"/>
    </row>
    <row r="31" spans="3:30">
      <c r="C31" s="467"/>
      <c r="U31" s="487"/>
      <c r="W31" s="485" t="s">
        <v>1619</v>
      </c>
      <c r="X31" s="486"/>
      <c r="Y31" s="479" t="s">
        <v>1618</v>
      </c>
      <c r="Z31" s="480">
        <v>1</v>
      </c>
      <c r="AA31" s="659"/>
      <c r="AB31" s="660"/>
      <c r="AC31" s="481"/>
      <c r="AD31" s="482"/>
    </row>
    <row r="32" spans="3:30">
      <c r="C32" s="467"/>
      <c r="U32" s="487"/>
      <c r="W32" s="483"/>
      <c r="X32" s="484"/>
      <c r="Y32" s="479"/>
      <c r="Z32" s="480"/>
      <c r="AA32" s="659"/>
      <c r="AB32" s="660"/>
      <c r="AC32" s="481"/>
      <c r="AD32" s="482"/>
    </row>
    <row r="33" spans="3:30">
      <c r="C33" s="467"/>
      <c r="W33" s="674"/>
      <c r="X33" s="675"/>
      <c r="Y33" s="479"/>
      <c r="Z33" s="480"/>
      <c r="AA33" s="659"/>
      <c r="AB33" s="660"/>
      <c r="AC33" s="481"/>
      <c r="AD33" s="482"/>
    </row>
    <row r="34" spans="3:30">
      <c r="C34" s="467"/>
      <c r="Q34" s="464" t="s">
        <v>1607</v>
      </c>
      <c r="S34" s="518"/>
      <c r="W34" s="674" t="s">
        <v>1629</v>
      </c>
      <c r="X34" s="675"/>
      <c r="Y34" s="479" t="s">
        <v>1628</v>
      </c>
      <c r="Z34" s="480">
        <v>50</v>
      </c>
      <c r="AA34" s="659"/>
      <c r="AB34" s="660"/>
      <c r="AC34" s="481"/>
      <c r="AD34" s="482"/>
    </row>
    <row r="35" spans="3:30">
      <c r="C35" s="467"/>
      <c r="W35" s="674"/>
      <c r="X35" s="675"/>
      <c r="Y35" s="479"/>
      <c r="Z35" s="480"/>
      <c r="AA35" s="659"/>
      <c r="AB35" s="660"/>
      <c r="AC35" s="481"/>
      <c r="AD35" s="482"/>
    </row>
    <row r="36" spans="3:30">
      <c r="C36" s="467"/>
      <c r="W36" s="674"/>
      <c r="X36" s="675"/>
      <c r="Y36" s="479"/>
      <c r="Z36" s="480"/>
      <c r="AA36" s="659"/>
      <c r="AB36" s="660"/>
      <c r="AC36" s="481"/>
      <c r="AD36" s="482"/>
    </row>
    <row r="37" spans="3:30" ht="12.75" customHeight="1">
      <c r="C37" s="467"/>
      <c r="W37" s="485"/>
      <c r="X37" s="488"/>
      <c r="Y37" s="479"/>
      <c r="Z37" s="480"/>
      <c r="AA37" s="678"/>
      <c r="AB37" s="679"/>
      <c r="AC37" s="481"/>
      <c r="AD37" s="489"/>
    </row>
    <row r="38" spans="3:30" ht="12.75" customHeight="1">
      <c r="C38" s="467"/>
      <c r="W38" s="490"/>
      <c r="X38" s="491"/>
      <c r="Y38" s="479"/>
      <c r="Z38" s="492"/>
      <c r="AA38" s="680"/>
      <c r="AB38" s="681"/>
      <c r="AC38" s="481"/>
      <c r="AD38" s="489"/>
    </row>
    <row r="39" spans="3:30" ht="12" customHeight="1">
      <c r="C39" s="467"/>
      <c r="W39" s="490"/>
      <c r="X39" s="491"/>
      <c r="Y39" s="479"/>
      <c r="Z39" s="492"/>
      <c r="AA39" s="685"/>
      <c r="AB39" s="686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87"/>
      <c r="X41" s="688"/>
      <c r="Y41" s="500"/>
      <c r="Z41" s="501"/>
      <c r="AA41" s="689"/>
      <c r="AB41" s="690"/>
      <c r="AC41" s="498"/>
      <c r="AD41" s="499"/>
    </row>
    <row r="42" spans="3:30" ht="12" customHeight="1">
      <c r="C42" s="467"/>
      <c r="W42" s="691" t="s">
        <v>1625</v>
      </c>
      <c r="X42" s="692"/>
      <c r="Y42" s="692"/>
      <c r="Z42" s="692"/>
      <c r="AA42" s="692"/>
      <c r="AB42" s="692"/>
      <c r="AC42" s="692"/>
      <c r="AD42" s="693"/>
    </row>
    <row r="43" spans="3:30" ht="12" customHeight="1">
      <c r="C43" s="467"/>
      <c r="V43" s="502"/>
      <c r="W43" s="694"/>
      <c r="X43" s="695"/>
      <c r="Y43" s="695"/>
      <c r="Z43" s="695"/>
      <c r="AA43" s="695"/>
      <c r="AB43" s="695"/>
      <c r="AC43" s="695"/>
      <c r="AD43" s="696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82" t="s">
        <v>11</v>
      </c>
      <c r="X44" s="683"/>
      <c r="Y44" s="653"/>
      <c r="Z44" s="653"/>
      <c r="AA44" s="653"/>
      <c r="AB44" s="653"/>
      <c r="AC44" s="653"/>
      <c r="AD44" s="654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82" t="s">
        <v>984</v>
      </c>
      <c r="X45" s="683"/>
      <c r="Y45" s="653">
        <v>1</v>
      </c>
      <c r="Z45" s="653"/>
      <c r="AA45" s="653"/>
      <c r="AB45" s="653" t="s">
        <v>12</v>
      </c>
      <c r="AC45" s="653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82" t="s">
        <v>15</v>
      </c>
      <c r="X46" s="683"/>
      <c r="Y46" s="684"/>
      <c r="Z46" s="684"/>
      <c r="AA46" s="684"/>
      <c r="AB46" s="653" t="s">
        <v>16</v>
      </c>
      <c r="AC46" s="653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702" t="s">
        <v>17</v>
      </c>
      <c r="X47" s="702"/>
      <c r="Y47" s="702"/>
      <c r="Z47" s="702"/>
      <c r="AA47" s="702"/>
      <c r="AB47" s="702"/>
      <c r="AC47" s="702"/>
      <c r="AD47" s="703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704" t="s">
        <v>1633</v>
      </c>
      <c r="X48" s="704"/>
      <c r="Y48" s="704"/>
      <c r="Z48" s="704"/>
      <c r="AA48" s="704"/>
      <c r="AB48" s="704"/>
      <c r="AC48" s="704"/>
      <c r="AD48" s="705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704"/>
      <c r="X49" s="704"/>
      <c r="Y49" s="704"/>
      <c r="Z49" s="704"/>
      <c r="AA49" s="704"/>
      <c r="AB49" s="704"/>
      <c r="AC49" s="704"/>
      <c r="AD49" s="705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704"/>
      <c r="X50" s="704"/>
      <c r="Y50" s="704"/>
      <c r="Z50" s="704"/>
      <c r="AA50" s="704"/>
      <c r="AB50" s="704"/>
      <c r="AC50" s="704"/>
      <c r="AD50" s="705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706"/>
      <c r="X51" s="706"/>
      <c r="Y51" s="706"/>
      <c r="Z51" s="706"/>
      <c r="AA51" s="706"/>
      <c r="AB51" s="706"/>
      <c r="AC51" s="706"/>
      <c r="AD51" s="707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2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97" t="s">
        <v>18</v>
      </c>
      <c r="X52" s="683"/>
      <c r="Y52" s="653" t="s">
        <v>1624</v>
      </c>
      <c r="Z52" s="653"/>
      <c r="AA52" s="653"/>
      <c r="AB52" s="653"/>
      <c r="AC52" s="653"/>
      <c r="AD52" s="654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97" t="s">
        <v>19</v>
      </c>
      <c r="X53" s="683"/>
      <c r="Y53" s="653" t="s">
        <v>1623</v>
      </c>
      <c r="Z53" s="653"/>
      <c r="AA53" s="653"/>
      <c r="AB53" s="653"/>
      <c r="AC53" s="653"/>
      <c r="AD53" s="654"/>
    </row>
    <row r="54" spans="3:30">
      <c r="C54" s="503"/>
      <c r="D54" s="423"/>
      <c r="E54" s="423"/>
      <c r="F54" s="423"/>
      <c r="G54" s="423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97" t="s">
        <v>20</v>
      </c>
      <c r="X54" s="683"/>
      <c r="Y54" s="653" t="s">
        <v>1623</v>
      </c>
      <c r="Z54" s="653"/>
      <c r="AA54" s="653"/>
      <c r="AB54" s="653"/>
      <c r="AC54" s="653"/>
      <c r="AD54" s="654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98" t="s">
        <v>21</v>
      </c>
      <c r="X55" s="699"/>
      <c r="Y55" s="700" t="s">
        <v>1622</v>
      </c>
      <c r="Z55" s="700"/>
      <c r="AA55" s="700"/>
      <c r="AB55" s="700"/>
      <c r="AC55" s="700"/>
      <c r="AD55" s="701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D37" sqref="AD3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8" t="s">
        <v>1620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0"/>
      <c r="AD3" s="428"/>
      <c r="AE3" s="428"/>
    </row>
    <row r="4" spans="2:31" ht="13.5" customHeight="1" thickBot="1">
      <c r="B4" s="429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2" zoomScale="43" zoomScaleNormal="130" zoomScaleSheetLayoutView="40" workbookViewId="0">
      <selection activeCell="AE38" sqref="AE3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1621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2024-08-15T05:33:54Z</dcterms:modified>
</cp:coreProperties>
</file>