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13A6B344-7D36-4C87-BBFC-F6FC1210320C}" xr6:coauthVersionLast="47" xr6:coauthVersionMax="47" xr10:uidLastSave="{00000000-0000-0000-0000-000000000000}"/>
  <bookViews>
    <workbookView xWindow="-120" yWindow="-120" windowWidth="29040" windowHeight="1572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RAB!$A$1:$K$245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1" i="11" l="1"/>
  <c r="F159" i="11"/>
  <c r="F158" i="11"/>
  <c r="F160" i="11" s="1"/>
  <c r="D156" i="11"/>
  <c r="J156" i="11" s="1"/>
  <c r="E156" i="11"/>
  <c r="G156" i="11"/>
  <c r="D157" i="11"/>
  <c r="J157" i="11" s="1"/>
  <c r="E157" i="11"/>
  <c r="G157" i="11"/>
  <c r="D158" i="11"/>
  <c r="I158" i="11" s="1"/>
  <c r="E158" i="11"/>
  <c r="G158" i="11"/>
  <c r="D159" i="11"/>
  <c r="H159" i="11" s="1"/>
  <c r="E159" i="11"/>
  <c r="G159" i="11"/>
  <c r="D160" i="11"/>
  <c r="H160" i="11" s="1"/>
  <c r="E160" i="11"/>
  <c r="G160" i="11"/>
  <c r="D161" i="11"/>
  <c r="E161" i="11"/>
  <c r="G161" i="11"/>
  <c r="F127" i="11"/>
  <c r="F126" i="11"/>
  <c r="F125" i="11"/>
  <c r="F124" i="11"/>
  <c r="D121" i="11"/>
  <c r="J121" i="11" s="1"/>
  <c r="E121" i="11"/>
  <c r="G121" i="11"/>
  <c r="D122" i="11"/>
  <c r="J122" i="11" s="1"/>
  <c r="E122" i="11"/>
  <c r="G122" i="11"/>
  <c r="D123" i="11"/>
  <c r="H123" i="11" s="1"/>
  <c r="E123" i="11"/>
  <c r="G123" i="11"/>
  <c r="D124" i="11"/>
  <c r="H124" i="11" s="1"/>
  <c r="E124" i="11"/>
  <c r="G124" i="11"/>
  <c r="D125" i="11"/>
  <c r="J125" i="11" s="1"/>
  <c r="E125" i="11"/>
  <c r="G125" i="11"/>
  <c r="D126" i="11"/>
  <c r="J126" i="11" s="1"/>
  <c r="E126" i="11"/>
  <c r="G126" i="11"/>
  <c r="D127" i="11"/>
  <c r="H127" i="11" s="1"/>
  <c r="E127" i="11"/>
  <c r="G127" i="11"/>
  <c r="D128" i="11"/>
  <c r="H128" i="11" s="1"/>
  <c r="E128" i="11"/>
  <c r="G128" i="11"/>
  <c r="D129" i="11"/>
  <c r="H129" i="11" s="1"/>
  <c r="E129" i="11"/>
  <c r="G129" i="11"/>
  <c r="F204" i="11"/>
  <c r="F203" i="11"/>
  <c r="F202" i="11"/>
  <c r="F201" i="11"/>
  <c r="F200" i="11"/>
  <c r="G185" i="11"/>
  <c r="G186" i="11"/>
  <c r="D185" i="11"/>
  <c r="H185" i="11" s="1"/>
  <c r="E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6" i="11"/>
  <c r="G163" i="11"/>
  <c r="G164" i="11"/>
  <c r="D163" i="11"/>
  <c r="J163" i="11" s="1"/>
  <c r="E163" i="11"/>
  <c r="F151" i="11"/>
  <c r="F145" i="11"/>
  <c r="F130" i="11"/>
  <c r="F119" i="11"/>
  <c r="F118" i="11"/>
  <c r="F117" i="11"/>
  <c r="F116" i="11"/>
  <c r="F115" i="11"/>
  <c r="D114" i="11"/>
  <c r="J114" i="11" s="1"/>
  <c r="E114" i="11"/>
  <c r="G114" i="11"/>
  <c r="D115" i="11"/>
  <c r="J115" i="11" s="1"/>
  <c r="E115" i="11"/>
  <c r="G115" i="11"/>
  <c r="D116" i="11"/>
  <c r="H116" i="11" s="1"/>
  <c r="E116" i="11"/>
  <c r="G116" i="11"/>
  <c r="D117" i="11"/>
  <c r="H117" i="11" s="1"/>
  <c r="E117" i="11"/>
  <c r="G117" i="11"/>
  <c r="D118" i="11"/>
  <c r="J118" i="11" s="1"/>
  <c r="E118" i="11"/>
  <c r="G118" i="11"/>
  <c r="D119" i="11"/>
  <c r="E119" i="11"/>
  <c r="G119" i="11"/>
  <c r="D120" i="11"/>
  <c r="H120" i="11" s="1"/>
  <c r="E120" i="11"/>
  <c r="G120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D90" i="11"/>
  <c r="H90" i="11" s="1"/>
  <c r="E90" i="11"/>
  <c r="G90" i="11"/>
  <c r="D91" i="11"/>
  <c r="J91" i="11" s="1"/>
  <c r="E91" i="11"/>
  <c r="G91" i="11"/>
  <c r="D92" i="11"/>
  <c r="H92" i="11" s="1"/>
  <c r="E92" i="11"/>
  <c r="G92" i="11"/>
  <c r="D93" i="11"/>
  <c r="H93" i="11" s="1"/>
  <c r="E93" i="11"/>
  <c r="G93" i="11"/>
  <c r="D94" i="11"/>
  <c r="H94" i="11" s="1"/>
  <c r="E94" i="11"/>
  <c r="G94" i="11"/>
  <c r="D95" i="11"/>
  <c r="J95" i="11" s="1"/>
  <c r="E95" i="11"/>
  <c r="G95" i="11"/>
  <c r="D96" i="11"/>
  <c r="H96" i="11" s="1"/>
  <c r="E96" i="11"/>
  <c r="G96" i="11"/>
  <c r="D97" i="11"/>
  <c r="J97" i="11" s="1"/>
  <c r="E97" i="11"/>
  <c r="G97" i="11"/>
  <c r="D98" i="11"/>
  <c r="H98" i="11" s="1"/>
  <c r="E98" i="11"/>
  <c r="G98" i="11"/>
  <c r="D99" i="11"/>
  <c r="J99" i="11" s="1"/>
  <c r="E99" i="11"/>
  <c r="G99" i="11"/>
  <c r="D100" i="11"/>
  <c r="H100" i="11" s="1"/>
  <c r="E100" i="11"/>
  <c r="G100" i="11"/>
  <c r="D101" i="11"/>
  <c r="H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H104" i="11" s="1"/>
  <c r="E104" i="11"/>
  <c r="G104" i="11"/>
  <c r="D105" i="11"/>
  <c r="H105" i="11" s="1"/>
  <c r="E105" i="11"/>
  <c r="G105" i="11"/>
  <c r="D106" i="11"/>
  <c r="H106" i="11" s="1"/>
  <c r="E106" i="11"/>
  <c r="G106" i="11"/>
  <c r="D107" i="11"/>
  <c r="J107" i="11" s="1"/>
  <c r="E107" i="11"/>
  <c r="G107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D60" i="11"/>
  <c r="J60" i="11" s="1"/>
  <c r="E60" i="11"/>
  <c r="G60" i="11"/>
  <c r="D61" i="11"/>
  <c r="J61" i="11" s="1"/>
  <c r="E61" i="11"/>
  <c r="G61" i="11"/>
  <c r="D62" i="11"/>
  <c r="E62" i="11"/>
  <c r="G62" i="11"/>
  <c r="D63" i="11"/>
  <c r="J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J69" i="11" s="1"/>
  <c r="E69" i="11"/>
  <c r="G69" i="11"/>
  <c r="D70" i="11"/>
  <c r="H70" i="11" s="1"/>
  <c r="E70" i="11"/>
  <c r="G70" i="11"/>
  <c r="D71" i="11"/>
  <c r="H71" i="11" s="1"/>
  <c r="E71" i="11"/>
  <c r="G71" i="11"/>
  <c r="D72" i="11"/>
  <c r="H72" i="11" s="1"/>
  <c r="E72" i="11"/>
  <c r="G72" i="11"/>
  <c r="D73" i="11"/>
  <c r="J73" i="11" s="1"/>
  <c r="E73" i="11"/>
  <c r="G73" i="11"/>
  <c r="D74" i="11"/>
  <c r="H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H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H82" i="11" s="1"/>
  <c r="E82" i="11"/>
  <c r="G82" i="11"/>
  <c r="D83" i="11"/>
  <c r="H83" i="11" s="1"/>
  <c r="E83" i="11"/>
  <c r="G83" i="11"/>
  <c r="D84" i="11"/>
  <c r="J84" i="11" s="1"/>
  <c r="E84" i="11"/>
  <c r="G84" i="11"/>
  <c r="D85" i="11"/>
  <c r="E85" i="11"/>
  <c r="G85" i="11"/>
  <c r="D86" i="11"/>
  <c r="E86" i="11"/>
  <c r="G86" i="11"/>
  <c r="D87" i="11"/>
  <c r="E87" i="11"/>
  <c r="G87" i="11"/>
  <c r="D88" i="11"/>
  <c r="J88" i="11" s="1"/>
  <c r="E88" i="11"/>
  <c r="G88" i="11"/>
  <c r="D89" i="11"/>
  <c r="H89" i="11" s="1"/>
  <c r="E89" i="11"/>
  <c r="G89" i="11"/>
  <c r="F19" i="11"/>
  <c r="G18" i="11"/>
  <c r="G19" i="11"/>
  <c r="D18" i="11"/>
  <c r="H18" i="11" s="1"/>
  <c r="E18" i="11"/>
  <c r="D19" i="11"/>
  <c r="I19" i="11" s="1"/>
  <c r="E19" i="11"/>
  <c r="E6" i="64"/>
  <c r="J158" i="11" l="1"/>
  <c r="J160" i="11"/>
  <c r="J161" i="11"/>
  <c r="I156" i="11"/>
  <c r="H158" i="11"/>
  <c r="K158" i="11" s="1"/>
  <c r="H156" i="11"/>
  <c r="I159" i="11"/>
  <c r="I160" i="11"/>
  <c r="K160" i="11" s="1"/>
  <c r="I161" i="11"/>
  <c r="I157" i="11"/>
  <c r="H161" i="11"/>
  <c r="J159" i="11"/>
  <c r="K159" i="11" s="1"/>
  <c r="H157" i="11"/>
  <c r="I121" i="11"/>
  <c r="I127" i="11"/>
  <c r="J128" i="11"/>
  <c r="I128" i="11"/>
  <c r="J127" i="11"/>
  <c r="J123" i="11"/>
  <c r="H121" i="11"/>
  <c r="J124" i="11"/>
  <c r="I129" i="11"/>
  <c r="H125" i="11"/>
  <c r="I124" i="11"/>
  <c r="I125" i="11"/>
  <c r="I123" i="11"/>
  <c r="J129" i="11"/>
  <c r="H126" i="11"/>
  <c r="H122" i="11"/>
  <c r="I122" i="11"/>
  <c r="I126" i="11"/>
  <c r="J185" i="11"/>
  <c r="I185" i="11"/>
  <c r="I163" i="11"/>
  <c r="H163" i="11"/>
  <c r="J120" i="11"/>
  <c r="J116" i="11"/>
  <c r="I117" i="11"/>
  <c r="H118" i="11"/>
  <c r="I120" i="11"/>
  <c r="K120" i="11" s="1"/>
  <c r="J119" i="11"/>
  <c r="I114" i="11"/>
  <c r="I118" i="11"/>
  <c r="I116" i="11"/>
  <c r="H114" i="11"/>
  <c r="I119" i="11"/>
  <c r="I115" i="11"/>
  <c r="H119" i="11"/>
  <c r="J117" i="11"/>
  <c r="H115" i="11"/>
  <c r="J93" i="11"/>
  <c r="I106" i="11"/>
  <c r="H86" i="11"/>
  <c r="J98" i="11"/>
  <c r="J105" i="11"/>
  <c r="J104" i="11"/>
  <c r="H87" i="11"/>
  <c r="J101" i="11"/>
  <c r="J90" i="11"/>
  <c r="H85" i="11"/>
  <c r="I67" i="11"/>
  <c r="I105" i="11"/>
  <c r="I104" i="11"/>
  <c r="J100" i="11"/>
  <c r="I98" i="11"/>
  <c r="I97" i="11"/>
  <c r="J96" i="11"/>
  <c r="I94" i="11"/>
  <c r="I93" i="11"/>
  <c r="J92" i="11"/>
  <c r="I102" i="11"/>
  <c r="J94" i="11"/>
  <c r="I107" i="11"/>
  <c r="J106" i="11"/>
  <c r="I101" i="11"/>
  <c r="I90" i="11"/>
  <c r="H102" i="11"/>
  <c r="I100" i="11"/>
  <c r="H97" i="11"/>
  <c r="H107" i="11"/>
  <c r="I96" i="11"/>
  <c r="J66" i="11"/>
  <c r="I92" i="11"/>
  <c r="I103" i="11"/>
  <c r="I99" i="11"/>
  <c r="H103" i="11"/>
  <c r="H99" i="11"/>
  <c r="H95" i="11"/>
  <c r="H91" i="11"/>
  <c r="I95" i="11"/>
  <c r="I91" i="11"/>
  <c r="J85" i="11"/>
  <c r="J72" i="11"/>
  <c r="J71" i="11"/>
  <c r="J87" i="11"/>
  <c r="I85" i="11"/>
  <c r="I84" i="11"/>
  <c r="J83" i="11"/>
  <c r="I72" i="11"/>
  <c r="J79" i="11"/>
  <c r="I68" i="11"/>
  <c r="H62" i="11"/>
  <c r="I71" i="11"/>
  <c r="J70" i="11"/>
  <c r="J74" i="11"/>
  <c r="J76" i="11"/>
  <c r="I60" i="11"/>
  <c r="J82" i="11"/>
  <c r="I76" i="11"/>
  <c r="H67" i="11"/>
  <c r="J81" i="11"/>
  <c r="J89" i="11"/>
  <c r="I83" i="11"/>
  <c r="I81" i="11"/>
  <c r="J75" i="11"/>
  <c r="I79" i="11"/>
  <c r="K79" i="11" s="1"/>
  <c r="J78" i="11"/>
  <c r="I75" i="11"/>
  <c r="I89" i="11"/>
  <c r="I88" i="11"/>
  <c r="I87" i="11"/>
  <c r="J86" i="11"/>
  <c r="I64" i="11"/>
  <c r="I63" i="11"/>
  <c r="J62" i="11"/>
  <c r="H60" i="11"/>
  <c r="I78" i="11"/>
  <c r="I77" i="11"/>
  <c r="I74" i="11"/>
  <c r="I73" i="11"/>
  <c r="I70" i="11"/>
  <c r="I69" i="11"/>
  <c r="H68" i="11"/>
  <c r="I66" i="11"/>
  <c r="I65" i="11"/>
  <c r="H63" i="11"/>
  <c r="I86" i="11"/>
  <c r="I82" i="11"/>
  <c r="H64" i="11"/>
  <c r="K64" i="11" s="1"/>
  <c r="I62" i="11"/>
  <c r="I61" i="11"/>
  <c r="H77" i="11"/>
  <c r="H73" i="11"/>
  <c r="H69" i="11"/>
  <c r="H65" i="11"/>
  <c r="H61" i="11"/>
  <c r="I80" i="11"/>
  <c r="H88" i="11"/>
  <c r="H84" i="11"/>
  <c r="H80" i="11"/>
  <c r="J19" i="11"/>
  <c r="H19" i="11"/>
  <c r="I18" i="11"/>
  <c r="J18" i="11"/>
  <c r="F131" i="11"/>
  <c r="G6" i="11"/>
  <c r="W48" i="64" s="1"/>
  <c r="F155" i="11"/>
  <c r="F154" i="11"/>
  <c r="F153" i="11"/>
  <c r="F152" i="11"/>
  <c r="F149" i="11"/>
  <c r="F148" i="11"/>
  <c r="F147" i="11"/>
  <c r="F146" i="11"/>
  <c r="F143" i="11"/>
  <c r="F142" i="11"/>
  <c r="F141" i="11"/>
  <c r="F140" i="11"/>
  <c r="F139" i="11"/>
  <c r="F138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1" i="11"/>
  <c r="G152" i="11"/>
  <c r="G153" i="11"/>
  <c r="G154" i="11"/>
  <c r="G155" i="11"/>
  <c r="D134" i="11"/>
  <c r="H134" i="11" s="1"/>
  <c r="E134" i="11"/>
  <c r="D135" i="11"/>
  <c r="J135" i="11" s="1"/>
  <c r="E135" i="11"/>
  <c r="D136" i="11"/>
  <c r="I136" i="11" s="1"/>
  <c r="E136" i="11"/>
  <c r="D137" i="11"/>
  <c r="H137" i="11" s="1"/>
  <c r="E137" i="11"/>
  <c r="D138" i="11"/>
  <c r="H138" i="11" s="1"/>
  <c r="E138" i="11"/>
  <c r="D139" i="11"/>
  <c r="J139" i="11" s="1"/>
  <c r="E139" i="11"/>
  <c r="D140" i="11"/>
  <c r="E140" i="11"/>
  <c r="D141" i="11"/>
  <c r="H141" i="11" s="1"/>
  <c r="E141" i="11"/>
  <c r="D142" i="11"/>
  <c r="H142" i="11" s="1"/>
  <c r="E142" i="11"/>
  <c r="D143" i="11"/>
  <c r="E143" i="11"/>
  <c r="D144" i="11"/>
  <c r="I144" i="11" s="1"/>
  <c r="E144" i="11"/>
  <c r="D145" i="11"/>
  <c r="H145" i="11" s="1"/>
  <c r="E145" i="11"/>
  <c r="D146" i="11"/>
  <c r="H146" i="11" s="1"/>
  <c r="E146" i="11"/>
  <c r="D147" i="11"/>
  <c r="J147" i="11" s="1"/>
  <c r="E147" i="11"/>
  <c r="D148" i="11"/>
  <c r="E148" i="11"/>
  <c r="D149" i="11"/>
  <c r="H149" i="11" s="1"/>
  <c r="E149" i="11"/>
  <c r="D151" i="11"/>
  <c r="H151" i="11" s="1"/>
  <c r="E151" i="11"/>
  <c r="D152" i="11"/>
  <c r="J152" i="11" s="1"/>
  <c r="E152" i="11"/>
  <c r="D153" i="11"/>
  <c r="E153" i="11"/>
  <c r="D154" i="11"/>
  <c r="H154" i="11" s="1"/>
  <c r="E154" i="11"/>
  <c r="D155" i="11"/>
  <c r="H155" i="11" s="1"/>
  <c r="E155" i="11"/>
  <c r="D164" i="11"/>
  <c r="E164" i="11"/>
  <c r="F220" i="11"/>
  <c r="F219" i="11"/>
  <c r="F218" i="11"/>
  <c r="F217" i="11"/>
  <c r="F216" i="11"/>
  <c r="F213" i="11"/>
  <c r="F212" i="11"/>
  <c r="F211" i="11"/>
  <c r="F210" i="11"/>
  <c r="F209" i="11"/>
  <c r="F208" i="11"/>
  <c r="F207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5" i="11"/>
  <c r="G216" i="11"/>
  <c r="G217" i="11"/>
  <c r="G218" i="11"/>
  <c r="G219" i="11"/>
  <c r="G220" i="11"/>
  <c r="G221" i="11"/>
  <c r="G222" i="11"/>
  <c r="G223" i="11"/>
  <c r="D196" i="11"/>
  <c r="H196" i="11" s="1"/>
  <c r="E196" i="11"/>
  <c r="D197" i="11"/>
  <c r="J197" i="11" s="1"/>
  <c r="E197" i="11"/>
  <c r="D198" i="11"/>
  <c r="I198" i="11" s="1"/>
  <c r="E198" i="11"/>
  <c r="D199" i="11"/>
  <c r="H199" i="11" s="1"/>
  <c r="E199" i="11"/>
  <c r="D200" i="11"/>
  <c r="E200" i="11"/>
  <c r="D201" i="11"/>
  <c r="J201" i="11" s="1"/>
  <c r="E201" i="11"/>
  <c r="D202" i="11"/>
  <c r="E202" i="11"/>
  <c r="D203" i="11"/>
  <c r="E203" i="11"/>
  <c r="D204" i="11"/>
  <c r="H204" i="11" s="1"/>
  <c r="E204" i="11"/>
  <c r="D205" i="11"/>
  <c r="I205" i="11" s="1"/>
  <c r="E205" i="11"/>
  <c r="D206" i="11"/>
  <c r="H206" i="11" s="1"/>
  <c r="E206" i="11"/>
  <c r="D207" i="11"/>
  <c r="H207" i="11" s="1"/>
  <c r="E207" i="11"/>
  <c r="D208" i="11"/>
  <c r="J208" i="11" s="1"/>
  <c r="E208" i="11"/>
  <c r="D209" i="11"/>
  <c r="E209" i="11"/>
  <c r="D210" i="11"/>
  <c r="H210" i="11" s="1"/>
  <c r="E210" i="11"/>
  <c r="D211" i="11"/>
  <c r="H211" i="11" s="1"/>
  <c r="E211" i="11"/>
  <c r="D212" i="11"/>
  <c r="J212" i="11" s="1"/>
  <c r="E212" i="11"/>
  <c r="D213" i="11"/>
  <c r="E213" i="11"/>
  <c r="D215" i="11"/>
  <c r="H215" i="11" s="1"/>
  <c r="E215" i="11"/>
  <c r="D216" i="11"/>
  <c r="H216" i="11" s="1"/>
  <c r="E216" i="11"/>
  <c r="D217" i="11"/>
  <c r="J217" i="11" s="1"/>
  <c r="E217" i="11"/>
  <c r="D218" i="11"/>
  <c r="E218" i="11"/>
  <c r="D219" i="11"/>
  <c r="H219" i="11" s="1"/>
  <c r="E219" i="11"/>
  <c r="D220" i="11"/>
  <c r="H220" i="11" s="1"/>
  <c r="E220" i="11"/>
  <c r="D221" i="11"/>
  <c r="J221" i="11" s="1"/>
  <c r="E221" i="11"/>
  <c r="F195" i="11"/>
  <c r="F194" i="11"/>
  <c r="F193" i="11"/>
  <c r="F192" i="11"/>
  <c r="F191" i="11"/>
  <c r="F190" i="11"/>
  <c r="F189" i="11"/>
  <c r="F188" i="11"/>
  <c r="F187" i="11"/>
  <c r="D165" i="11"/>
  <c r="J165" i="11" s="1"/>
  <c r="E165" i="11"/>
  <c r="G165" i="11"/>
  <c r="D166" i="11"/>
  <c r="E166" i="11"/>
  <c r="G166" i="11"/>
  <c r="D167" i="11"/>
  <c r="H167" i="11" s="1"/>
  <c r="E167" i="11"/>
  <c r="G167" i="11"/>
  <c r="D168" i="11"/>
  <c r="J168" i="11" s="1"/>
  <c r="E168" i="11"/>
  <c r="G168" i="11"/>
  <c r="D169" i="11"/>
  <c r="J169" i="11" s="1"/>
  <c r="E169" i="11"/>
  <c r="G169" i="11"/>
  <c r="D170" i="11"/>
  <c r="I170" i="11" s="1"/>
  <c r="E170" i="11"/>
  <c r="G170" i="11"/>
  <c r="D171" i="11"/>
  <c r="I171" i="11" s="1"/>
  <c r="E171" i="11"/>
  <c r="G171" i="11"/>
  <c r="D172" i="11"/>
  <c r="H172" i="11" s="1"/>
  <c r="E172" i="11"/>
  <c r="G172" i="11"/>
  <c r="D173" i="11"/>
  <c r="J173" i="11" s="1"/>
  <c r="E173" i="11"/>
  <c r="G173" i="11"/>
  <c r="D174" i="11"/>
  <c r="J174" i="11" s="1"/>
  <c r="E174" i="11"/>
  <c r="G174" i="11"/>
  <c r="D175" i="11"/>
  <c r="H175" i="11" s="1"/>
  <c r="E175" i="11"/>
  <c r="G175" i="11"/>
  <c r="D176" i="11"/>
  <c r="H176" i="11" s="1"/>
  <c r="E176" i="11"/>
  <c r="G176" i="11"/>
  <c r="D177" i="11"/>
  <c r="J177" i="11" s="1"/>
  <c r="E177" i="11"/>
  <c r="G177" i="11"/>
  <c r="D178" i="11"/>
  <c r="J178" i="11" s="1"/>
  <c r="E178" i="11"/>
  <c r="G178" i="11"/>
  <c r="D179" i="11"/>
  <c r="H179" i="11" s="1"/>
  <c r="E179" i="11"/>
  <c r="G179" i="11"/>
  <c r="D180" i="11"/>
  <c r="H180" i="11" s="1"/>
  <c r="E180" i="11"/>
  <c r="G180" i="11"/>
  <c r="D181" i="11"/>
  <c r="J181" i="11" s="1"/>
  <c r="E181" i="11"/>
  <c r="G181" i="11"/>
  <c r="D182" i="11"/>
  <c r="H182" i="11" s="1"/>
  <c r="E182" i="11"/>
  <c r="G182" i="11"/>
  <c r="D183" i="11"/>
  <c r="H183" i="11" s="1"/>
  <c r="E183" i="11"/>
  <c r="G183" i="11"/>
  <c r="D184" i="11"/>
  <c r="E184" i="11"/>
  <c r="G184" i="11"/>
  <c r="D186" i="11"/>
  <c r="E186" i="11"/>
  <c r="D187" i="11"/>
  <c r="H187" i="11" s="1"/>
  <c r="E187" i="11"/>
  <c r="G187" i="11"/>
  <c r="D188" i="11"/>
  <c r="J188" i="11" s="1"/>
  <c r="E188" i="11"/>
  <c r="G188" i="11"/>
  <c r="D189" i="11"/>
  <c r="J189" i="11" s="1"/>
  <c r="E189" i="11"/>
  <c r="G189" i="11"/>
  <c r="D190" i="11"/>
  <c r="J190" i="11" s="1"/>
  <c r="E190" i="11"/>
  <c r="G190" i="11"/>
  <c r="D191" i="11"/>
  <c r="H191" i="11" s="1"/>
  <c r="E191" i="11"/>
  <c r="G191" i="11"/>
  <c r="D192" i="11"/>
  <c r="H192" i="11" s="1"/>
  <c r="E192" i="11"/>
  <c r="G192" i="11"/>
  <c r="D193" i="11"/>
  <c r="J193" i="11" s="1"/>
  <c r="E193" i="11"/>
  <c r="G193" i="11"/>
  <c r="D194" i="11"/>
  <c r="J194" i="11" s="1"/>
  <c r="E194" i="11"/>
  <c r="G194" i="11"/>
  <c r="D195" i="11"/>
  <c r="H195" i="11" s="1"/>
  <c r="E195" i="11"/>
  <c r="G195" i="11"/>
  <c r="D222" i="11"/>
  <c r="I222" i="11" s="1"/>
  <c r="E222" i="11"/>
  <c r="D223" i="11"/>
  <c r="H223" i="11" s="1"/>
  <c r="E223" i="11"/>
  <c r="D224" i="11"/>
  <c r="I224" i="11" s="1"/>
  <c r="E224" i="11"/>
  <c r="G224" i="11"/>
  <c r="D132" i="11"/>
  <c r="J132" i="11" s="1"/>
  <c r="E132" i="11"/>
  <c r="G132" i="11"/>
  <c r="F112" i="11"/>
  <c r="F111" i="11"/>
  <c r="F110" i="11"/>
  <c r="F109" i="11"/>
  <c r="D108" i="11"/>
  <c r="J108" i="11" s="1"/>
  <c r="E108" i="11"/>
  <c r="G108" i="11"/>
  <c r="D109" i="11"/>
  <c r="J109" i="11" s="1"/>
  <c r="E109" i="11"/>
  <c r="G109" i="11"/>
  <c r="D110" i="11"/>
  <c r="H110" i="11" s="1"/>
  <c r="E110" i="11"/>
  <c r="G110" i="11"/>
  <c r="D111" i="11"/>
  <c r="H111" i="11" s="1"/>
  <c r="E111" i="11"/>
  <c r="G111" i="11"/>
  <c r="D112" i="11"/>
  <c r="E112" i="11"/>
  <c r="G112" i="11"/>
  <c r="D113" i="11"/>
  <c r="H113" i="11" s="1"/>
  <c r="E113" i="11"/>
  <c r="G113" i="11"/>
  <c r="D130" i="11"/>
  <c r="J130" i="11" s="1"/>
  <c r="E130" i="11"/>
  <c r="G130" i="11"/>
  <c r="D131" i="11"/>
  <c r="E131" i="11"/>
  <c r="G131" i="11"/>
  <c r="D133" i="11"/>
  <c r="H133" i="11" s="1"/>
  <c r="E133" i="11"/>
  <c r="G133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40" i="11"/>
  <c r="J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16" i="11"/>
  <c r="H16" i="11" s="1"/>
  <c r="E16" i="11"/>
  <c r="G16" i="11"/>
  <c r="D17" i="11"/>
  <c r="H17" i="11" s="1"/>
  <c r="E17" i="11"/>
  <c r="G17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E25" i="11"/>
  <c r="G25" i="11"/>
  <c r="D26" i="11"/>
  <c r="E26" i="11"/>
  <c r="G26" i="11"/>
  <c r="D27" i="11"/>
  <c r="H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K156" i="11" l="1"/>
  <c r="K157" i="11"/>
  <c r="K161" i="11"/>
  <c r="K127" i="11"/>
  <c r="K121" i="11"/>
  <c r="K123" i="11"/>
  <c r="K128" i="11"/>
  <c r="K124" i="11"/>
  <c r="K125" i="11"/>
  <c r="K129" i="11"/>
  <c r="K163" i="11"/>
  <c r="K122" i="11"/>
  <c r="K126" i="11"/>
  <c r="K185" i="11"/>
  <c r="J186" i="11"/>
  <c r="H186" i="11"/>
  <c r="I186" i="11"/>
  <c r="J184" i="11"/>
  <c r="I164" i="11"/>
  <c r="J164" i="11"/>
  <c r="H164" i="11"/>
  <c r="K118" i="11"/>
  <c r="K117" i="11"/>
  <c r="K116" i="11"/>
  <c r="K119" i="11"/>
  <c r="K114" i="11"/>
  <c r="K106" i="11"/>
  <c r="K115" i="11"/>
  <c r="K93" i="11"/>
  <c r="K90" i="11"/>
  <c r="K98" i="11"/>
  <c r="K92" i="11"/>
  <c r="K97" i="11"/>
  <c r="K67" i="11"/>
  <c r="K101" i="11"/>
  <c r="K94" i="11"/>
  <c r="K99" i="11"/>
  <c r="K71" i="11"/>
  <c r="K105" i="11"/>
  <c r="K66" i="11"/>
  <c r="K96" i="11"/>
  <c r="K104" i="11"/>
  <c r="K80" i="11"/>
  <c r="K60" i="11"/>
  <c r="K81" i="11"/>
  <c r="K85" i="11"/>
  <c r="K100" i="11"/>
  <c r="K72" i="11"/>
  <c r="K107" i="11"/>
  <c r="K102" i="11"/>
  <c r="K103" i="11"/>
  <c r="K91" i="11"/>
  <c r="K84" i="11"/>
  <c r="K68" i="11"/>
  <c r="K74" i="11"/>
  <c r="K95" i="11"/>
  <c r="K83" i="11"/>
  <c r="K69" i="11"/>
  <c r="K78" i="11"/>
  <c r="I148" i="11"/>
  <c r="K73" i="11"/>
  <c r="K75" i="11"/>
  <c r="K89" i="11"/>
  <c r="K76" i="11"/>
  <c r="K62" i="11"/>
  <c r="K70" i="11"/>
  <c r="K88" i="11"/>
  <c r="K87" i="11"/>
  <c r="K82" i="11"/>
  <c r="K65" i="11"/>
  <c r="K86" i="11"/>
  <c r="K63" i="11"/>
  <c r="K77" i="11"/>
  <c r="K19" i="11"/>
  <c r="K61" i="11"/>
  <c r="K18" i="11"/>
  <c r="J143" i="11"/>
  <c r="I153" i="11"/>
  <c r="I140" i="11"/>
  <c r="I152" i="11"/>
  <c r="J149" i="11"/>
  <c r="H147" i="11"/>
  <c r="I135" i="11"/>
  <c r="H152" i="11"/>
  <c r="I139" i="11"/>
  <c r="J137" i="11"/>
  <c r="H135" i="11"/>
  <c r="I143" i="11"/>
  <c r="J141" i="11"/>
  <c r="H139" i="11"/>
  <c r="I147" i="11"/>
  <c r="J145" i="11"/>
  <c r="H143" i="11"/>
  <c r="J155" i="11"/>
  <c r="H153" i="11"/>
  <c r="J151" i="11"/>
  <c r="H148" i="11"/>
  <c r="J146" i="11"/>
  <c r="H144" i="11"/>
  <c r="J142" i="11"/>
  <c r="H140" i="11"/>
  <c r="J138" i="11"/>
  <c r="H136" i="11"/>
  <c r="J134" i="11"/>
  <c r="I218" i="11"/>
  <c r="I213" i="11"/>
  <c r="I209" i="11"/>
  <c r="I155" i="11"/>
  <c r="J154" i="11"/>
  <c r="I151" i="11"/>
  <c r="I146" i="11"/>
  <c r="I142" i="11"/>
  <c r="I138" i="11"/>
  <c r="I134" i="11"/>
  <c r="I154" i="11"/>
  <c r="J153" i="11"/>
  <c r="I149" i="11"/>
  <c r="K149" i="11" s="1"/>
  <c r="J148" i="11"/>
  <c r="I145" i="11"/>
  <c r="J144" i="11"/>
  <c r="I141" i="11"/>
  <c r="K141" i="11" s="1"/>
  <c r="J140" i="11"/>
  <c r="I137" i="11"/>
  <c r="J136" i="11"/>
  <c r="H200" i="11"/>
  <c r="H203" i="11"/>
  <c r="I202" i="11"/>
  <c r="J204" i="11"/>
  <c r="I197" i="11"/>
  <c r="J220" i="11"/>
  <c r="I212" i="11"/>
  <c r="H205" i="11"/>
  <c r="I217" i="11"/>
  <c r="H209" i="11"/>
  <c r="J207" i="11"/>
  <c r="I201" i="11"/>
  <c r="I221" i="11"/>
  <c r="H213" i="11"/>
  <c r="J211" i="11"/>
  <c r="H198" i="11"/>
  <c r="J196" i="11"/>
  <c r="J170" i="11"/>
  <c r="H218" i="11"/>
  <c r="J216" i="11"/>
  <c r="I208" i="11"/>
  <c r="H202" i="11"/>
  <c r="J200" i="11"/>
  <c r="H222" i="11"/>
  <c r="J223" i="11"/>
  <c r="H221" i="11"/>
  <c r="I220" i="11"/>
  <c r="J219" i="11"/>
  <c r="H217" i="11"/>
  <c r="I216" i="11"/>
  <c r="J215" i="11"/>
  <c r="H212" i="11"/>
  <c r="I211" i="11"/>
  <c r="J210" i="11"/>
  <c r="H208" i="11"/>
  <c r="I207" i="11"/>
  <c r="J206" i="11"/>
  <c r="I204" i="11"/>
  <c r="J203" i="11"/>
  <c r="H201" i="11"/>
  <c r="I200" i="11"/>
  <c r="J199" i="11"/>
  <c r="H197" i="11"/>
  <c r="I196" i="11"/>
  <c r="I223" i="11"/>
  <c r="J222" i="11"/>
  <c r="I219" i="11"/>
  <c r="J218" i="11"/>
  <c r="I215" i="11"/>
  <c r="J213" i="11"/>
  <c r="I210" i="11"/>
  <c r="J209" i="11"/>
  <c r="I206" i="11"/>
  <c r="J205" i="11"/>
  <c r="I203" i="11"/>
  <c r="J202" i="11"/>
  <c r="I199" i="11"/>
  <c r="J198" i="11"/>
  <c r="I190" i="11"/>
  <c r="H190" i="11"/>
  <c r="H170" i="11"/>
  <c r="J172" i="11"/>
  <c r="I168" i="11"/>
  <c r="J180" i="11"/>
  <c r="J224" i="11"/>
  <c r="I183" i="11"/>
  <c r="J182" i="11"/>
  <c r="J192" i="11"/>
  <c r="H166" i="11"/>
  <c r="I192" i="11"/>
  <c r="I182" i="11"/>
  <c r="I180" i="11"/>
  <c r="I166" i="11"/>
  <c r="I174" i="11"/>
  <c r="I172" i="11"/>
  <c r="J176" i="11"/>
  <c r="H174" i="11"/>
  <c r="H171" i="11"/>
  <c r="H168" i="11"/>
  <c r="I167" i="11"/>
  <c r="J166" i="11"/>
  <c r="I188" i="11"/>
  <c r="H194" i="11"/>
  <c r="H178" i="11"/>
  <c r="I176" i="11"/>
  <c r="H224" i="11"/>
  <c r="I191" i="11"/>
  <c r="I175" i="11"/>
  <c r="I165" i="11"/>
  <c r="I194" i="11"/>
  <c r="I178" i="11"/>
  <c r="H188" i="11"/>
  <c r="I187" i="11"/>
  <c r="I195" i="11"/>
  <c r="I179" i="11"/>
  <c r="J195" i="11"/>
  <c r="H193" i="11"/>
  <c r="J191" i="11"/>
  <c r="H189" i="11"/>
  <c r="J187" i="11"/>
  <c r="H184" i="11"/>
  <c r="J183" i="11"/>
  <c r="H181" i="11"/>
  <c r="J179" i="11"/>
  <c r="H177" i="11"/>
  <c r="J175" i="11"/>
  <c r="H173" i="11"/>
  <c r="J171" i="11"/>
  <c r="H169" i="11"/>
  <c r="J167" i="11"/>
  <c r="H165" i="11"/>
  <c r="I193" i="11"/>
  <c r="I189" i="11"/>
  <c r="I184" i="11"/>
  <c r="I173" i="11"/>
  <c r="I181" i="11"/>
  <c r="I177" i="11"/>
  <c r="I169" i="11"/>
  <c r="I132" i="11"/>
  <c r="H132" i="11"/>
  <c r="J111" i="11"/>
  <c r="J113" i="11"/>
  <c r="I130" i="11"/>
  <c r="I113" i="11"/>
  <c r="I111" i="11"/>
  <c r="K111" i="11" s="1"/>
  <c r="J131" i="11"/>
  <c r="J112" i="11"/>
  <c r="I133" i="11"/>
  <c r="H130" i="11"/>
  <c r="H109" i="11"/>
  <c r="I108" i="11"/>
  <c r="I109" i="11"/>
  <c r="I131" i="11"/>
  <c r="I112" i="11"/>
  <c r="I110" i="11"/>
  <c r="J133" i="11"/>
  <c r="H131" i="11"/>
  <c r="H112" i="11"/>
  <c r="J110" i="11"/>
  <c r="H108" i="11"/>
  <c r="J52" i="11"/>
  <c r="I52" i="11"/>
  <c r="J59" i="11"/>
  <c r="J58" i="11"/>
  <c r="I43" i="11"/>
  <c r="I59" i="11"/>
  <c r="J54" i="11"/>
  <c r="I58" i="11"/>
  <c r="I57" i="11"/>
  <c r="J56" i="11"/>
  <c r="I54" i="11"/>
  <c r="K54" i="11" s="1"/>
  <c r="J55" i="11"/>
  <c r="I56" i="11"/>
  <c r="I55" i="11"/>
  <c r="I53" i="11"/>
  <c r="H57" i="11"/>
  <c r="H53" i="11"/>
  <c r="J43" i="11"/>
  <c r="J42" i="11"/>
  <c r="J51" i="11"/>
  <c r="J47" i="11"/>
  <c r="I47" i="11"/>
  <c r="J46" i="11"/>
  <c r="I51" i="11"/>
  <c r="J50" i="11"/>
  <c r="I48" i="11"/>
  <c r="I44" i="11"/>
  <c r="I40" i="11"/>
  <c r="I50" i="11"/>
  <c r="H48" i="11"/>
  <c r="I46" i="11"/>
  <c r="H44" i="11"/>
  <c r="I42" i="11"/>
  <c r="H40" i="11"/>
  <c r="I45" i="11"/>
  <c r="I41" i="11"/>
  <c r="I49" i="11"/>
  <c r="H26" i="11"/>
  <c r="H49" i="11"/>
  <c r="H45" i="11"/>
  <c r="H41" i="11"/>
  <c r="H25" i="11"/>
  <c r="J30" i="11"/>
  <c r="I30" i="11"/>
  <c r="J29" i="11"/>
  <c r="J26" i="11"/>
  <c r="J33" i="11"/>
  <c r="J16" i="11"/>
  <c r="I26" i="11"/>
  <c r="I35" i="11"/>
  <c r="J34" i="11"/>
  <c r="J22" i="11"/>
  <c r="I31" i="11"/>
  <c r="I27" i="11"/>
  <c r="I34" i="11"/>
  <c r="I22" i="11"/>
  <c r="J21" i="11"/>
  <c r="J17" i="11"/>
  <c r="I16" i="11"/>
  <c r="J35" i="11"/>
  <c r="I33" i="11"/>
  <c r="I32" i="11"/>
  <c r="J31" i="11"/>
  <c r="I29" i="11"/>
  <c r="I28" i="11"/>
  <c r="J27" i="11"/>
  <c r="I25" i="11"/>
  <c r="I24" i="11"/>
  <c r="J23" i="11"/>
  <c r="I21" i="11"/>
  <c r="I20" i="11"/>
  <c r="I23" i="11"/>
  <c r="I17" i="11"/>
  <c r="J25" i="11"/>
  <c r="H32" i="11"/>
  <c r="H28" i="11"/>
  <c r="H24" i="11"/>
  <c r="H20" i="11"/>
  <c r="K138" i="11" l="1"/>
  <c r="K164" i="11"/>
  <c r="K186" i="11"/>
  <c r="K135" i="11"/>
  <c r="K152" i="11"/>
  <c r="K205" i="11"/>
  <c r="K219" i="11"/>
  <c r="K196" i="11"/>
  <c r="K197" i="11"/>
  <c r="K139" i="11"/>
  <c r="K143" i="11"/>
  <c r="K146" i="11"/>
  <c r="K147" i="11"/>
  <c r="K145" i="11"/>
  <c r="K154" i="11"/>
  <c r="K155" i="11"/>
  <c r="K134" i="11"/>
  <c r="K216" i="11"/>
  <c r="K221" i="11"/>
  <c r="K198" i="11"/>
  <c r="K151" i="11"/>
  <c r="K209" i="11"/>
  <c r="K217" i="11"/>
  <c r="K137" i="11"/>
  <c r="K142" i="11"/>
  <c r="K140" i="11"/>
  <c r="K136" i="11"/>
  <c r="K144" i="11"/>
  <c r="K153" i="11"/>
  <c r="K148" i="11"/>
  <c r="K203" i="11"/>
  <c r="K165" i="11"/>
  <c r="K204" i="11"/>
  <c r="K215" i="11"/>
  <c r="K182" i="11"/>
  <c r="K199" i="11"/>
  <c r="K213" i="11"/>
  <c r="K208" i="11"/>
  <c r="K220" i="11"/>
  <c r="K206" i="11"/>
  <c r="K223" i="11"/>
  <c r="K195" i="11"/>
  <c r="K183" i="11"/>
  <c r="K202" i="11"/>
  <c r="K211" i="11"/>
  <c r="K170" i="11"/>
  <c r="K210" i="11"/>
  <c r="K207" i="11"/>
  <c r="K212" i="11"/>
  <c r="K224" i="11"/>
  <c r="K180" i="11"/>
  <c r="K200" i="11"/>
  <c r="K218" i="11"/>
  <c r="K201" i="11"/>
  <c r="K179" i="11"/>
  <c r="K190" i="11"/>
  <c r="K172" i="11"/>
  <c r="K222" i="11"/>
  <c r="K188" i="11"/>
  <c r="K166" i="11"/>
  <c r="K171" i="11"/>
  <c r="K168" i="11"/>
  <c r="K174" i="11"/>
  <c r="K169" i="11"/>
  <c r="K176" i="11"/>
  <c r="K192" i="11"/>
  <c r="K167" i="11"/>
  <c r="K187" i="11"/>
  <c r="K184" i="11"/>
  <c r="K178" i="11"/>
  <c r="K132" i="11"/>
  <c r="K194" i="11"/>
  <c r="K175" i="11"/>
  <c r="K191" i="11"/>
  <c r="K193" i="11"/>
  <c r="K173" i="11"/>
  <c r="K181" i="11"/>
  <c r="K189" i="11"/>
  <c r="K177" i="11"/>
  <c r="K130" i="11"/>
  <c r="K113" i="11"/>
  <c r="K108" i="11"/>
  <c r="K133" i="11"/>
  <c r="K109" i="11"/>
  <c r="K59" i="11"/>
  <c r="K112" i="11"/>
  <c r="K131" i="11"/>
  <c r="K58" i="11"/>
  <c r="K110" i="11"/>
  <c r="K53" i="11"/>
  <c r="K52" i="11"/>
  <c r="K49" i="11"/>
  <c r="K56" i="11"/>
  <c r="K43" i="11"/>
  <c r="K50" i="11"/>
  <c r="K57" i="11"/>
  <c r="K55" i="11"/>
  <c r="K47" i="11"/>
  <c r="K40" i="11"/>
  <c r="K42" i="11"/>
  <c r="K51" i="11"/>
  <c r="K48" i="11"/>
  <c r="K44" i="11"/>
  <c r="K30" i="11"/>
  <c r="K41" i="11"/>
  <c r="K46" i="11"/>
  <c r="K45" i="11"/>
  <c r="K16" i="11"/>
  <c r="K22" i="11"/>
  <c r="K26" i="11"/>
  <c r="K34" i="11"/>
  <c r="K29" i="11"/>
  <c r="K20" i="11"/>
  <c r="K21" i="11"/>
  <c r="K27" i="11"/>
  <c r="K33" i="11"/>
  <c r="K35" i="11"/>
  <c r="K24" i="11"/>
  <c r="K28" i="11"/>
  <c r="K23" i="11"/>
  <c r="K17" i="11"/>
  <c r="K31" i="11"/>
  <c r="K32" i="11"/>
  <c r="K25" i="11"/>
  <c r="D21" i="59" l="1"/>
  <c r="K6" i="60"/>
  <c r="D36" i="11"/>
  <c r="H36" i="11" s="1"/>
  <c r="E36" i="11"/>
  <c r="G36" i="11"/>
  <c r="D37" i="11"/>
  <c r="H37" i="11" s="1"/>
  <c r="E37" i="11"/>
  <c r="G37" i="11"/>
  <c r="D38" i="11"/>
  <c r="E38" i="11"/>
  <c r="G38" i="11"/>
  <c r="D39" i="11"/>
  <c r="H39" i="11" s="1"/>
  <c r="E39" i="11"/>
  <c r="G39" i="11"/>
  <c r="J38" i="11" l="1"/>
  <c r="J37" i="11"/>
  <c r="I39" i="11"/>
  <c r="I37" i="11"/>
  <c r="J36" i="11"/>
  <c r="I36" i="11"/>
  <c r="J39" i="11"/>
  <c r="I38" i="11"/>
  <c r="H38" i="11"/>
  <c r="K36" i="11" l="1"/>
  <c r="K37" i="11"/>
  <c r="K38" i="11"/>
  <c r="K39" i="11"/>
  <c r="D15" i="11" l="1"/>
  <c r="H15" i="11" s="1"/>
  <c r="E15" i="11"/>
  <c r="G15" i="11"/>
  <c r="D16" i="60"/>
  <c r="J15" i="11" l="1"/>
  <c r="I15" i="11"/>
  <c r="K15" i="11" l="1"/>
  <c r="D14" i="11" l="1"/>
  <c r="J14" i="11" s="1"/>
  <c r="J225" i="11" s="1"/>
  <c r="E14" i="11"/>
  <c r="G14" i="11"/>
  <c r="K19" i="60"/>
  <c r="D19" i="60"/>
  <c r="H14" i="11" l="1"/>
  <c r="H225" i="11" s="1"/>
  <c r="I14" i="11"/>
  <c r="I225" i="11" s="1"/>
  <c r="K225" i="11" l="1"/>
  <c r="K14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2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22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25" i="11"/>
  <c r="D226" i="11"/>
  <c r="H226" i="11" s="1"/>
  <c r="E22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22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33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69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2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26" i="11"/>
  <c r="I226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94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226" i="11"/>
  <c r="F278" i="29" l="1"/>
  <c r="E236" i="29"/>
  <c r="E22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E258" i="29"/>
  <c r="F258" i="29"/>
  <c r="E237" i="29"/>
  <c r="F237" i="29"/>
  <c r="F58" i="39"/>
  <c r="E58" i="39"/>
  <c r="F60" i="39" s="1"/>
  <c r="H228" i="11"/>
  <c r="H229" i="11" s="1"/>
  <c r="I228" i="11"/>
  <c r="I229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0" i="29" l="1"/>
  <c r="F295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230" i="11"/>
  <c r="I230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228" i="11"/>
  <c r="K229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228" i="11"/>
  <c r="J22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230" i="11"/>
  <c r="B231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3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0" i="41" l="1"/>
  <c r="F785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<sst xmlns="http://schemas.openxmlformats.org/spreadsheetml/2006/main" count="4915" uniqueCount="1651">
  <si>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</si>
  <si>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</si>
  <si>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</si>
  <si>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</si>
  <si>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</si>
  <si>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</si>
  <si>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</si>
  <si>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</si>
  <si>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</si>
  <si>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</si>
  <si>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</si>
  <si>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</si>
  <si>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</si>
  <si>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</si>
  <si>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</si>
  <si>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</si>
  <si>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</si>
  <si>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</si>
  <si>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</si>
  <si>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</si>
  <si>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</si>
  <si>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</si>
  <si>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</si>
  <si>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</si>
  <si>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</si>
  <si>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</si>
  <si>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</si>
  <si>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</si>
  <si>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</si>
  <si>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</si>
  <si>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</si>
  <si>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</si>
  <si>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</si>
  <si>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</si>
  <si>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</si>
  <si>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</si>
  <si>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</si>
  <si>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</si>
  <si>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</si>
  <si>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</si>
  <si>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</si>
  <si>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</si>
  <si>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</si>
  <si>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</si>
  <si>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</si>
  <si>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</si>
  <si>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</si>
  <si>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</si>
  <si>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</si>
  <si>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</si>
  <si>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</si>
  <si>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</si>
  <si>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</si>
  <si>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</si>
  <si>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</si>
  <si>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</si>
  <si>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</si>
  <si>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</si>
  <si>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</si>
  <si>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</si>
  <si>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</si>
  <si>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</si>
  <si>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</si>
  <si>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</si>
  <si>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</si>
  <si>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</si>
  <si>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</si>
  <si>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</si>
  <si>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</si>
  <si>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</si>
  <si>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</si>
  <si>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</si>
  <si>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</si>
  <si>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</si>
  <si>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</si>
  <si>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</si>
  <si>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</si>
  <si>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</si>
  <si>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</si>
  <si>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</si>
  <si>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</si>
  <si>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</si>
  <si>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</si>
  <si>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</si>
  <si>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</si>
  <si>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</si>
  <si>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</si>
  <si>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</si>
  <si>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</si>
  <si>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</si>
  <si>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</si>
  <si>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</si>
  <si>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</si>
  <si>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</si>
  <si>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</si>
  <si>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</si>
  <si>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</si>
  <si>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</si>
  <si>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</si>
  <si>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</si>
  <si>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</si>
  <si>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</si>
  <si>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</si>
  <si>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</si>
  <si>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</si>
  <si>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</si>
  <si>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</si>
  <si>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</si>
  <si>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</si>
  <si>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</si>
  <si>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</si>
  <si>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</si>
  <si>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</si>
  <si>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</si>
  <si>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</si>
  <si>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</si>
  <si>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</si>
  <si>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</si>
  <si>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</si>
  <si>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</si>
  <si>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</si>
  <si>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</si>
  <si>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</si>
  <si>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</si>
  <si>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</si>
  <si>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</si>
  <si>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</si>
  <si>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</si>
  <si>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</si>
  <si>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</si>
  <si>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</si>
  <si>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</si>
  <si>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</si>
  <si>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</si>
  <si>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</si>
  <si>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</si>
  <si>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</si>
  <si>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</si>
  <si>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</si>
  <si>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</si>
  <si>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</si>
  <si>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</si>
  <si>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</si>
  <si>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</si>
  <si>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</si>
  <si>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</si>
  <si>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</si>
  <si>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</si>
  <si>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</si>
  <si>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</si>
  <si>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</si>
  <si>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</si>
  <si>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</si>
  <si>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</si>
  <si>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</si>
  <si>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</si>
  <si>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</si>
  <si>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</si>
  <si>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</si>
  <si>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</si>
  <si>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</si>
  <si>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</si>
  <si>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</si>
  <si>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</si>
  <si>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</si>
  <si>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</si>
  <si>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</si>
  <si>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</si>
  <si>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</si>
  <si>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</si>
  <si>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</si>
  <si>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</si>
  <si>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</si>
  <si>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</si>
  <si>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</si>
  <si>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</si>
  <si>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</si>
  <si>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</si>
  <si>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</si>
  <si>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</si>
  <si>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</si>
  <si>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</si>
  <si>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</si>
  <si>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</si>
  <si>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</si>
  <si>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</si>
  <si>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</si>
  <si>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</si>
  <si>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</si>
  <si>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</si>
  <si>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</si>
  <si>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</si>
  <si>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</si>
  <si>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</si>
  <si>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</si>
  <si>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</si>
  <si>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</si>
  <si>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</si>
  <si>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</si>
  <si>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</si>
  <si>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</si>
  <si>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</si>
  <si>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</si>
  <si>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</si>
  <si>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</si>
  <si>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</si>
  <si>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</si>
  <si>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</si>
  <si>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</si>
  <si>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</si>
  <si>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</si>
  <si>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</si>
  <si>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</si>
  <si>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</si>
  <si>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</si>
  <si>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</si>
  <si>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</si>
  <si>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</si>
  <si>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</si>
  <si>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</si>
  <si>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</si>
  <si>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</si>
  <si>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</si>
  <si>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</si>
  <si>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</si>
  <si>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</si>
  <si>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</si>
  <si>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</si>
  <si>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</si>
  <si>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</si>
  <si>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</si>
  <si>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</si>
  <si>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</si>
  <si>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</si>
  <si>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</si>
  <si>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</si>
  <si>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</si>
  <si>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</si>
  <si>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</si>
  <si>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</si>
  <si>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</si>
  <si>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</si>
  <si>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</si>
  <si>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</si>
  <si>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</si>
  <si>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</si>
  <si>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</si>
  <si>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</si>
  <si>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</si>
  <si>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</si>
  <si>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</si>
  <si>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</si>
  <si>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</si>
  <si>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</si>
  <si>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</si>
  <si>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</si>
  <si>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</si>
  <si>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</si>
  <si>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</si>
  <si>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</si>
  <si>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</si>
  <si>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</si>
  <si>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</si>
  <si>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</si>
  <si>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</si>
  <si>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</si>
  <si>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</si>
  <si>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</si>
  <si>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</si>
  <si>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</si>
  <si>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</si>
  <si>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</si>
  <si>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</si>
  <si>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</si>
  <si>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</si>
  <si>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</si>
  <si>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</si>
  <si>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</si>
  <si>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</si>
  <si>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</si>
  <si>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</si>
  <si>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</si>
  <si>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</si>
  <si>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</si>
  <si>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</si>
  <si>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</si>
  <si>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</si>
  <si>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</si>
  <si>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</si>
  <si>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</si>
  <si>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</si>
  <si>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</si>
  <si>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</si>
  <si>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</si>
  <si>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</si>
  <si>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</si>
  <si>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</si>
  <si>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</si>
  <si>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</si>
  <si>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</si>
  <si>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</si>
  <si>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</si>
  <si>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</si>
  <si>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</si>
  <si>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</si>
  <si>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</si>
  <si>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</si>
  <si>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</si>
  <si>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</si>
  <si>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</si>
  <si>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</si>
  <si>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</si>
  <si>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</si>
  <si>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</si>
  <si>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</si>
  <si>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</si>
  <si>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</si>
  <si>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</si>
  <si>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</si>
  <si>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</si>
  <si>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</si>
  <si>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</si>
  <si>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</si>
  <si>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</si>
  <si>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</si>
  <si>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</si>
  <si>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</si>
  <si>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</si>
  <si>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</si>
  <si>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</si>
  <si>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</si>
  <si>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</si>
  <si>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</si>
  <si>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</si>
  <si>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</si>
  <si>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</si>
  <si>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</si>
  <si>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</si>
  <si>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</si>
  <si>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</si>
  <si>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</si>
  <si>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</si>
  <si>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</si>
  <si>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</si>
  <si>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</si>
  <si>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</si>
  <si>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</si>
  <si>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</si>
  <si>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</si>
  <si>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</si>
  <si>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</si>
  <si>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</si>
  <si>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</si>
  <si>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</si>
  <si>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</si>
  <si>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</si>
  <si>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</si>
  <si>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</si>
  <si>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</si>
  <si>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</si>
  <si>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</si>
  <si>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</si>
  <si>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</si>
  <si>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</si>
  <si>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</si>
  <si>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</si>
  <si>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</si>
  <si>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</si>
  <si>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</si>
  <si>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</si>
  <si>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</si>
  <si>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</si>
  <si>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</si>
  <si>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</si>
  <si>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</si>
  <si>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</si>
  <si>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</si>
  <si>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</si>
  <si>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</si>
  <si>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</si>
  <si>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</si>
  <si>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</si>
  <si>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</si>
  <si>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</si>
  <si>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</si>
  <si>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</si>
  <si>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</si>
  <si>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</si>
  <si>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</si>
  <si>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</si>
  <si>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</si>
  <si>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</si>
  <si>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</si>
  <si>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</si>
  <si>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</si>
  <si>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</si>
  <si>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</si>
  <si>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</si>
  <si>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</si>
  <si>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</si>
  <si>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</si>
  <si>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</si>
  <si>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</si>
  <si>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</si>
  <si>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</si>
  <si>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</si>
  <si>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</si>
  <si>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</si>
  <si>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</si>
  <si>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</si>
  <si>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</si>
  <si>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</si>
  <si>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</si>
  <si>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</si>
  <si>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</si>
  <si>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</si>
  <si>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</si>
  <si>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</si>
  <si>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</si>
  <si>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</si>
  <si>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</si>
  <si>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</si>
  <si>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</si>
  <si>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</si>
  <si>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</si>
  <si>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</si>
  <si>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</si>
  <si>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</si>
  <si>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</si>
  <si>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</si>
  <si>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</si>
  <si>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</si>
  <si>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</si>
  <si>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</si>
  <si>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</si>
  <si>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</si>
  <si>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</si>
  <si>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</si>
  <si>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</si>
  <si>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</si>
  <si>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</si>
  <si>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</si>
  <si>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</si>
  <si>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</si>
  <si>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</si>
  <si>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</si>
  <si>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</si>
  <si>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</si>
  <si>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</si>
  <si>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</si>
  <si>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</si>
  <si>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</si>
  <si>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</si>
  <si>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</si>
  <si>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</si>
  <si>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</si>
  <si>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</si>
  <si>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</si>
  <si>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</si>
  <si>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</si>
  <si>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</si>
  <si>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</si>
  <si>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</si>
  <si>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</si>
  <si>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</si>
  <si>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</si>
  <si>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</si>
  <si>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</si>
  <si>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</si>
  <si>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</si>
  <si>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</si>
  <si>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</si>
  <si>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</si>
  <si>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</si>
  <si>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</si>
  <si>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</si>
  <si>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</si>
  <si>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</si>
  <si>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</si>
  <si>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</si>
  <si>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</si>
  <si>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</si>
  <si>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</si>
  <si>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</si>
  <si>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</si>
  <si>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</si>
  <si>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</si>
  <si>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</si>
  <si>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</si>
  <si>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</si>
  <si>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</si>
  <si>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</si>
  <si>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</si>
  <si>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</si>
  <si>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</si>
  <si>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</si>
  <si>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</si>
  <si>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</si>
  <si>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</si>
  <si>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</si>
  <si>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</si>
  <si>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</si>
  <si>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</si>
  <si>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</si>
  <si>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</si>
  <si>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</si>
  <si>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</si>
  <si>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</si>
  <si>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</si>
  <si>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</si>
  <si>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</si>
  <si>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</si>
  <si>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</si>
  <si>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</si>
  <si>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</si>
  <si>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</si>
  <si>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</si>
  <si>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</si>
  <si>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</si>
  <si>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</si>
  <si>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</si>
  <si>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</si>
  <si>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</si>
  <si>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</si>
  <si>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</si>
  <si>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</si>
  <si>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</si>
  <si>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</si>
  <si>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</si>
  <si>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</si>
  <si>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</si>
  <si>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</si>
  <si>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</si>
  <si>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</si>
  <si>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</si>
  <si>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</si>
  <si>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</si>
  <si>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</si>
  <si>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</si>
  <si>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</si>
  <si>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</si>
  <si>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</si>
  <si>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</si>
  <si>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</si>
  <si>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</si>
  <si>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</si>
  <si>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</si>
  <si>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</si>
  <si>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</si>
  <si>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</si>
  <si>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</si>
  <si>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</si>
  <si>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</si>
  <si>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</si>
  <si>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</si>
  <si>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</si>
  <si>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</si>
  <si>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</si>
  <si>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</si>
  <si>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</si>
  <si>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</si>
  <si>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</si>
  <si>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</si>
  <si>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</si>
  <si>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</si>
  <si>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</si>
  <si>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</si>
  <si>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</si>
  <si>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</si>
  <si>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</si>
  <si>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</si>
  <si>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</si>
  <si>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</si>
  <si>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</si>
  <si>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</si>
  <si>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</si>
  <si>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</si>
  <si>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</si>
  <si>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</si>
  <si>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</si>
  <si>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</si>
  <si>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</si>
  <si>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</si>
  <si>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</si>
  <si>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</si>
  <si>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</si>
  <si>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</si>
  <si>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</si>
  <si>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</si>
  <si>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</si>
  <si>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</si>
  <si>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</si>
  <si>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</si>
  <si>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</si>
  <si>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</si>
  <si>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</si>
  <si>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</si>
  <si>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</si>
  <si>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</si>
  <si>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</si>
  <si>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</si>
  <si>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</si>
  <si>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</si>
  <si>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</si>
  <si>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</si>
  <si>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</si>
  <si>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</si>
  <si>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</si>
  <si>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</si>
  <si>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</si>
  <si>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</si>
  <si>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</si>
  <si>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</si>
  <si>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</si>
  <si>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</si>
  <si>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</si>
  <si>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</si>
  <si>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</si>
  <si>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</si>
  <si>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</si>
  <si>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</si>
  <si>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</si>
  <si>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</si>
  <si>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</si>
  <si>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</si>
  <si>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</si>
  <si>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</si>
  <si>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</si>
  <si>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</si>
  <si>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</si>
  <si>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</si>
  <si>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</si>
  <si>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</si>
  <si>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</si>
  <si>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</si>
  <si>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</si>
  <si>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</si>
  <si>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</si>
  <si>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</si>
  <si>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</si>
  <si>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</si>
  <si>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</si>
  <si>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</si>
  <si>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</si>
  <si>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</si>
  <si>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</si>
  <si>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</si>
  <si>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</si>
  <si>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</si>
  <si>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</si>
  <si>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</si>
  <si>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</si>
  <si>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</si>
  <si>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</si>
  <si>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</si>
  <si>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</si>
  <si>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</si>
  <si>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</si>
  <si>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</si>
  <si>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</si>
  <si>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</si>
  <si>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</si>
  <si>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</si>
  <si>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</si>
  <si>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</si>
  <si>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</si>
  <si>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</si>
  <si>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</si>
  <si>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</si>
  <si>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</si>
  <si>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</si>
  <si>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</si>
  <si>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</si>
  <si>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</si>
  <si>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</si>
  <si>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</si>
  <si>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</si>
  <si>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</si>
  <si>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</si>
  <si>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</si>
  <si>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</si>
  <si>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</si>
  <si>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</si>
  <si>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</si>
  <si>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</si>
  <si>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</si>
  <si>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</si>
  <si>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</si>
  <si>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</si>
  <si>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</si>
  <si>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</si>
  <si>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</si>
  <si>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</si>
  <si>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</si>
  <si>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</si>
  <si>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</si>
  <si>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</si>
  <si>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</si>
  <si>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</si>
  <si>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</si>
  <si>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</si>
  <si>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</si>
  <si>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</si>
  <si>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</si>
  <si>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</si>
  <si>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</si>
  <si>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</si>
  <si>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</si>
  <si>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</si>
  <si>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</si>
  <si>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</si>
  <si>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</si>
  <si>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</si>
  <si>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</si>
  <si>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</si>
  <si>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</si>
  <si>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</si>
  <si>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</si>
  <si>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</si>
  <si>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</si>
  <si>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</si>
  <si>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</si>
  <si>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</si>
  <si>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</si>
  <si>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</si>
  <si>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</si>
  <si>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</si>
  <si>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</si>
  <si>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</si>
  <si>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</si>
  <si>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</si>
  <si>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</si>
  <si>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</si>
  <si>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</si>
  <si>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</si>
  <si>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</si>
  <si>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</si>
  <si>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</si>
  <si>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</si>
  <si>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</si>
  <si>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</si>
  <si>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</si>
  <si>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</si>
  <si>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</si>
  <si>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</si>
  <si>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</si>
  <si>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</si>
  <si>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</si>
  <si>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</si>
  <si>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</si>
  <si>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</si>
  <si>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</si>
  <si>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</si>
  <si>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</si>
  <si>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</si>
  <si>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</si>
  <si>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</si>
  <si>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</si>
  <si>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</si>
  <si>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</si>
  <si>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</si>
  <si>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</si>
  <si>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</si>
  <si>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</si>
  <si>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</si>
  <si>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</si>
  <si>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</si>
  <si>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</si>
  <si>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</si>
  <si>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</si>
  <si>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</si>
  <si>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</si>
  <si>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</si>
  <si>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</si>
  <si>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</si>
  <si>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</si>
  <si>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</si>
  <si>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</si>
  <si>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</si>
  <si>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</si>
  <si>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</si>
  <si>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</si>
  <si>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</si>
  <si>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</si>
  <si>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</si>
  <si>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</si>
  <si>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</si>
  <si>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</si>
  <si>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</si>
  <si>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</si>
  <si>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</si>
  <si>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</si>
  <si>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</si>
  <si>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</si>
  <si>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</si>
  <si>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</si>
  <si>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</si>
  <si>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</si>
  <si>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</si>
  <si>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</si>
  <si>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</si>
  <si>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</si>
  <si>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</si>
  <si>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</si>
  <si>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</si>
  <si>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</si>
  <si>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</si>
  <si>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</si>
  <si>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</si>
  <si>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</si>
  <si>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</si>
  <si>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</si>
  <si>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</si>
  <si>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</si>
  <si>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</si>
  <si>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</si>
  <si>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</si>
  <si>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</si>
  <si>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</si>
  <si>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</si>
  <si>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</si>
  <si>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</si>
  <si>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</si>
  <si>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</si>
  <si>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</si>
  <si>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</si>
  <si>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</si>
  <si>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</si>
  <si>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</si>
  <si>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</si>
  <si>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</si>
  <si>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</si>
  <si>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</si>
  <si>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</si>
  <si>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</si>
  <si>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</si>
  <si>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</si>
  <si>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</si>
  <si>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</si>
  <si>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</si>
  <si>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</si>
  <si>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</si>
  <si>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</si>
  <si>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</si>
  <si>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</si>
  <si>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</si>
  <si>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</si>
  <si>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</si>
  <si>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</si>
  <si>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</si>
  <si>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</si>
  <si>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</si>
  <si>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</si>
  <si>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</si>
  <si>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</si>
  <si>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</si>
  <si>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</si>
  <si>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</si>
  <si>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</si>
  <si>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</si>
  <si>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</si>
  <si>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</si>
  <si>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</si>
  <si>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</si>
  <si>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</si>
  <si>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</si>
  <si>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</si>
  <si>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</si>
  <si>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</si>
  <si>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</si>
  <si>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</si>
  <si>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</si>
  <si>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</si>
  <si>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</si>
  <si>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</si>
  <si>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</si>
  <si>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</si>
  <si>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</si>
  <si>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</si>
  <si>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</si>
  <si>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</si>
  <si>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</si>
  <si>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</si>
  <si>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</si>
  <si>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</si>
  <si>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</si>
  <si>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</si>
  <si>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</si>
  <si>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</si>
  <si>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</si>
  <si>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</si>
  <si>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</si>
  <si>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</si>
  <si>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</si>
  <si>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</si>
  <si>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</si>
  <si>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</si>
  <si>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</si>
  <si>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</si>
  <si>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</si>
  <si>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</si>
  <si>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</si>
  <si>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</si>
  <si>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</si>
  <si>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</si>
  <si>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</si>
  <si>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</si>
  <si>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</si>
  <si>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</si>
  <si>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</si>
  <si>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</si>
  <si>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</si>
  <si>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</si>
  <si>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</si>
  <si>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</si>
  <si>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</si>
  <si>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</si>
  <si>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</si>
  <si>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</si>
  <si>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</si>
  <si>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</si>
  <si>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</si>
  <si>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</si>
  <si>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</si>
  <si>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</si>
  <si>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</si>
  <si>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</si>
  <si>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</si>
  <si>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</si>
  <si>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</si>
  <si>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</si>
  <si>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</si>
  <si>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</si>
  <si>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</si>
  <si>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</si>
  <si>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</si>
  <si>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</si>
  <si>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</si>
  <si>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</si>
  <si>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</si>
  <si>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</si>
  <si>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</si>
  <si>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</si>
  <si>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</si>
  <si>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</si>
  <si>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</si>
  <si>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</si>
  <si>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</si>
  <si>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</si>
  <si>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</si>
  <si>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</si>
  <si>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</si>
  <si>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</si>
  <si>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</si>
  <si>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</si>
  <si>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</si>
  <si>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</si>
  <si>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</si>
  <si>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</si>
  <si>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</si>
  <si>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</si>
  <si>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</si>
  <si>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</si>
  <si>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</si>
  <si>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</si>
  <si>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</si>
  <si>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</si>
  <si>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</si>
  <si>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</si>
  <si>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</si>
  <si>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</si>
  <si>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</si>
  <si>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</si>
  <si>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</si>
  <si>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</si>
  <si>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</si>
  <si>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</si>
  <si>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</si>
  <si>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</si>
  <si>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</si>
  <si>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</si>
  <si>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</si>
  <si>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</si>
  <si>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</si>
  <si>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</si>
  <si>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</si>
  <si>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</si>
  <si>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</si>
  <si>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</si>
  <si>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</si>
  <si>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</si>
  <si>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</si>
  <si>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</si>
  <si>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</si>
  <si>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</si>
  <si>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</si>
  <si>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</si>
  <si>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</si>
  <si>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</si>
  <si>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</si>
  <si>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</si>
  <si>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</si>
  <si>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</si>
  <si>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</si>
  <si>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</si>
  <si>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</si>
  <si>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</si>
  <si>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</si>
  <si>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</si>
  <si>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</si>
  <si>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</si>
  <si>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</si>
  <si>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</si>
  <si>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</si>
  <si>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</si>
  <si>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</si>
  <si>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</si>
  <si>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</si>
  <si>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</si>
  <si>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</si>
  <si>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</si>
  <si>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</si>
  <si>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</si>
  <si>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</si>
  <si>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</si>
  <si>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</si>
  <si>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</si>
  <si>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</si>
  <si>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</si>
  <si>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</si>
  <si>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</si>
  <si>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</si>
  <si>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</si>
  <si>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</si>
  <si>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</si>
  <si>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</si>
  <si>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</si>
  <si>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</si>
  <si>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</si>
  <si>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</si>
  <si>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</si>
  <si>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</si>
  <si>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</si>
  <si>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</si>
  <si>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</si>
  <si>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</si>
  <si>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</si>
  <si>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</si>
  <si>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</si>
  <si>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</si>
  <si>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</si>
  <si>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</si>
  <si>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</si>
  <si>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</si>
  <si>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</si>
  <si>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</si>
  <si>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</si>
  <si>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</si>
  <si>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</si>
  <si>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</si>
  <si>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</si>
  <si>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</si>
  <si>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</si>
  <si>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</si>
  <si>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</si>
  <si>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</si>
  <si>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</si>
  <si>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</si>
  <si>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</si>
  <si>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</si>
  <si>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</si>
  <si>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</si>
  <si>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</si>
  <si>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</si>
  <si>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</si>
  <si>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</si>
  <si>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</si>
  <si>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</si>
  <si>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</si>
  <si>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</si>
  <si>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</si>
  <si>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</si>
  <si>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</si>
  <si>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</si>
  <si>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</si>
  <si>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</si>
  <si>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</si>
  <si>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</si>
  <si>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</si>
  <si>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</si>
  <si>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</si>
  <si>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</si>
  <si>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</si>
  <si>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</si>
  <si>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</si>
  <si>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</si>
  <si>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</si>
  <si>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</si>
  <si>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</si>
  <si>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</si>
  <si>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</si>
  <si>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</si>
  <si>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</si>
  <si>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</si>
  <si>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</si>
  <si>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</si>
  <si>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</si>
  <si>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</si>
  <si>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</si>
  <si>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</si>
  <si>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</si>
  <si>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</si>
  <si>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</si>
  <si>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</si>
  <si>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</si>
  <si>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</si>
  <si>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</si>
  <si>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</si>
  <si>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</si>
  <si>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</si>
  <si>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</si>
  <si>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</si>
  <si>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</si>
  <si>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</si>
  <si>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</si>
  <si>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</si>
  <si>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</si>
  <si>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</si>
  <si>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</si>
  <si>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</si>
  <si>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</si>
  <si>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</si>
  <si>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</si>
  <si>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</si>
  <si>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</si>
  <si>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</si>
  <si>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</si>
  <si>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</si>
  <si>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</si>
  <si>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</si>
  <si>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</si>
  <si>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</si>
  <si>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</si>
  <si>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</si>
  <si>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</si>
  <si>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</si>
  <si>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</si>
  <si>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</si>
  <si>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</si>
  <si>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</si>
  <si>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</si>
  <si>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</si>
  <si>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</si>
  <si>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</si>
  <si>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</si>
  <si>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</si>
  <si>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</si>
  <si>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</si>
  <si>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</si>
  <si>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</si>
  <si>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</si>
  <si>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</si>
  <si>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</si>
  <si>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</si>
  <si>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</si>
  <si>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</si>
  <si>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</si>
  <si>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</si>
  <si>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</si>
  <si>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</si>
  <si>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</si>
  <si>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</si>
  <si>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</si>
  <si>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</si>
  <si>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</si>
  <si>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</si>
  <si>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</si>
  <si>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</si>
  <si>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</si>
  <si>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</si>
  <si>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</si>
  <si>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</si>
  <si>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</si>
  <si>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</si>
  <si>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</si>
  <si>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</si>
  <si>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</si>
  <si>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</si>
  <si>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</si>
  <si>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</si>
  <si>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</si>
  <si>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</si>
  <si>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</si>
  <si>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</si>
  <si>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</si>
  <si>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</si>
  <si>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</si>
  <si>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</si>
  <si>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</si>
  <si>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</si>
  <si>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</si>
  <si>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</si>
  <si>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</si>
  <si>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</si>
  <si>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</si>
  <si>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</si>
  <si>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</si>
  <si>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</si>
  <si>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</si>
  <si>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</si>
  <si>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</si>
  <si>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</si>
  <si>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</si>
  <si>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</si>
  <si>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</si>
  <si>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</si>
  <si>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</si>
  <si>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</si>
  <si>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</si>
  <si>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</si>
  <si>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</si>
  <si>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</si>
  <si>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</si>
  <si>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</si>
  <si>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</si>
  <si>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</si>
  <si>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</si>
  <si>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</si>
  <si>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</si>
  <si>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</si>
  <si>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</si>
  <si>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</si>
  <si>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</si>
  <si>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</si>
  <si>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</si>
  <si>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</si>
  <si>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</si>
  <si>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</si>
  <si>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</si>
  <si>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</si>
  <si>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</si>
  <si>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</si>
  <si>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</si>
  <si>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</si>
  <si>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</si>
  <si>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</si>
  <si>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</si>
  <si>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</si>
  <si>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</si>
  <si>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</si>
  <si>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</si>
  <si>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</si>
  <si>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</si>
  <si>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</si>
  <si>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</si>
  <si>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</si>
  <si>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</si>
  <si>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</si>
  <si>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</si>
  <si>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</si>
  <si>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</si>
  <si>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</si>
  <si>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</si>
  <si>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</si>
  <si>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</si>
  <si>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</si>
  <si>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</si>
  <si>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</si>
  <si>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</si>
  <si>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</si>
  <si>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</si>
  <si>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</si>
  <si>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</si>
  <si>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</si>
  <si>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</si>
  <si>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</si>
  <si>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</si>
  <si>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</si>
  <si>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</si>
  <si>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</si>
  <si>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</si>
  <si>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</si>
  <si>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</si>
  <si>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</si>
  <si>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</si>
  <si>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</si>
  <si>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</si>
  <si>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</si>
  <si>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</si>
  <si>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</si>
  <si>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</si>
  <si>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</si>
  <si>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</si>
  <si>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</si>
  <si>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</si>
  <si>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</si>
  <si>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</si>
  <si>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</si>
  <si>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</si>
  <si>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</si>
  <si>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</si>
  <si>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</si>
  <si>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</si>
  <si>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</si>
  <si>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</si>
  <si>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</si>
  <si>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</si>
  <si>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</si>
  <si>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</si>
  <si>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</si>
  <si>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</si>
  <si>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</si>
  <si>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</si>
  <si>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</si>
  <si>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</si>
  <si>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</si>
  <si>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</si>
  <si>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</si>
  <si>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</si>
  <si>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</si>
  <si>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</si>
  <si>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</si>
  <si>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</si>
  <si>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</si>
  <si>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</si>
  <si>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</si>
  <si>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</si>
  <si>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</si>
  <si>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</si>
  <si>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</si>
  <si>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</si>
  <si>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</si>
  <si>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</si>
  <si>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</si>
  <si>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</si>
  <si>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</si>
  <si>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</si>
  <si>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</si>
  <si>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</si>
  <si>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</si>
  <si>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</si>
  <si>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</si>
  <si>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</si>
  <si>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</si>
  <si>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</si>
  <si>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</si>
  <si>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</si>
  <si>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</si>
  <si>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</si>
  <si>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</si>
  <si>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</si>
  <si>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</si>
  <si>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</si>
  <si>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</si>
  <si>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</si>
  <si>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</si>
  <si>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</si>
  <si>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</si>
  <si>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</si>
  <si>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</si>
  <si>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</si>
  <si>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</si>
  <si>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</si>
  <si>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</si>
  <si>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</si>
  <si>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</si>
  <si>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</si>
  <si>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</si>
  <si>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</si>
  <si>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</si>
  <si>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</si>
  <si>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</si>
  <si>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</si>
  <si>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</si>
  <si>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</si>
  <si>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</si>
  <si>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</si>
  <si>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</si>
  <si>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</si>
  <si>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</si>
  <si>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</si>
  <si>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</si>
  <si>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</si>
  <si>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</si>
  <si>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</si>
  <si>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</si>
  <si>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</si>
  <si>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</si>
  <si>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</si>
  <si>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</si>
  <si>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</si>
  <si>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</si>
  <si>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</si>
  <si>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</si>
  <si>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</si>
  <si>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</si>
  <si>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</si>
  <si>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</si>
  <si>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</si>
  <si>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</si>
  <si>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</si>
  <si>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</si>
  <si>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</si>
  <si>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</si>
  <si>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</si>
  <si>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</si>
  <si>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</si>
  <si>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</si>
  <si>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</si>
  <si>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</si>
  <si>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</si>
  <si>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</si>
  <si>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</si>
  <si>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</si>
  <si>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</si>
  <si>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</si>
  <si>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</si>
  <si>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</si>
  <si>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</si>
  <si>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</si>
  <si>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</si>
  <si>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</si>
  <si>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</si>
  <si>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</si>
  <si>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</si>
  <si>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</si>
  <si>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</si>
  <si>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</si>
  <si>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</si>
  <si>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</si>
  <si>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</si>
  <si>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</si>
  <si>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</si>
  <si>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</si>
  <si>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</si>
  <si>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</si>
  <si>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</si>
  <si>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</si>
  <si>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</si>
  <si>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</si>
  <si>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</si>
  <si>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</si>
  <si>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</si>
  <si>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</si>
  <si>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</si>
  <si>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</si>
  <si>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</si>
  <si>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</si>
  <si>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</si>
  <si>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</si>
  <si>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</si>
  <si>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</si>
  <si>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</si>
  <si>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</si>
  <si>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</si>
  <si>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</si>
  <si>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</si>
  <si>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</si>
  <si>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</si>
  <si>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</si>
  <si>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</si>
  <si>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</si>
  <si>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</si>
  <si>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</si>
  <si>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</si>
  <si>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</si>
  <si>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</si>
  <si>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</si>
  <si>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</si>
  <si>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</si>
  <si>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</si>
  <si>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</si>
  <si>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</si>
  <si>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</si>
  <si>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</si>
  <si>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</si>
  <si>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</si>
  <si>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</si>
  <si>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</si>
  <si>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</si>
  <si>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</si>
  <si>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</si>
  <si>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</si>
  <si>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</si>
  <si>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</si>
  <si>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</si>
  <si>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</si>
  <si>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</si>
  <si>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</si>
  <si>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</si>
  <si>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</si>
  <si>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</si>
  <si>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</si>
  <si>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</si>
  <si>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</si>
  <si>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</si>
  <si>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</si>
  <si>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</si>
  <si>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</si>
  <si>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</si>
  <si>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</si>
  <si>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</si>
  <si>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</si>
  <si>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</si>
  <si>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</si>
  <si>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</si>
  <si>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</si>
  <si>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</si>
  <si>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</si>
  <si>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</si>
  <si>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</si>
  <si>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</si>
  <si>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</si>
  <si>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</si>
  <si>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</si>
  <si>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</si>
  <si>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</si>
  <si>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</si>
  <si>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</si>
  <si>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</si>
  <si>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</si>
  <si>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</si>
  <si>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</si>
  <si>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</si>
  <si>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</si>
  <si>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</si>
  <si>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</si>
  <si>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</si>
  <si>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</si>
  <si>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</si>
  <si>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</si>
  <si>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</si>
  <si>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</si>
  <si>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</si>
  <si>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</si>
  <si>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</si>
  <si>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</si>
  <si>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</si>
  <si>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</si>
  <si>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</si>
  <si>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</si>
  <si>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</si>
  <si>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</si>
  <si>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</si>
  <si>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</si>
  <si>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</si>
  <si>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</si>
  <si>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</si>
  <si>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</si>
  <si>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</si>
  <si>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</si>
  <si>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</si>
  <si>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</si>
  <si>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</si>
  <si>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</si>
  <si>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</si>
  <si>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</si>
  <si>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</si>
  <si>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</si>
  <si>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</si>
  <si>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</si>
  <si>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</si>
  <si>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</si>
  <si>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</si>
  <si>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</si>
  <si>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</si>
  <si>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</si>
  <si>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</si>
  <si>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</si>
  <si>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</si>
  <si>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</si>
  <si>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</si>
  <si>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</si>
  <si>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</si>
  <si>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</si>
  <si>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</si>
  <si>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</si>
  <si>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</si>
  <si>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</si>
  <si>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</si>
  <si>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</si>
  <si>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</si>
  <si>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</si>
  <si>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</si>
  <si>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</si>
  <si>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</si>
  <si>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</si>
  <si>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</si>
  <si>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</si>
  <si>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</si>
  <si>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</si>
  <si>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</si>
  <si>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</si>
  <si>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</si>
  <si>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</si>
  <si>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</si>
  <si>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</si>
  <si>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</si>
  <si>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</si>
  <si>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</si>
  <si>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</si>
  <si>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</si>
  <si>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</si>
  <si>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</si>
  <si>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</si>
  <si>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</si>
  <si>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</si>
  <si>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</si>
  <si>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</si>
  <si>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</si>
  <si>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</si>
  <si>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</si>
  <si>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</si>
  <si>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</si>
  <si>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</si>
  <si>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</si>
  <si>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</si>
  <si>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</si>
  <si>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</si>
  <si>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</si>
  <si>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SYG 5 - 32</t>
  </si>
  <si>
    <t>SYG 05</t>
  </si>
  <si>
    <t>I2</t>
  </si>
  <si>
    <t>CC1-A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</si>
  <si>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</si>
  <si>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</si>
  <si>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</si>
  <si>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</si>
  <si>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</si>
  <si>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</si>
  <si>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</si>
  <si>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</si>
  <si>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</si>
  <si>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</si>
  <si>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</si>
  <si>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</si>
  <si>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</si>
  <si>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C12-350</t>
  </si>
  <si>
    <t>Koordinat : -6.983762, 110.688758</t>
  </si>
  <si>
    <t>C12-200</t>
  </si>
  <si>
    <t>CC8</t>
  </si>
  <si>
    <t>CC8-A</t>
  </si>
  <si>
    <t>P12C-2</t>
  </si>
  <si>
    <t>CG312A</t>
  </si>
  <si>
    <t>Trafo 3 Fasa 100 KVA 1 Tiang (G312-A)</t>
  </si>
  <si>
    <t>Daya 82.500 VA</t>
  </si>
  <si>
    <t>PROTEKSI</t>
  </si>
  <si>
    <t>CM5-6</t>
  </si>
  <si>
    <t>AGR H MUSTAIN</t>
  </si>
  <si>
    <t>CM5-4</t>
  </si>
  <si>
    <t>DS SARIMULYO KEC. KEBONAGUNG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</si>
</sst>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</borders>
  <cellStyleXfs count="2681">
    <xf numFmtId="0" fontId="0" fillId="0" borderId="0"/>
    <xf numFmtId="170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79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20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4" fontId="36" fillId="0" borderId="3"/>
    <xf numFmtId="184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185" fontId="70" fillId="0" borderId="0" applyFont="0" applyFill="0" applyBorder="0" applyAlignment="0" applyProtection="0"/>
    <xf numFmtId="186" fontId="72" fillId="0" borderId="0">
      <protection locked="0"/>
    </xf>
    <xf numFmtId="14" fontId="64" fillId="0" borderId="0" applyFill="0" applyBorder="0" applyAlignment="0"/>
    <xf numFmtId="187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5" fontId="36" fillId="0" borderId="0" applyFill="0" applyBorder="0" applyAlignment="0"/>
    <xf numFmtId="175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8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89" fontId="77" fillId="0" borderId="0">
      <protection locked="0"/>
    </xf>
    <xf numFmtId="189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5" fontId="36" fillId="0" borderId="0" applyFill="0" applyBorder="0" applyAlignment="0"/>
    <xf numFmtId="175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0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1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1" fontId="36" fillId="0" borderId="0"/>
    <xf numFmtId="191" fontId="22" fillId="0" borderId="0"/>
    <xf numFmtId="191" fontId="36" fillId="0" borderId="0"/>
    <xf numFmtId="191" fontId="22" fillId="0" borderId="0"/>
    <xf numFmtId="191" fontId="36" fillId="0" borderId="0"/>
    <xf numFmtId="191" fontId="22" fillId="0" borderId="0"/>
    <xf numFmtId="191" fontId="22" fillId="0" borderId="0"/>
    <xf numFmtId="191" fontId="36" fillId="0" borderId="0"/>
    <xf numFmtId="170" fontId="83" fillId="0" borderId="0"/>
    <xf numFmtId="170" fontId="84" fillId="0" borderId="0"/>
    <xf numFmtId="170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2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0" fontId="84" fillId="0" borderId="0"/>
    <xf numFmtId="0" fontId="84" fillId="0" borderId="0"/>
    <xf numFmtId="193" fontId="84" fillId="0" borderId="0"/>
    <xf numFmtId="194" fontId="84" fillId="0" borderId="0"/>
    <xf numFmtId="0" fontId="84" fillId="0" borderId="0"/>
    <xf numFmtId="195" fontId="84" fillId="0" borderId="0"/>
    <xf numFmtId="195" fontId="84" fillId="0" borderId="0"/>
    <xf numFmtId="195" fontId="84" fillId="0" borderId="0"/>
    <xf numFmtId="193" fontId="84" fillId="0" borderId="0"/>
    <xf numFmtId="0" fontId="84" fillId="0" borderId="0"/>
    <xf numFmtId="0" fontId="36" fillId="0" borderId="0"/>
    <xf numFmtId="0" fontId="22" fillId="0" borderId="0"/>
    <xf numFmtId="180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6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5" fontId="84" fillId="0" borderId="0"/>
    <xf numFmtId="195" fontId="84" fillId="0" borderId="0"/>
    <xf numFmtId="195" fontId="84" fillId="0" borderId="0"/>
    <xf numFmtId="195" fontId="84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2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2" fontId="43" fillId="0" borderId="0"/>
    <xf numFmtId="192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3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6" fillId="27" borderId="12" applyNumberFormat="0" applyFont="0" applyAlignment="0" applyProtection="0"/>
    <xf numFmtId="192" fontId="43" fillId="28" borderId="12" applyAlignment="0" applyProtection="0"/>
    <xf numFmtId="192" fontId="43" fillId="28" borderId="12" applyAlignment="0" applyProtection="0"/>
    <xf numFmtId="0" fontId="22" fillId="27" borderId="12" applyNumberFormat="0" applyFont="0" applyAlignment="0" applyProtection="0"/>
    <xf numFmtId="192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4" fontId="36" fillId="0" borderId="0" applyFont="0" applyFill="0" applyBorder="0" applyAlignment="0" applyProtection="0"/>
    <xf numFmtId="174" fontId="22" fillId="0" borderId="0" applyFont="0" applyFill="0" applyBorder="0" applyAlignment="0" applyProtection="0"/>
    <xf numFmtId="198" fontId="36" fillId="0" borderId="0" applyFont="0" applyFill="0" applyBorder="0" applyAlignment="0" applyProtection="0"/>
    <xf numFmtId="198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5" fontId="36" fillId="0" borderId="0" applyFill="0" applyBorder="0" applyAlignment="0"/>
    <xf numFmtId="175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1" fontId="36" fillId="0" borderId="0" applyFill="0" applyBorder="0" applyAlignment="0"/>
    <xf numFmtId="171" fontId="22" fillId="0" borderId="0" applyFill="0" applyBorder="0" applyAlignment="0"/>
    <xf numFmtId="0" fontId="74" fillId="0" borderId="0"/>
    <xf numFmtId="199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0" fontId="36" fillId="0" borderId="0" applyFill="0" applyBorder="0" applyAlignment="0"/>
    <xf numFmtId="200" fontId="22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4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4" fontId="175" fillId="0" borderId="0" applyFont="0" applyFill="0" applyBorder="0" applyAlignment="0" applyProtection="0"/>
    <xf numFmtId="0" fontId="22" fillId="0" borderId="0"/>
    <xf numFmtId="0" fontId="176" fillId="0" borderId="0" applyNumberFormat="0" applyFill="0" applyBorder="0" applyAlignment="0" applyProtection="0"/>
    <xf numFmtId="0" fontId="4" fillId="0" borderId="0"/>
    <xf numFmtId="0" fontId="4" fillId="0" borderId="0"/>
  </cellStyleXfs>
  <cellXfs count="734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7" fontId="45" fillId="0" borderId="0" xfId="714" applyFont="1" applyFill="1" applyAlignment="1">
      <alignment horizontal="center" wrapText="1"/>
    </xf>
    <xf numFmtId="167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7" fontId="45" fillId="0" borderId="21" xfId="715" applyNumberFormat="1" applyFont="1" applyFill="1" applyBorder="1" applyAlignment="1">
      <alignment horizontal="center" vertical="center" wrapText="1"/>
    </xf>
    <xf numFmtId="167" fontId="45" fillId="0" borderId="21" xfId="714" applyFont="1" applyFill="1" applyBorder="1" applyAlignment="1">
      <alignment horizontal="center" vertical="center" wrapText="1"/>
    </xf>
    <xf numFmtId="167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5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7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7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7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7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7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7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7" fontId="113" fillId="29" borderId="3" xfId="1538" applyNumberFormat="1" applyFill="1" applyBorder="1" applyAlignment="1">
      <alignment horizontal="right"/>
    </xf>
    <xf numFmtId="165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7" fillId="0" borderId="20" xfId="1653" applyFont="1" applyBorder="1" applyAlignment="1">
      <alignment horizontal="center" vertical="center"/>
    </xf>
    <xf numFmtId="0" fontId="157" fillId="0" borderId="21" xfId="1653" applyFont="1" applyBorder="1" applyAlignment="1">
      <alignment vertical="center" wrapText="1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5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0" xfId="1614" applyNumberFormat="1" applyFont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0" fillId="0" borderId="0" xfId="1614" applyFont="1" applyAlignment="1">
      <alignment horizontal="center" vertic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7" fontId="142" fillId="40" borderId="87" xfId="2672" applyNumberFormat="1" applyFont="1" applyFill="1" applyBorder="1" applyAlignment="1" applyProtection="1">
      <alignment horizontal="right" vertical="center"/>
      <protection locked="0"/>
    </xf>
    <xf numFmtId="167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1" fillId="0" borderId="21" xfId="1614" applyFont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164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5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7" fontId="146" fillId="47" borderId="0" xfId="2672" applyNumberFormat="1" applyFont="1" applyFill="1" applyBorder="1" applyAlignment="1" applyProtection="1">
      <alignment horizontal="right" vertical="center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76" fillId="33" borderId="0" xfId="2678" applyFill="1"/>
    <xf numFmtId="0" fontId="5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5" fillId="0" borderId="21" xfId="1450" applyFont="1" applyBorder="1" applyAlignment="1">
      <alignment vertical="center" wrapText="1"/>
    </xf>
    <xf numFmtId="0" fontId="157" fillId="48" borderId="21" xfId="1652" applyFont="1" applyFill="1" applyBorder="1" applyAlignment="1">
      <alignment vertical="center" wrapText="1"/>
    </xf>
    <xf numFmtId="0" fontId="115" fillId="0" borderId="20" xfId="1652" applyFont="1" applyBorder="1" applyAlignment="1">
      <alignment horizontal="center" vertical="center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left"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117" fillId="33" borderId="0" xfId="2679" applyFont="1" applyFill="1" applyAlignment="1">
      <alignment horizontal="left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93" fillId="33" borderId="40" xfId="2680" applyFont="1" applyFill="1" applyBorder="1" applyAlignment="1">
      <alignment horizontal="center" vertical="center"/>
    </xf>
    <xf numFmtId="0" fontId="120" fillId="33" borderId="69" xfId="2680" applyFont="1" applyFill="1" applyBorder="1" applyAlignment="1">
      <alignment horizontal="center" vertical="center"/>
    </xf>
    <xf numFmtId="0" fontId="93" fillId="33" borderId="68" xfId="2680" applyFont="1" applyFill="1" applyBorder="1" applyAlignment="1">
      <alignment horizontal="center" vertical="center"/>
    </xf>
    <xf numFmtId="0" fontId="116" fillId="33" borderId="0" xfId="0" applyFont="1" applyFill="1" applyAlignment="1">
      <alignment horizontal="left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7" fillId="0" borderId="20" xfId="1614" applyFont="1" applyBorder="1" applyAlignment="1">
      <alignment horizontal="center" vertical="center"/>
    </xf>
    <xf numFmtId="0" fontId="177" fillId="0" borderId="21" xfId="1614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112" fillId="0" borderId="21" xfId="1614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1" fillId="0" borderId="21" xfId="1614" applyFont="1" applyBorder="1" applyAlignment="1">
      <alignment horizontal="center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7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5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5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5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120" fillId="33" borderId="60" xfId="2680" applyFont="1" applyFill="1" applyBorder="1" applyAlignment="1">
      <alignment horizontal="left" vertical="center"/>
    </xf>
    <xf numFmtId="0" fontId="120" fillId="33" borderId="79" xfId="2680" applyFont="1" applyFill="1" applyBorder="1" applyAlignment="1">
      <alignment horizontal="left" vertical="center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0" fontId="93" fillId="33" borderId="60" xfId="2680" applyFont="1" applyFill="1" applyBorder="1" applyAlignment="1">
      <alignment horizontal="left" vertical="center"/>
    </xf>
    <xf numFmtId="0" fontId="93" fillId="33" borderId="61" xfId="268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93" fillId="0" borderId="99" xfId="1450" applyFont="1" applyBorder="1" applyAlignment="1">
      <alignment horizontal="left" vertical="center"/>
    </xf>
    <xf numFmtId="0" fontId="93" fillId="0" borderId="100" xfId="1450" applyFont="1" applyBorder="1" applyAlignment="1">
      <alignment horizontal="left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1" xfId="1652" applyFont="1" applyBorder="1" applyAlignment="1">
      <alignment horizontal="left" vertical="center" wrapText="1"/>
    </xf>
  </cellXfs>
  <cellStyles count="268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9" xr:uid="{7A623178-A344-40B1-818F-4B823CF1A5E6}"/>
    <cellStyle name="Normal 139" xfId="2680" xr:uid="{B7FF059C-040C-4C5A-BC38-CBAD5EB99CEF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0.70000000000000018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4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4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240</xdr:row>
      <xdr:rowOff>81642</xdr:rowOff>
    </xdr:from>
    <xdr:to>
      <xdr:col>11</xdr:col>
      <xdr:colOff>93061</xdr:colOff>
      <xdr:row>243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346197</xdr:colOff>
      <xdr:row>14</xdr:row>
      <xdr:rowOff>87608</xdr:rowOff>
    </xdr:from>
    <xdr:to>
      <xdr:col>20</xdr:col>
      <xdr:colOff>65684</xdr:colOff>
      <xdr:row>14</xdr:row>
      <xdr:rowOff>113110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43BAE740-9D8E-4F06-8BBE-1B2F40C77E21}"/>
            </a:ext>
          </a:extLst>
        </xdr:cNvPr>
        <xdr:cNvCxnSpPr/>
      </xdr:nvCxnSpPr>
      <xdr:spPr>
        <a:xfrm flipV="1">
          <a:off x="2939928" y="2263704"/>
          <a:ext cx="4291487" cy="25502"/>
        </a:xfrm>
        <a:prstGeom prst="line">
          <a:avLst/>
        </a:prstGeom>
        <a:ln w="14605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205154</xdr:colOff>
      <xdr:row>9</xdr:row>
      <xdr:rowOff>51289</xdr:rowOff>
    </xdr:from>
    <xdr:to>
      <xdr:col>8</xdr:col>
      <xdr:colOff>371841</xdr:colOff>
      <xdr:row>14</xdr:row>
      <xdr:rowOff>119422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7B657BDF-BFAA-4EFC-A4ED-8CEF306E2167}"/>
            </a:ext>
          </a:extLst>
        </xdr:cNvPr>
        <xdr:cNvCxnSpPr/>
      </xdr:nvCxnSpPr>
      <xdr:spPr>
        <a:xfrm>
          <a:off x="893885" y="1450731"/>
          <a:ext cx="2071687" cy="844787"/>
        </a:xfrm>
        <a:prstGeom prst="line">
          <a:avLst/>
        </a:prstGeom>
        <a:ln w="14605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23813</xdr:colOff>
      <xdr:row>12</xdr:row>
      <xdr:rowOff>65485</xdr:rowOff>
    </xdr:from>
    <xdr:to>
      <xdr:col>8</xdr:col>
      <xdr:colOff>231714</xdr:colOff>
      <xdr:row>18</xdr:row>
      <xdr:rowOff>17272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5B2B73D5-15AF-4656-8DF2-CFC591E30F92}"/>
            </a:ext>
          </a:extLst>
        </xdr:cNvPr>
        <xdr:cNvCxnSpPr>
          <a:stCxn id="30" idx="2"/>
        </xdr:cNvCxnSpPr>
      </xdr:nvCxnSpPr>
      <xdr:spPr>
        <a:xfrm flipH="1" flipV="1">
          <a:off x="708422" y="1934766"/>
          <a:ext cx="2112901" cy="88642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365814</xdr:colOff>
      <xdr:row>9</xdr:row>
      <xdr:rowOff>135881</xdr:rowOff>
    </xdr:from>
    <xdr:to>
      <xdr:col>19</xdr:col>
      <xdr:colOff>373140</xdr:colOff>
      <xdr:row>22</xdr:row>
      <xdr:rowOff>137614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25AEA3DE-E7C8-4C72-8EAB-AE993CA1B982}"/>
            </a:ext>
          </a:extLst>
        </xdr:cNvPr>
        <xdr:cNvCxnSpPr/>
      </xdr:nvCxnSpPr>
      <xdr:spPr>
        <a:xfrm>
          <a:off x="7147614" y="1526531"/>
          <a:ext cx="7326" cy="199245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148805</xdr:colOff>
      <xdr:row>2</xdr:row>
      <xdr:rowOff>1</xdr:rowOff>
    </xdr:from>
    <xdr:to>
      <xdr:col>21</xdr:col>
      <xdr:colOff>241640</xdr:colOff>
      <xdr:row>5</xdr:row>
      <xdr:rowOff>20984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68F165E-1437-44C5-B3E8-CD92BEF9E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54850" y="311728"/>
          <a:ext cx="854835" cy="488574"/>
        </a:xfrm>
        <a:prstGeom prst="rect">
          <a:avLst/>
        </a:prstGeom>
      </xdr:spPr>
    </xdr:pic>
    <xdr:clientData/>
  </xdr:twoCellAnchor>
  <xdr:twoCellAnchor>
    <xdr:from>
      <xdr:col>26</xdr:col>
      <xdr:colOff>93747</xdr:colOff>
      <xdr:row>5</xdr:row>
      <xdr:rowOff>34776</xdr:rowOff>
    </xdr:from>
    <xdr:to>
      <xdr:col>29</xdr:col>
      <xdr:colOff>274911</xdr:colOff>
      <xdr:row>17</xdr:row>
      <xdr:rowOff>11604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B7FF0761-C4B4-48C1-84BB-47332AB2B67F}"/>
            </a:ext>
          </a:extLst>
        </xdr:cNvPr>
        <xdr:cNvGrpSpPr/>
      </xdr:nvGrpSpPr>
      <xdr:grpSpPr>
        <a:xfrm>
          <a:off x="9601429" y="814094"/>
          <a:ext cx="1376118" cy="1847192"/>
          <a:chOff x="9713886" y="808452"/>
          <a:chExt cx="1342558" cy="1766630"/>
        </a:xfrm>
      </xdr:grpSpPr>
      <xdr:grpSp>
        <xdr:nvGrpSpPr>
          <xdr:cNvPr id="108" name="Group 13">
            <a:extLst>
              <a:ext uri="{FF2B5EF4-FFF2-40B4-BE49-F238E27FC236}">
                <a16:creationId xmlns:a16="http://schemas.microsoft.com/office/drawing/2014/main" id="{98FED52B-CE74-42AA-95CE-46E05FEBFF7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7" name="Oval 1">
              <a:extLst>
                <a:ext uri="{FF2B5EF4-FFF2-40B4-BE49-F238E27FC236}">
                  <a16:creationId xmlns:a16="http://schemas.microsoft.com/office/drawing/2014/main" id="{8BD35245-66F3-4DBB-802A-7207556D885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8" name="Straight Connector 3">
              <a:extLst>
                <a:ext uri="{FF2B5EF4-FFF2-40B4-BE49-F238E27FC236}">
                  <a16:creationId xmlns:a16="http://schemas.microsoft.com/office/drawing/2014/main" id="{213029BE-3EFF-4B56-92F4-ACC82B8CD70A}"/>
                </a:ext>
              </a:extLst>
            </xdr:cNvPr>
            <xdr:cNvCxnSpPr>
              <a:stCxn id="134" idx="1"/>
              <a:endCxn id="13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9" name="Straight Connector 7">
              <a:extLst>
                <a:ext uri="{FF2B5EF4-FFF2-40B4-BE49-F238E27FC236}">
                  <a16:creationId xmlns:a16="http://schemas.microsoft.com/office/drawing/2014/main" id="{599FE580-E645-45FD-A475-01DEAEC3670F}"/>
                </a:ext>
              </a:extLst>
            </xdr:cNvPr>
            <xdr:cNvCxnSpPr>
              <a:stCxn id="134" idx="3"/>
              <a:endCxn id="13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03A3A069-369A-4B70-8D17-78C0422037EC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0" name="Group 14">
            <a:extLst>
              <a:ext uri="{FF2B5EF4-FFF2-40B4-BE49-F238E27FC236}">
                <a16:creationId xmlns:a16="http://schemas.microsoft.com/office/drawing/2014/main" id="{6E85F0F8-C985-4C80-8F60-EB1A2CC3B678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4" name="Oval 173">
              <a:extLst>
                <a:ext uri="{FF2B5EF4-FFF2-40B4-BE49-F238E27FC236}">
                  <a16:creationId xmlns:a16="http://schemas.microsoft.com/office/drawing/2014/main" id="{9271A688-A4A2-419E-8629-DAE26A8CB71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4811B642-A77F-4F95-A30F-F7F04827BE24}"/>
                </a:ext>
              </a:extLst>
            </xdr:cNvPr>
            <xdr:cNvCxnSpPr>
              <a:stCxn id="174" idx="1"/>
              <a:endCxn id="17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9F67E899-2A00-49B8-AA50-CFB690C1F2F9}"/>
                </a:ext>
              </a:extLst>
            </xdr:cNvPr>
            <xdr:cNvCxnSpPr>
              <a:stCxn id="174" idx="3"/>
              <a:endCxn id="17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AB8A562C-373D-4D00-912C-205EE9900E75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925147B0-8C26-4F1A-A973-36DB8E1292D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F471F30B-FE42-4F25-A7A2-D4047FEFEEC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612F4E06-F739-4219-B0CD-7774979F3ECF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90037CE7-1ABD-4AF9-B7DA-3C16660A4A2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D8999A5B-9FC3-4482-ACC0-677B9F9170B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52495BB4-4BA0-4B8A-9C02-CE115926B0C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E51E323-29B0-45ED-8F2E-11B8FC684B2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29E79E23-211F-44FC-A28E-BE7524A9BF49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40B6F75C-5283-4268-AC8D-71281EB94ED3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00E57E01-FA53-4198-8FFA-5FFE6599B0A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02BD488E-C430-41DC-A78D-D1DBC0A3775B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5D39C56A-826B-4503-B524-A38AD536350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50">
            <a:extLst>
              <a:ext uri="{FF2B5EF4-FFF2-40B4-BE49-F238E27FC236}">
                <a16:creationId xmlns:a16="http://schemas.microsoft.com/office/drawing/2014/main" id="{3E4E1904-B467-4E3D-B134-EB7ED693649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6E0085C7-CAEA-4392-B8C9-0D7C329969A3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52">
            <a:extLst>
              <a:ext uri="{FF2B5EF4-FFF2-40B4-BE49-F238E27FC236}">
                <a16:creationId xmlns:a16="http://schemas.microsoft.com/office/drawing/2014/main" id="{8C3FB0B6-5FD0-479D-A4AD-23AED69F350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E0E0452C-4292-4408-8072-49892DE03736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062A369-6C11-43C8-8F1F-9DCE6E80B60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2FBCDA7D-25CB-49F2-B59C-8BFC935A0A57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68A51269-E182-4BEC-BAC8-B49ABBC0AE8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1413FF7B-078C-4B7A-9C6C-98332D95CDE5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3970896F-DFAB-4A1F-8212-B220B1EB7F7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1A0E6E3C-9ED1-45E5-97A4-28B16FEAE837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F39CCC98-FE11-49FA-99DB-8794C7FA07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41D81C96-D90F-4046-B585-210179B6110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6" name="Group 73">
            <a:extLst>
              <a:ext uri="{FF2B5EF4-FFF2-40B4-BE49-F238E27FC236}">
                <a16:creationId xmlns:a16="http://schemas.microsoft.com/office/drawing/2014/main" id="{A974F9EC-0B61-4D0B-A007-BF32EDFE230C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72" name="TextBox 171">
              <a:extLst>
                <a:ext uri="{FF2B5EF4-FFF2-40B4-BE49-F238E27FC236}">
                  <a16:creationId xmlns:a16="http://schemas.microsoft.com/office/drawing/2014/main" id="{D8B3DD4B-1335-4B02-B4C6-04AA2FD0D4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73" name="Straight Connector 172">
              <a:extLst>
                <a:ext uri="{FF2B5EF4-FFF2-40B4-BE49-F238E27FC236}">
                  <a16:creationId xmlns:a16="http://schemas.microsoft.com/office/drawing/2014/main" id="{55B32DBB-57E9-41BE-A26F-86B172196CC2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7" name="Group 74">
            <a:extLst>
              <a:ext uri="{FF2B5EF4-FFF2-40B4-BE49-F238E27FC236}">
                <a16:creationId xmlns:a16="http://schemas.microsoft.com/office/drawing/2014/main" id="{7ABE865A-A4DB-4752-8A17-440C540370C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4FE431B3-A27E-4202-933A-548D82F98FA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BA65C171-B634-4AB0-9EC0-D2930CBE66E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8" name="Group 89">
            <a:extLst>
              <a:ext uri="{FF2B5EF4-FFF2-40B4-BE49-F238E27FC236}">
                <a16:creationId xmlns:a16="http://schemas.microsoft.com/office/drawing/2014/main" id="{E6D96379-0C05-4CD3-B692-370B5C6946D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6" name="Straight Connector 165">
              <a:extLst>
                <a:ext uri="{FF2B5EF4-FFF2-40B4-BE49-F238E27FC236}">
                  <a16:creationId xmlns:a16="http://schemas.microsoft.com/office/drawing/2014/main" id="{D979CDF1-7487-423B-B8C0-B1A091C2209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Straight Connector 79">
              <a:extLst>
                <a:ext uri="{FF2B5EF4-FFF2-40B4-BE49-F238E27FC236}">
                  <a16:creationId xmlns:a16="http://schemas.microsoft.com/office/drawing/2014/main" id="{93B62ABA-EDBA-46F2-ABA4-6DE90B69BCA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Straight Connector 80">
              <a:extLst>
                <a:ext uri="{FF2B5EF4-FFF2-40B4-BE49-F238E27FC236}">
                  <a16:creationId xmlns:a16="http://schemas.microsoft.com/office/drawing/2014/main" id="{239AC7EB-F186-4C4D-8B98-83DEE562F8F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" name="Straight Connector 88">
              <a:extLst>
                <a:ext uri="{FF2B5EF4-FFF2-40B4-BE49-F238E27FC236}">
                  <a16:creationId xmlns:a16="http://schemas.microsoft.com/office/drawing/2014/main" id="{70F3E726-792D-4116-AAE0-66124D29D64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9" name="Group 90">
            <a:extLst>
              <a:ext uri="{FF2B5EF4-FFF2-40B4-BE49-F238E27FC236}">
                <a16:creationId xmlns:a16="http://schemas.microsoft.com/office/drawing/2014/main" id="{21A32E18-36F1-4A6B-9F27-C668D92A15EC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787C4236-0495-4EB8-8A88-A3EA4A9B976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162">
              <a:extLst>
                <a:ext uri="{FF2B5EF4-FFF2-40B4-BE49-F238E27FC236}">
                  <a16:creationId xmlns:a16="http://schemas.microsoft.com/office/drawing/2014/main" id="{92D86E93-FC1F-4727-9149-C5B867CE0F6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163">
              <a:extLst>
                <a:ext uri="{FF2B5EF4-FFF2-40B4-BE49-F238E27FC236}">
                  <a16:creationId xmlns:a16="http://schemas.microsoft.com/office/drawing/2014/main" id="{48510598-84FA-49D4-B5ED-3B8952DD37A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164">
              <a:extLst>
                <a:ext uri="{FF2B5EF4-FFF2-40B4-BE49-F238E27FC236}">
                  <a16:creationId xmlns:a16="http://schemas.microsoft.com/office/drawing/2014/main" id="{54D75BB0-4534-4A90-BDE7-ADF4444B55B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68CD9883-890E-4EF2-A7F0-4D8D3A038B8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225186B-7FFF-4635-94E4-DA4D8325B7F8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D398D916-CC12-4BE6-A7A4-85715C79BAF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Arrow Connector 152">
            <a:extLst>
              <a:ext uri="{FF2B5EF4-FFF2-40B4-BE49-F238E27FC236}">
                <a16:creationId xmlns:a16="http://schemas.microsoft.com/office/drawing/2014/main" id="{A7056771-212F-46FD-9868-4F9C9FE6AF0B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4" name="Group 155">
            <a:extLst>
              <a:ext uri="{FF2B5EF4-FFF2-40B4-BE49-F238E27FC236}">
                <a16:creationId xmlns:a16="http://schemas.microsoft.com/office/drawing/2014/main" id="{1739A949-7916-443A-8614-CB40A70A8B73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59" name="Isosceles Triangle 158">
              <a:extLst>
                <a:ext uri="{FF2B5EF4-FFF2-40B4-BE49-F238E27FC236}">
                  <a16:creationId xmlns:a16="http://schemas.microsoft.com/office/drawing/2014/main" id="{820B5EEA-368C-4EB6-B79C-9DB330BF6E5B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0" name="Isosceles Triangle 159">
              <a:extLst>
                <a:ext uri="{FF2B5EF4-FFF2-40B4-BE49-F238E27FC236}">
                  <a16:creationId xmlns:a16="http://schemas.microsoft.com/office/drawing/2014/main" id="{E3B1D78E-63BF-46F1-A186-840535E1D2FC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1" name="Isosceles Triangle 160">
              <a:extLst>
                <a:ext uri="{FF2B5EF4-FFF2-40B4-BE49-F238E27FC236}">
                  <a16:creationId xmlns:a16="http://schemas.microsoft.com/office/drawing/2014/main" id="{BA9CF643-019B-44DA-868A-D322D165945C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5" name="Group 134">
            <a:extLst>
              <a:ext uri="{FF2B5EF4-FFF2-40B4-BE49-F238E27FC236}">
                <a16:creationId xmlns:a16="http://schemas.microsoft.com/office/drawing/2014/main" id="{81BB2085-AF7E-49EB-A18B-595FF773940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97CA324B-2277-4D90-AA70-C03C397239A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A5CAE80E-9EDB-428F-8320-443F16B484C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8" name="Isosceles Triangle 157">
              <a:extLst>
                <a:ext uri="{FF2B5EF4-FFF2-40B4-BE49-F238E27FC236}">
                  <a16:creationId xmlns:a16="http://schemas.microsoft.com/office/drawing/2014/main" id="{C6183362-231B-4929-8958-2330B692C9E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350357</xdr:colOff>
      <xdr:row>17</xdr:row>
      <xdr:rowOff>95072</xdr:rowOff>
    </xdr:from>
    <xdr:to>
      <xdr:col>19</xdr:col>
      <xdr:colOff>105276</xdr:colOff>
      <xdr:row>18</xdr:row>
      <xdr:rowOff>19465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E392DC72-8DF3-4230-91AC-79B283039166}"/>
            </a:ext>
          </a:extLst>
        </xdr:cNvPr>
        <xdr:cNvCxnSpPr>
          <a:stCxn id="236" idx="2"/>
          <a:endCxn id="30" idx="6"/>
        </xdr:cNvCxnSpPr>
      </xdr:nvCxnSpPr>
      <xdr:spPr>
        <a:xfrm flipH="1">
          <a:off x="2942160" y="2681861"/>
          <a:ext cx="3945919" cy="7478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135853</xdr:colOff>
      <xdr:row>20</xdr:row>
      <xdr:rowOff>140328</xdr:rowOff>
    </xdr:from>
    <xdr:to>
      <xdr:col>19</xdr:col>
      <xdr:colOff>254496</xdr:colOff>
      <xdr:row>21</xdr:row>
      <xdr:rowOff>119916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AB97539F-B694-4A97-AC52-AFDF9BE2D3D2}"/>
            </a:ext>
          </a:extLst>
        </xdr:cNvPr>
        <xdr:cNvGrpSpPr/>
      </xdr:nvGrpSpPr>
      <xdr:grpSpPr>
        <a:xfrm>
          <a:off x="6941898" y="3257601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A45FB9D0-C1D7-440B-96FF-3481487D7EF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D49A27C0-AE67-411A-A8F3-671B0B379189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B2D1FF5C-3C6D-46D4-9E1C-C54047B10F64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195175</xdr:colOff>
      <xdr:row>21</xdr:row>
      <xdr:rowOff>119916</xdr:rowOff>
    </xdr:from>
    <xdr:to>
      <xdr:col>19</xdr:col>
      <xdr:colOff>205154</xdr:colOff>
      <xdr:row>24</xdr:row>
      <xdr:rowOff>117231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68036E39-A2C6-43E4-A16F-5BB4FBC7DACC}"/>
            </a:ext>
          </a:extLst>
        </xdr:cNvPr>
        <xdr:cNvCxnSpPr>
          <a:stCxn id="183" idx="4"/>
        </xdr:cNvCxnSpPr>
      </xdr:nvCxnSpPr>
      <xdr:spPr>
        <a:xfrm>
          <a:off x="6979906" y="3373070"/>
          <a:ext cx="9979" cy="45891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151134</xdr:colOff>
      <xdr:row>7</xdr:row>
      <xdr:rowOff>23045</xdr:rowOff>
    </xdr:from>
    <xdr:to>
      <xdr:col>19</xdr:col>
      <xdr:colOff>169226</xdr:colOff>
      <xdr:row>10</xdr:row>
      <xdr:rowOff>131884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B03F99BD-5E4B-4054-94FB-59C5D40D167B}"/>
            </a:ext>
          </a:extLst>
        </xdr:cNvPr>
        <xdr:cNvCxnSpPr>
          <a:endCxn id="8" idx="0"/>
        </xdr:cNvCxnSpPr>
      </xdr:nvCxnSpPr>
      <xdr:spPr>
        <a:xfrm>
          <a:off x="6935865" y="1114757"/>
          <a:ext cx="18092" cy="57043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359781</xdr:colOff>
      <xdr:row>21</xdr:row>
      <xdr:rowOff>12416</xdr:rowOff>
    </xdr:from>
    <xdr:to>
      <xdr:col>19</xdr:col>
      <xdr:colOff>86424</xdr:colOff>
      <xdr:row>25</xdr:row>
      <xdr:rowOff>14574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B2330D50-ECD5-41BC-82B1-289D9507FFFB}"/>
            </a:ext>
          </a:extLst>
        </xdr:cNvPr>
        <xdr:cNvSpPr txBox="1"/>
      </xdr:nvSpPr>
      <xdr:spPr>
        <a:xfrm>
          <a:off x="6378390" y="3280682"/>
          <a:ext cx="488643" cy="6212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K3-393/131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id-ID" sz="5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P12C-2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17</xdr:col>
      <xdr:colOff>127488</xdr:colOff>
      <xdr:row>17</xdr:row>
      <xdr:rowOff>42938</xdr:rowOff>
    </xdr:from>
    <xdr:to>
      <xdr:col>17</xdr:col>
      <xdr:colOff>246131</xdr:colOff>
      <xdr:row>18</xdr:row>
      <xdr:rowOff>22526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E6BAEF2D-1406-44B1-84BC-3559B806BAA8}"/>
            </a:ext>
          </a:extLst>
        </xdr:cNvPr>
        <xdr:cNvGrpSpPr/>
      </xdr:nvGrpSpPr>
      <xdr:grpSpPr>
        <a:xfrm>
          <a:off x="6171533" y="2692620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DC070AC2-DDF8-4D18-807B-6D65F39B90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4C4A6112-8096-4191-A8B5-734695C9F096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7C19F7F0-898B-4CFA-8A9F-17363CF854EA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265044</xdr:colOff>
      <xdr:row>38</xdr:row>
      <xdr:rowOff>80064</xdr:rowOff>
    </xdr:from>
    <xdr:to>
      <xdr:col>6</xdr:col>
      <xdr:colOff>175002</xdr:colOff>
      <xdr:row>47</xdr:row>
      <xdr:rowOff>107674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A7F8AA29-8444-45CA-A691-A8C9EE874D5E}"/>
            </a:ext>
          </a:extLst>
        </xdr:cNvPr>
        <xdr:cNvCxnSpPr>
          <a:stCxn id="212" idx="3"/>
        </xdr:cNvCxnSpPr>
      </xdr:nvCxnSpPr>
      <xdr:spPr>
        <a:xfrm flipH="1">
          <a:off x="1341783" y="5819912"/>
          <a:ext cx="671958" cy="1369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225136</xdr:colOff>
      <xdr:row>56</xdr:row>
      <xdr:rowOff>34637</xdr:rowOff>
    </xdr:from>
    <xdr:to>
      <xdr:col>28</xdr:col>
      <xdr:colOff>256859</xdr:colOff>
      <xdr:row>106</xdr:row>
      <xdr:rowOff>81624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691FDE-9460-AE6C-2590-B595559A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954" y="8832273"/>
          <a:ext cx="10145541" cy="784016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107</xdr:row>
      <xdr:rowOff>138545</xdr:rowOff>
    </xdr:from>
    <xdr:to>
      <xdr:col>29</xdr:col>
      <xdr:colOff>375812</xdr:colOff>
      <xdr:row>150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977218-2425-A24A-5C9F-363C61C2A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317" y="16885227"/>
          <a:ext cx="10680131" cy="6702137"/>
        </a:xfrm>
        <a:prstGeom prst="rect">
          <a:avLst/>
        </a:prstGeom>
      </xdr:spPr>
    </xdr:pic>
    <xdr:clientData/>
  </xdr:twoCellAnchor>
  <xdr:twoCellAnchor>
    <xdr:from>
      <xdr:col>8</xdr:col>
      <xdr:colOff>291703</xdr:colOff>
      <xdr:row>16</xdr:row>
      <xdr:rowOff>51889</xdr:rowOff>
    </xdr:from>
    <xdr:to>
      <xdr:col>20</xdr:col>
      <xdr:colOff>11190</xdr:colOff>
      <xdr:row>16</xdr:row>
      <xdr:rowOff>77391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DC89798-B971-495A-B066-2656572D4FE8}"/>
            </a:ext>
          </a:extLst>
        </xdr:cNvPr>
        <xdr:cNvCxnSpPr/>
      </xdr:nvCxnSpPr>
      <xdr:spPr>
        <a:xfrm flipV="1">
          <a:off x="2881312" y="2546248"/>
          <a:ext cx="4291487" cy="2550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109904</xdr:colOff>
      <xdr:row>10</xdr:row>
      <xdr:rowOff>131884</xdr:rowOff>
    </xdr:from>
    <xdr:to>
      <xdr:col>19</xdr:col>
      <xdr:colOff>228547</xdr:colOff>
      <xdr:row>11</xdr:row>
      <xdr:rowOff>111473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D4BBB9A-4CC6-453A-AA9C-C9348E946B52}"/>
            </a:ext>
          </a:extLst>
        </xdr:cNvPr>
        <xdr:cNvGrpSpPr/>
      </xdr:nvGrpSpPr>
      <xdr:grpSpPr>
        <a:xfrm>
          <a:off x="6915949" y="1690520"/>
          <a:ext cx="118643" cy="1354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1A16D972-2D27-9D92-E4B0-49538C510F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29B787B-CD38-DC78-24D0-49388DA223BF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38D47E99-28BD-1200-CB0D-1E13AB23FF78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169226</xdr:colOff>
      <xdr:row>11</xdr:row>
      <xdr:rowOff>111473</xdr:rowOff>
    </xdr:from>
    <xdr:to>
      <xdr:col>19</xdr:col>
      <xdr:colOff>195175</xdr:colOff>
      <xdr:row>20</xdr:row>
      <xdr:rowOff>140328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9FD2DCD-8AE2-4702-8D70-1D8106759C52}"/>
            </a:ext>
          </a:extLst>
        </xdr:cNvPr>
        <xdr:cNvCxnSpPr>
          <a:stCxn id="8" idx="4"/>
          <a:endCxn id="183" idx="0"/>
        </xdr:cNvCxnSpPr>
      </xdr:nvCxnSpPr>
      <xdr:spPr>
        <a:xfrm>
          <a:off x="6953957" y="1818646"/>
          <a:ext cx="25949" cy="142097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336177</xdr:colOff>
      <xdr:row>17</xdr:row>
      <xdr:rowOff>78441</xdr:rowOff>
    </xdr:from>
    <xdr:to>
      <xdr:col>15</xdr:col>
      <xdr:colOff>73820</xdr:colOff>
      <xdr:row>18</xdr:row>
      <xdr:rowOff>58029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DEFDF809-2798-4D32-ADB4-67F130073C80}"/>
            </a:ext>
          </a:extLst>
        </xdr:cNvPr>
        <xdr:cNvGrpSpPr/>
      </xdr:nvGrpSpPr>
      <xdr:grpSpPr>
        <a:xfrm>
          <a:off x="5237222" y="2728123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C41EA224-3244-E7A3-B9AC-3EE30206FFE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93206EAF-C582-EECE-CCE5-C6F6B11A19DE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597CC93D-EADD-5819-3FEC-18E8E8C89A7B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224118</xdr:colOff>
      <xdr:row>17</xdr:row>
      <xdr:rowOff>89648</xdr:rowOff>
    </xdr:from>
    <xdr:to>
      <xdr:col>12</xdr:col>
      <xdr:colOff>342761</xdr:colOff>
      <xdr:row>18</xdr:row>
      <xdr:rowOff>69236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E866016-47DB-4C7A-933A-FE435A289292}"/>
            </a:ext>
          </a:extLst>
        </xdr:cNvPr>
        <xdr:cNvGrpSpPr/>
      </xdr:nvGrpSpPr>
      <xdr:grpSpPr>
        <a:xfrm>
          <a:off x="4363163" y="2739330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E34136C0-74A1-D714-71AA-F36031F956C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B1C4346D-AE57-E8EE-CFD6-EA841C7F1B58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CCB460D-CBF2-615D-A404-6519FF212695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197827</xdr:colOff>
      <xdr:row>17</xdr:row>
      <xdr:rowOff>131885</xdr:rowOff>
    </xdr:from>
    <xdr:to>
      <xdr:col>10</xdr:col>
      <xdr:colOff>316470</xdr:colOff>
      <xdr:row>18</xdr:row>
      <xdr:rowOff>111473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AF602E5-09DE-40D9-B6B3-155850F773DC}"/>
            </a:ext>
          </a:extLst>
        </xdr:cNvPr>
        <xdr:cNvGrpSpPr/>
      </xdr:nvGrpSpPr>
      <xdr:grpSpPr>
        <a:xfrm>
          <a:off x="3574872" y="2781567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" name="Oval 25">
            <a:extLst>
              <a:ext uri="{FF2B5EF4-FFF2-40B4-BE49-F238E27FC236}">
                <a16:creationId xmlns:a16="http://schemas.microsoft.com/office/drawing/2014/main" id="{03C5E2EB-165A-5259-3D75-3F7F9CBAC2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8EE77D2-B4C1-0940-3830-FD41F6733F90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467FFEDB-70E9-9480-F785-9908A0608720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231714</xdr:colOff>
      <xdr:row>17</xdr:row>
      <xdr:rowOff>104868</xdr:rowOff>
    </xdr:from>
    <xdr:to>
      <xdr:col>8</xdr:col>
      <xdr:colOff>350357</xdr:colOff>
      <xdr:row>18</xdr:row>
      <xdr:rowOff>84456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4E559298-F23A-41FF-AB44-E3D4618993AD}"/>
            </a:ext>
          </a:extLst>
        </xdr:cNvPr>
        <xdr:cNvGrpSpPr/>
      </xdr:nvGrpSpPr>
      <xdr:grpSpPr>
        <a:xfrm>
          <a:off x="2846759" y="2754550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B5DA8BFF-DDDA-9D71-0E5C-6A478C9BC9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2A2703B5-7768-A32B-392C-28C1997C8A8F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30EA74EB-D11A-EE43-74C8-6EE843D5AD0A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29766</xdr:colOff>
      <xdr:row>10</xdr:row>
      <xdr:rowOff>95250</xdr:rowOff>
    </xdr:from>
    <xdr:to>
      <xdr:col>8</xdr:col>
      <xdr:colOff>346654</xdr:colOff>
      <xdr:row>16</xdr:row>
      <xdr:rowOff>91030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B09AF08E-6CD8-408C-A79B-667F12001095}"/>
            </a:ext>
          </a:extLst>
        </xdr:cNvPr>
        <xdr:cNvCxnSpPr/>
      </xdr:nvCxnSpPr>
      <xdr:spPr>
        <a:xfrm>
          <a:off x="714375" y="1654969"/>
          <a:ext cx="2221888" cy="93042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297657</xdr:colOff>
      <xdr:row>16</xdr:row>
      <xdr:rowOff>5954</xdr:rowOff>
    </xdr:from>
    <xdr:to>
      <xdr:col>7</xdr:col>
      <xdr:colOff>35300</xdr:colOff>
      <xdr:row>16</xdr:row>
      <xdr:rowOff>140323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DFD7ACCF-F343-4704-98D1-6BC23184F5BF}"/>
            </a:ext>
          </a:extLst>
        </xdr:cNvPr>
        <xdr:cNvGrpSpPr/>
      </xdr:nvGrpSpPr>
      <xdr:grpSpPr>
        <a:xfrm>
          <a:off x="2150702" y="2499772"/>
          <a:ext cx="118643" cy="1343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312754E3-36F6-003E-D842-6A2D5B7C508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207BFF0B-7A7A-93CE-9C3F-32BD51E81838}"/>
              </a:ext>
            </a:extLst>
          </xdr:cNvPr>
          <xdr:cNvCxnSpPr>
            <a:stCxn id="40" idx="1"/>
            <a:endCxn id="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28641403-2EEA-0197-864E-85246E19B06C}"/>
              </a:ext>
            </a:extLst>
          </xdr:cNvPr>
          <xdr:cNvCxnSpPr>
            <a:stCxn id="40" idx="3"/>
            <a:endCxn id="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107156</xdr:colOff>
      <xdr:row>14</xdr:row>
      <xdr:rowOff>59531</xdr:rowOff>
    </xdr:from>
    <xdr:to>
      <xdr:col>5</xdr:col>
      <xdr:colOff>225799</xdr:colOff>
      <xdr:row>15</xdr:row>
      <xdr:rowOff>39119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9419462B-0C03-4B84-956B-161E42EA42D1}"/>
            </a:ext>
          </a:extLst>
        </xdr:cNvPr>
        <xdr:cNvGrpSpPr/>
      </xdr:nvGrpSpPr>
      <xdr:grpSpPr>
        <a:xfrm>
          <a:off x="1579201" y="2241622"/>
          <a:ext cx="118643" cy="1354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4" name="Oval 43">
            <a:extLst>
              <a:ext uri="{FF2B5EF4-FFF2-40B4-BE49-F238E27FC236}">
                <a16:creationId xmlns:a16="http://schemas.microsoft.com/office/drawing/2014/main" id="{2F0A3469-AC48-9F92-25F6-4BC7E5E94DE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F352F37D-862A-624F-F197-50DA11FEAE6E}"/>
              </a:ext>
            </a:extLst>
          </xdr:cNvPr>
          <xdr:cNvCxnSpPr>
            <a:stCxn id="44" idx="1"/>
            <a:endCxn id="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594978BA-0E78-004A-6295-78D775301EB2}"/>
              </a:ext>
            </a:extLst>
          </xdr:cNvPr>
          <xdr:cNvCxnSpPr>
            <a:stCxn id="44" idx="3"/>
            <a:endCxn id="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255984</xdr:colOff>
      <xdr:row>12</xdr:row>
      <xdr:rowOff>101204</xdr:rowOff>
    </xdr:from>
    <xdr:to>
      <xdr:col>3</xdr:col>
      <xdr:colOff>374627</xdr:colOff>
      <xdr:row>13</xdr:row>
      <xdr:rowOff>74838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46D6DAE-DA49-4969-B68D-1BCC95D61106}"/>
            </a:ext>
          </a:extLst>
        </xdr:cNvPr>
        <xdr:cNvGrpSpPr/>
      </xdr:nvGrpSpPr>
      <xdr:grpSpPr>
        <a:xfrm>
          <a:off x="966029" y="1971568"/>
          <a:ext cx="118643" cy="1294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8" name="Oval 47">
            <a:extLst>
              <a:ext uri="{FF2B5EF4-FFF2-40B4-BE49-F238E27FC236}">
                <a16:creationId xmlns:a16="http://schemas.microsoft.com/office/drawing/2014/main" id="{65552656-142D-D43A-6F9E-B1D77FB1C78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721A9774-6AF8-FCB9-D743-A508EC82C688}"/>
              </a:ext>
            </a:extLst>
          </xdr:cNvPr>
          <xdr:cNvCxnSpPr>
            <a:stCxn id="48" idx="1"/>
            <a:endCxn id="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878C98E2-C514-D9D0-942A-14BA23FDA7D3}"/>
              </a:ext>
            </a:extLst>
          </xdr:cNvPr>
          <xdr:cNvCxnSpPr>
            <a:stCxn id="48" idx="3"/>
            <a:endCxn id="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104033</xdr:colOff>
      <xdr:row>21</xdr:row>
      <xdr:rowOff>101596</xdr:rowOff>
    </xdr:from>
    <xdr:to>
      <xdr:col>20</xdr:col>
      <xdr:colOff>201870</xdr:colOff>
      <xdr:row>39</xdr:row>
      <xdr:rowOff>134664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BD6C3E4C-4544-46D4-9F10-37EE27DBD7E6}"/>
            </a:ext>
          </a:extLst>
        </xdr:cNvPr>
        <xdr:cNvCxnSpPr/>
      </xdr:nvCxnSpPr>
      <xdr:spPr>
        <a:xfrm>
          <a:off x="793774" y="3313820"/>
          <a:ext cx="6574837" cy="277232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106620</xdr:colOff>
      <xdr:row>23</xdr:row>
      <xdr:rowOff>85649</xdr:rowOff>
    </xdr:from>
    <xdr:to>
      <xdr:col>20</xdr:col>
      <xdr:colOff>165235</xdr:colOff>
      <xdr:row>41</xdr:row>
      <xdr:rowOff>112684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D6179043-F18E-89FE-030B-8A851A799196}"/>
            </a:ext>
          </a:extLst>
        </xdr:cNvPr>
        <xdr:cNvGrpSpPr/>
      </xdr:nvGrpSpPr>
      <xdr:grpSpPr>
        <a:xfrm>
          <a:off x="816665" y="3670513"/>
          <a:ext cx="6535615" cy="2815262"/>
          <a:chOff x="894895" y="4933546"/>
          <a:chExt cx="6535615" cy="2766293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E5A6A17-87CA-42B3-826B-18B535DD9D57}"/>
              </a:ext>
            </a:extLst>
          </xdr:cNvPr>
          <xdr:cNvCxnSpPr>
            <a:stCxn id="60" idx="2"/>
            <a:endCxn id="100" idx="6"/>
          </xdr:cNvCxnSpPr>
        </xdr:nvCxnSpPr>
        <xdr:spPr>
          <a:xfrm flipH="1" flipV="1">
            <a:off x="1013538" y="5000731"/>
            <a:ext cx="5955376" cy="2512630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" name="Group 58">
            <a:extLst>
              <a:ext uri="{FF2B5EF4-FFF2-40B4-BE49-F238E27FC236}">
                <a16:creationId xmlns:a16="http://schemas.microsoft.com/office/drawing/2014/main" id="{9040761A-C137-40BA-B505-EAAD43C8A1C8}"/>
              </a:ext>
            </a:extLst>
          </xdr:cNvPr>
          <xdr:cNvGrpSpPr/>
        </xdr:nvGrpSpPr>
        <xdr:grpSpPr>
          <a:xfrm>
            <a:off x="6968914" y="7448955"/>
            <a:ext cx="118643" cy="131590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F763E54C-3BC1-602F-A123-DD2A9A42AE78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4F3FB2C-4EC7-E05E-D4B1-D4DFCA677A1C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2E99E3C-0F04-15F2-B257-4D83013BB8E5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3" name="Group 62">
            <a:extLst>
              <a:ext uri="{FF2B5EF4-FFF2-40B4-BE49-F238E27FC236}">
                <a16:creationId xmlns:a16="http://schemas.microsoft.com/office/drawing/2014/main" id="{334DF11B-3555-4168-97B5-A4FF5F02E261}"/>
              </a:ext>
            </a:extLst>
          </xdr:cNvPr>
          <xdr:cNvGrpSpPr/>
        </xdr:nvGrpSpPr>
        <xdr:grpSpPr>
          <a:xfrm>
            <a:off x="6331472" y="7204133"/>
            <a:ext cx="118643" cy="137402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64" name="Oval 63">
              <a:extLst>
                <a:ext uri="{FF2B5EF4-FFF2-40B4-BE49-F238E27FC236}">
                  <a16:creationId xmlns:a16="http://schemas.microsoft.com/office/drawing/2014/main" id="{8C6766E1-C85C-0B8A-70A6-01406FD289BB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5" name="Straight Connector 64">
              <a:extLst>
                <a:ext uri="{FF2B5EF4-FFF2-40B4-BE49-F238E27FC236}">
                  <a16:creationId xmlns:a16="http://schemas.microsoft.com/office/drawing/2014/main" id="{DFBEA192-94B9-5A86-F132-E7821968771F}"/>
                </a:ext>
              </a:extLst>
            </xdr:cNvPr>
            <xdr:cNvCxnSpPr>
              <a:stCxn id="64" idx="1"/>
              <a:endCxn id="64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BF7D9182-F4B2-70B0-7E64-A0DAFA8D94F4}"/>
                </a:ext>
              </a:extLst>
            </xdr:cNvPr>
            <xdr:cNvCxnSpPr>
              <a:stCxn id="64" idx="3"/>
              <a:endCxn id="64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7" name="Group 66">
            <a:extLst>
              <a:ext uri="{FF2B5EF4-FFF2-40B4-BE49-F238E27FC236}">
                <a16:creationId xmlns:a16="http://schemas.microsoft.com/office/drawing/2014/main" id="{47297294-22EC-43C2-86ED-DDD79DAC470C}"/>
              </a:ext>
            </a:extLst>
          </xdr:cNvPr>
          <xdr:cNvGrpSpPr/>
        </xdr:nvGrpSpPr>
        <xdr:grpSpPr>
          <a:xfrm>
            <a:off x="5737991" y="6953250"/>
            <a:ext cx="118643" cy="131590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68" name="Oval 67">
              <a:extLst>
                <a:ext uri="{FF2B5EF4-FFF2-40B4-BE49-F238E27FC236}">
                  <a16:creationId xmlns:a16="http://schemas.microsoft.com/office/drawing/2014/main" id="{A203B654-2313-8D9A-DB72-B25A0CCFE09E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9" name="Straight Connector 68">
              <a:extLst>
                <a:ext uri="{FF2B5EF4-FFF2-40B4-BE49-F238E27FC236}">
                  <a16:creationId xmlns:a16="http://schemas.microsoft.com/office/drawing/2014/main" id="{47319B0B-CA7E-F175-1A3B-7DA14E84D99C}"/>
                </a:ext>
              </a:extLst>
            </xdr:cNvPr>
            <xdr:cNvCxnSpPr>
              <a:stCxn id="68" idx="1"/>
              <a:endCxn id="68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Connector 69">
              <a:extLst>
                <a:ext uri="{FF2B5EF4-FFF2-40B4-BE49-F238E27FC236}">
                  <a16:creationId xmlns:a16="http://schemas.microsoft.com/office/drawing/2014/main" id="{FE6AA7DB-DB3C-F223-A753-06507B69FD88}"/>
                </a:ext>
              </a:extLst>
            </xdr:cNvPr>
            <xdr:cNvCxnSpPr>
              <a:stCxn id="68" idx="3"/>
              <a:endCxn id="68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F49AB20B-93AE-4882-A7A4-59028FF8ADDC}"/>
              </a:ext>
            </a:extLst>
          </xdr:cNvPr>
          <xdr:cNvGrpSpPr/>
        </xdr:nvGrpSpPr>
        <xdr:grpSpPr>
          <a:xfrm>
            <a:off x="5151836" y="6695039"/>
            <a:ext cx="118643" cy="131589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2" name="Oval 71">
              <a:extLst>
                <a:ext uri="{FF2B5EF4-FFF2-40B4-BE49-F238E27FC236}">
                  <a16:creationId xmlns:a16="http://schemas.microsoft.com/office/drawing/2014/main" id="{94AA2012-A0E7-6840-4520-BFC8FB8F2AC4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3" name="Straight Connector 72">
              <a:extLst>
                <a:ext uri="{FF2B5EF4-FFF2-40B4-BE49-F238E27FC236}">
                  <a16:creationId xmlns:a16="http://schemas.microsoft.com/office/drawing/2014/main" id="{E210C24C-52AC-3FF5-7962-88363ADD8632}"/>
                </a:ext>
              </a:extLst>
            </xdr:cNvPr>
            <xdr:cNvCxnSpPr>
              <a:stCxn id="72" idx="1"/>
              <a:endCxn id="72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48FD43D-1FC0-5E11-8F08-B71934CCDE78}"/>
                </a:ext>
              </a:extLst>
            </xdr:cNvPr>
            <xdr:cNvCxnSpPr>
              <a:stCxn id="72" idx="3"/>
              <a:endCxn id="72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5" name="Group 74">
            <a:extLst>
              <a:ext uri="{FF2B5EF4-FFF2-40B4-BE49-F238E27FC236}">
                <a16:creationId xmlns:a16="http://schemas.microsoft.com/office/drawing/2014/main" id="{EA179CD7-B67C-42F3-A9F3-A10A4974BD15}"/>
              </a:ext>
            </a:extLst>
          </xdr:cNvPr>
          <xdr:cNvGrpSpPr/>
        </xdr:nvGrpSpPr>
        <xdr:grpSpPr>
          <a:xfrm>
            <a:off x="4580337" y="6478010"/>
            <a:ext cx="118643" cy="131591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76" name="Oval 75">
              <a:extLst>
                <a:ext uri="{FF2B5EF4-FFF2-40B4-BE49-F238E27FC236}">
                  <a16:creationId xmlns:a16="http://schemas.microsoft.com/office/drawing/2014/main" id="{3D33EA9D-ADF3-9F2D-6E58-B1B835D46A72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7" name="Straight Connector 76">
              <a:extLst>
                <a:ext uri="{FF2B5EF4-FFF2-40B4-BE49-F238E27FC236}">
                  <a16:creationId xmlns:a16="http://schemas.microsoft.com/office/drawing/2014/main" id="{A775845A-3FB1-A5FE-8510-4A1BCFD3592C}"/>
                </a:ext>
              </a:extLst>
            </xdr:cNvPr>
            <xdr:cNvCxnSpPr>
              <a:stCxn id="76" idx="1"/>
              <a:endCxn id="76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0573928A-04E9-2E2C-B16D-AECE0A8C509E}"/>
                </a:ext>
              </a:extLst>
            </xdr:cNvPr>
            <xdr:cNvCxnSpPr>
              <a:stCxn id="76" idx="3"/>
              <a:endCxn id="76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" name="Group 78">
            <a:extLst>
              <a:ext uri="{FF2B5EF4-FFF2-40B4-BE49-F238E27FC236}">
                <a16:creationId xmlns:a16="http://schemas.microsoft.com/office/drawing/2014/main" id="{80CC775C-2BCF-4758-8C48-DC05B0C53746}"/>
              </a:ext>
            </a:extLst>
          </xdr:cNvPr>
          <xdr:cNvGrpSpPr/>
        </xdr:nvGrpSpPr>
        <xdr:grpSpPr>
          <a:xfrm>
            <a:off x="3964876" y="6205146"/>
            <a:ext cx="118643" cy="131590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80" name="Oval 79">
              <a:extLst>
                <a:ext uri="{FF2B5EF4-FFF2-40B4-BE49-F238E27FC236}">
                  <a16:creationId xmlns:a16="http://schemas.microsoft.com/office/drawing/2014/main" id="{135F4D6A-A622-976C-B56A-7FB0CE389B32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81" name="Straight Connector 80">
              <a:extLst>
                <a:ext uri="{FF2B5EF4-FFF2-40B4-BE49-F238E27FC236}">
                  <a16:creationId xmlns:a16="http://schemas.microsoft.com/office/drawing/2014/main" id="{6EB6688A-82F3-619C-8284-694CC41A557E}"/>
                </a:ext>
              </a:extLst>
            </xdr:cNvPr>
            <xdr:cNvCxnSpPr>
              <a:stCxn id="80" idx="1"/>
              <a:endCxn id="80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2" name="Straight Connector 81">
              <a:extLst>
                <a:ext uri="{FF2B5EF4-FFF2-40B4-BE49-F238E27FC236}">
                  <a16:creationId xmlns:a16="http://schemas.microsoft.com/office/drawing/2014/main" id="{99624BE5-7FAC-63A5-4BE9-A8D135A7FD85}"/>
                </a:ext>
              </a:extLst>
            </xdr:cNvPr>
            <xdr:cNvCxnSpPr>
              <a:stCxn id="80" idx="3"/>
              <a:endCxn id="80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3" name="Group 82">
            <a:extLst>
              <a:ext uri="{FF2B5EF4-FFF2-40B4-BE49-F238E27FC236}">
                <a16:creationId xmlns:a16="http://schemas.microsoft.com/office/drawing/2014/main" id="{43A93034-0768-42A7-98CC-F21081FD1AD0}"/>
              </a:ext>
            </a:extLst>
          </xdr:cNvPr>
          <xdr:cNvGrpSpPr/>
        </xdr:nvGrpSpPr>
        <xdr:grpSpPr>
          <a:xfrm>
            <a:off x="3349414" y="5966137"/>
            <a:ext cx="118643" cy="134369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84" name="Oval 83">
              <a:extLst>
                <a:ext uri="{FF2B5EF4-FFF2-40B4-BE49-F238E27FC236}">
                  <a16:creationId xmlns:a16="http://schemas.microsoft.com/office/drawing/2014/main" id="{8632771C-F0C0-1714-9925-F38201C3D5DC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85" name="Straight Connector 84">
              <a:extLst>
                <a:ext uri="{FF2B5EF4-FFF2-40B4-BE49-F238E27FC236}">
                  <a16:creationId xmlns:a16="http://schemas.microsoft.com/office/drawing/2014/main" id="{10B74A56-7847-A421-8C10-A32ECF914CCF}"/>
                </a:ext>
              </a:extLst>
            </xdr:cNvPr>
            <xdr:cNvCxnSpPr>
              <a:stCxn id="84" idx="1"/>
              <a:endCxn id="84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" name="Straight Connector 85">
              <a:extLst>
                <a:ext uri="{FF2B5EF4-FFF2-40B4-BE49-F238E27FC236}">
                  <a16:creationId xmlns:a16="http://schemas.microsoft.com/office/drawing/2014/main" id="{79426A80-BF5C-3E20-ABDD-CF1BDF9B1E96}"/>
                </a:ext>
              </a:extLst>
            </xdr:cNvPr>
            <xdr:cNvCxnSpPr>
              <a:stCxn id="84" idx="3"/>
              <a:endCxn id="84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7" name="Group 86">
            <a:extLst>
              <a:ext uri="{FF2B5EF4-FFF2-40B4-BE49-F238E27FC236}">
                <a16:creationId xmlns:a16="http://schemas.microsoft.com/office/drawing/2014/main" id="{34DB3062-DB4B-4BF3-AE22-E3660DE1A3D0}"/>
              </a:ext>
            </a:extLst>
          </xdr:cNvPr>
          <xdr:cNvGrpSpPr/>
        </xdr:nvGrpSpPr>
        <xdr:grpSpPr>
          <a:xfrm>
            <a:off x="2770587" y="5716769"/>
            <a:ext cx="118643" cy="137402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88" name="Oval 87">
              <a:extLst>
                <a:ext uri="{FF2B5EF4-FFF2-40B4-BE49-F238E27FC236}">
                  <a16:creationId xmlns:a16="http://schemas.microsoft.com/office/drawing/2014/main" id="{3515E7F4-35F0-D755-2305-066B7A2CB127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60BDFBF4-7455-0188-9480-4219269AD56E}"/>
                </a:ext>
              </a:extLst>
            </xdr:cNvPr>
            <xdr:cNvCxnSpPr>
              <a:stCxn id="88" idx="1"/>
              <a:endCxn id="88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0" name="Straight Connector 89">
              <a:extLst>
                <a:ext uri="{FF2B5EF4-FFF2-40B4-BE49-F238E27FC236}">
                  <a16:creationId xmlns:a16="http://schemas.microsoft.com/office/drawing/2014/main" id="{50A8E50D-C861-9187-1A7B-42B3165FEDDF}"/>
                </a:ext>
              </a:extLst>
            </xdr:cNvPr>
            <xdr:cNvCxnSpPr>
              <a:stCxn id="88" idx="3"/>
              <a:endCxn id="88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1" name="Group 90">
            <a:extLst>
              <a:ext uri="{FF2B5EF4-FFF2-40B4-BE49-F238E27FC236}">
                <a16:creationId xmlns:a16="http://schemas.microsoft.com/office/drawing/2014/main" id="{1308083B-58DC-45A4-879F-F14E7A8DE452}"/>
              </a:ext>
            </a:extLst>
          </xdr:cNvPr>
          <xdr:cNvGrpSpPr/>
        </xdr:nvGrpSpPr>
        <xdr:grpSpPr>
          <a:xfrm>
            <a:off x="2169780" y="5452747"/>
            <a:ext cx="118643" cy="131589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92" name="Oval 91">
              <a:extLst>
                <a:ext uri="{FF2B5EF4-FFF2-40B4-BE49-F238E27FC236}">
                  <a16:creationId xmlns:a16="http://schemas.microsoft.com/office/drawing/2014/main" id="{E41CCA84-2BFC-6266-1751-505A04B7E6C6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3" name="Straight Connector 92">
              <a:extLst>
                <a:ext uri="{FF2B5EF4-FFF2-40B4-BE49-F238E27FC236}">
                  <a16:creationId xmlns:a16="http://schemas.microsoft.com/office/drawing/2014/main" id="{58BF651E-1C09-F090-3791-112A94EB9453}"/>
                </a:ext>
              </a:extLst>
            </xdr:cNvPr>
            <xdr:cNvCxnSpPr>
              <a:stCxn id="92" idx="1"/>
              <a:endCxn id="92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" name="Straight Connector 93">
              <a:extLst>
                <a:ext uri="{FF2B5EF4-FFF2-40B4-BE49-F238E27FC236}">
                  <a16:creationId xmlns:a16="http://schemas.microsoft.com/office/drawing/2014/main" id="{A1635F95-8EC3-46C7-3089-BD76332484DE}"/>
                </a:ext>
              </a:extLst>
            </xdr:cNvPr>
            <xdr:cNvCxnSpPr>
              <a:stCxn id="92" idx="3"/>
              <a:endCxn id="92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5" name="Group 94">
            <a:extLst>
              <a:ext uri="{FF2B5EF4-FFF2-40B4-BE49-F238E27FC236}">
                <a16:creationId xmlns:a16="http://schemas.microsoft.com/office/drawing/2014/main" id="{24B4F4B8-B1A5-47DE-82B9-5B667F864B3B}"/>
              </a:ext>
            </a:extLst>
          </xdr:cNvPr>
          <xdr:cNvGrpSpPr/>
        </xdr:nvGrpSpPr>
        <xdr:grpSpPr>
          <a:xfrm>
            <a:off x="1525010" y="5199084"/>
            <a:ext cx="118643" cy="131590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96" name="Oval 95">
              <a:extLst>
                <a:ext uri="{FF2B5EF4-FFF2-40B4-BE49-F238E27FC236}">
                  <a16:creationId xmlns:a16="http://schemas.microsoft.com/office/drawing/2014/main" id="{2FE51D83-174C-B19A-AF71-FD7958A5C1AF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97" name="Straight Connector 96">
              <a:extLst>
                <a:ext uri="{FF2B5EF4-FFF2-40B4-BE49-F238E27FC236}">
                  <a16:creationId xmlns:a16="http://schemas.microsoft.com/office/drawing/2014/main" id="{DE2E5F0D-530F-A46C-15D0-236D58BEEFC4}"/>
                </a:ext>
              </a:extLst>
            </xdr:cNvPr>
            <xdr:cNvCxnSpPr>
              <a:stCxn id="96" idx="1"/>
              <a:endCxn id="96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Straight Connector 97">
              <a:extLst>
                <a:ext uri="{FF2B5EF4-FFF2-40B4-BE49-F238E27FC236}">
                  <a16:creationId xmlns:a16="http://schemas.microsoft.com/office/drawing/2014/main" id="{30E67108-ECEF-66DE-78F5-9F90A0EF7726}"/>
                </a:ext>
              </a:extLst>
            </xdr:cNvPr>
            <xdr:cNvCxnSpPr>
              <a:stCxn id="96" idx="3"/>
              <a:endCxn id="96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9" name="Group 98">
            <a:extLst>
              <a:ext uri="{FF2B5EF4-FFF2-40B4-BE49-F238E27FC236}">
                <a16:creationId xmlns:a16="http://schemas.microsoft.com/office/drawing/2014/main" id="{561EE520-2595-4020-B325-763F47C6AFBC}"/>
              </a:ext>
            </a:extLst>
          </xdr:cNvPr>
          <xdr:cNvGrpSpPr/>
        </xdr:nvGrpSpPr>
        <xdr:grpSpPr>
          <a:xfrm>
            <a:off x="894895" y="4933546"/>
            <a:ext cx="118643" cy="131590"/>
            <a:chOff x="3725636" y="1945820"/>
            <a:chExt cx="153760" cy="144237"/>
          </a:xfrm>
          <a:solidFill>
            <a:schemeClr val="bg1"/>
          </a:solidFill>
        </xdr:grpSpPr>
        <xdr:sp macro="" textlink="">
          <xdr:nvSpPr>
            <xdr:cNvPr id="100" name="Oval 99">
              <a:extLst>
                <a:ext uri="{FF2B5EF4-FFF2-40B4-BE49-F238E27FC236}">
                  <a16:creationId xmlns:a16="http://schemas.microsoft.com/office/drawing/2014/main" id="{9EE1F604-EA0D-DB74-F3F1-6C2E4487219E}"/>
                </a:ext>
              </a:extLst>
            </xdr:cNvPr>
            <xdr:cNvSpPr/>
          </xdr:nvSpPr>
          <xdr:spPr>
            <a:xfrm>
              <a:off x="3725636" y="1945820"/>
              <a:ext cx="153760" cy="144237"/>
            </a:xfrm>
            <a:prstGeom prst="ellips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1" name="Straight Connector 100">
              <a:extLst>
                <a:ext uri="{FF2B5EF4-FFF2-40B4-BE49-F238E27FC236}">
                  <a16:creationId xmlns:a16="http://schemas.microsoft.com/office/drawing/2014/main" id="{9CA48B0E-8ADE-3F43-639F-BDFB275D3888}"/>
                </a:ext>
              </a:extLst>
            </xdr:cNvPr>
            <xdr:cNvCxnSpPr>
              <a:stCxn id="100" idx="1"/>
              <a:endCxn id="100" idx="5"/>
            </xdr:cNvCxnSpPr>
          </xdr:nvCxnSpPr>
          <xdr:spPr>
            <a:xfrm rot="16200000" flipH="1">
              <a:off x="3751520" y="1963576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2" name="Straight Connector 101">
              <a:extLst>
                <a:ext uri="{FF2B5EF4-FFF2-40B4-BE49-F238E27FC236}">
                  <a16:creationId xmlns:a16="http://schemas.microsoft.com/office/drawing/2014/main" id="{224E364E-4112-40AF-A972-454A7ECD9CD2}"/>
                </a:ext>
              </a:extLst>
            </xdr:cNvPr>
            <xdr:cNvCxnSpPr>
              <a:stCxn id="100" idx="3"/>
              <a:endCxn id="100" idx="7"/>
            </xdr:cNvCxnSpPr>
          </xdr:nvCxnSpPr>
          <xdr:spPr>
            <a:xfrm rot="5400000" flipH="1" flipV="1">
              <a:off x="3751520" y="1963577"/>
              <a:ext cx="101991" cy="108724"/>
            </a:xfrm>
            <a:prstGeom prst="line">
              <a:avLst/>
            </a:prstGeom>
            <a:grpFill/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7E10DF34-F4BB-4EDE-AB8A-07636B196F2C}"/>
              </a:ext>
            </a:extLst>
          </xdr:cNvPr>
          <xdr:cNvCxnSpPr/>
        </xdr:nvCxnSpPr>
        <xdr:spPr>
          <a:xfrm>
            <a:off x="7072903" y="7557323"/>
            <a:ext cx="357607" cy="14251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60049</xdr:colOff>
      <xdr:row>33</xdr:row>
      <xdr:rowOff>129209</xdr:rowOff>
    </xdr:from>
    <xdr:to>
      <xdr:col>11</xdr:col>
      <xdr:colOff>317224</xdr:colOff>
      <xdr:row>41</xdr:row>
      <xdr:rowOff>110159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9C476F29-2767-4B56-8FCA-45D9192BE7C1}"/>
            </a:ext>
          </a:extLst>
        </xdr:cNvPr>
        <xdr:cNvCxnSpPr/>
      </xdr:nvCxnSpPr>
      <xdr:spPr>
        <a:xfrm>
          <a:off x="1136788" y="5090492"/>
          <a:ext cx="2924175" cy="120677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422413</xdr:colOff>
      <xdr:row>23</xdr:row>
      <xdr:rowOff>16565</xdr:rowOff>
    </xdr:from>
    <xdr:to>
      <xdr:col>3</xdr:col>
      <xdr:colOff>123995</xdr:colOff>
      <xdr:row>23</xdr:row>
      <xdr:rowOff>104705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51A067E9-3D43-4CD9-878B-AF90001B10CE}"/>
            </a:ext>
          </a:extLst>
        </xdr:cNvPr>
        <xdr:cNvCxnSpPr>
          <a:endCxn id="100" idx="1"/>
        </xdr:cNvCxnSpPr>
      </xdr:nvCxnSpPr>
      <xdr:spPr>
        <a:xfrm>
          <a:off x="621196" y="3495261"/>
          <a:ext cx="198538" cy="881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276270</xdr:colOff>
      <xdr:row>38</xdr:row>
      <xdr:rowOff>30819</xdr:rowOff>
    </xdr:from>
    <xdr:to>
      <xdr:col>9</xdr:col>
      <xdr:colOff>248478</xdr:colOff>
      <xdr:row>41</xdr:row>
      <xdr:rowOff>82826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id="{7923E83E-C371-47D1-BEEC-C1DDD51192AD}"/>
            </a:ext>
          </a:extLst>
        </xdr:cNvPr>
        <xdr:cNvCxnSpPr>
          <a:endCxn id="212" idx="6"/>
        </xdr:cNvCxnSpPr>
      </xdr:nvCxnSpPr>
      <xdr:spPr>
        <a:xfrm flipH="1" flipV="1">
          <a:off x="2115009" y="5770667"/>
          <a:ext cx="1115208" cy="49926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75060</xdr:colOff>
      <xdr:row>39</xdr:row>
      <xdr:rowOff>110003</xdr:rowOff>
    </xdr:from>
    <xdr:to>
      <xdr:col>8</xdr:col>
      <xdr:colOff>193703</xdr:colOff>
      <xdr:row>40</xdr:row>
      <xdr:rowOff>89591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194D9AC8-1FE5-4319-9735-61F8E1D48BDE}"/>
            </a:ext>
          </a:extLst>
        </xdr:cNvPr>
        <xdr:cNvGrpSpPr/>
      </xdr:nvGrpSpPr>
      <xdr:grpSpPr>
        <a:xfrm>
          <a:off x="2690105" y="6171367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ADF2D8D6-3D12-63AA-7CE1-321D5993BF5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336F44C0-0A5E-6F04-22ED-EBC872A1E493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FB916BF7-9810-0C47-DDA6-AC548C728918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157627</xdr:colOff>
      <xdr:row>37</xdr:row>
      <xdr:rowOff>126828</xdr:rowOff>
    </xdr:from>
    <xdr:to>
      <xdr:col>6</xdr:col>
      <xdr:colOff>276270</xdr:colOff>
      <xdr:row>38</xdr:row>
      <xdr:rowOff>100462</xdr:rowOff>
    </xdr:to>
    <xdr:grpSp>
      <xdr:nvGrpSpPr>
        <xdr:cNvPr id="211" name="Group 210">
          <a:extLst>
            <a:ext uri="{FF2B5EF4-FFF2-40B4-BE49-F238E27FC236}">
              <a16:creationId xmlns:a16="http://schemas.microsoft.com/office/drawing/2014/main" id="{E6C60C7E-908C-471B-8D36-C99C0822C98F}"/>
            </a:ext>
          </a:extLst>
        </xdr:cNvPr>
        <xdr:cNvGrpSpPr/>
      </xdr:nvGrpSpPr>
      <xdr:grpSpPr>
        <a:xfrm>
          <a:off x="2010672" y="5876464"/>
          <a:ext cx="118643" cy="1294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E00E09AF-49C4-1131-310C-0094E390496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95429DAB-3D7F-369E-AD15-3207EB1EBE05}"/>
              </a:ext>
            </a:extLst>
          </xdr:cNvPr>
          <xdr:cNvCxnSpPr>
            <a:stCxn id="212" idx="1"/>
            <a:endCxn id="2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919E9E9C-5438-F19A-DC5D-817DE66688FF}"/>
              </a:ext>
            </a:extLst>
          </xdr:cNvPr>
          <xdr:cNvCxnSpPr>
            <a:stCxn id="212" idx="3"/>
            <a:endCxn id="2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23594</xdr:colOff>
      <xdr:row>48</xdr:row>
      <xdr:rowOff>101988</xdr:rowOff>
    </xdr:from>
    <xdr:to>
      <xdr:col>6</xdr:col>
      <xdr:colOff>215411</xdr:colOff>
      <xdr:row>53</xdr:row>
      <xdr:rowOff>6791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06D9053A-17E3-48BF-93AA-8A249BFE7C4F}"/>
            </a:ext>
          </a:extLst>
        </xdr:cNvPr>
        <xdr:cNvSpPr txBox="1"/>
      </xdr:nvSpPr>
      <xdr:spPr>
        <a:xfrm rot="1360088">
          <a:off x="1100333" y="7349271"/>
          <a:ext cx="953817" cy="74962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id-ID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</a:t>
          </a:r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H MUSTAIN</a:t>
          </a:r>
        </a:p>
      </xdr:txBody>
    </xdr:sp>
    <xdr:clientData/>
  </xdr:twoCellAnchor>
  <xdr:twoCellAnchor>
    <xdr:from>
      <xdr:col>5</xdr:col>
      <xdr:colOff>323022</xdr:colOff>
      <xdr:row>40</xdr:row>
      <xdr:rowOff>99391</xdr:rowOff>
    </xdr:from>
    <xdr:to>
      <xdr:col>6</xdr:col>
      <xdr:colOff>60665</xdr:colOff>
      <xdr:row>41</xdr:row>
      <xdr:rowOff>89590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E9A5CD58-CC9F-46E3-9AC5-CCCE96B6109B}"/>
            </a:ext>
          </a:extLst>
        </xdr:cNvPr>
        <xdr:cNvGrpSpPr/>
      </xdr:nvGrpSpPr>
      <xdr:grpSpPr>
        <a:xfrm>
          <a:off x="1795067" y="6316618"/>
          <a:ext cx="118643" cy="14606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9" name="Oval 218">
            <a:extLst>
              <a:ext uri="{FF2B5EF4-FFF2-40B4-BE49-F238E27FC236}">
                <a16:creationId xmlns:a16="http://schemas.microsoft.com/office/drawing/2014/main" id="{A8C64413-4778-F575-263A-246B6D61041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910CC18A-A201-3350-6ACB-F355922AE17A}"/>
              </a:ext>
            </a:extLst>
          </xdr:cNvPr>
          <xdr:cNvCxnSpPr>
            <a:stCxn id="219" idx="1"/>
            <a:endCxn id="2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11AB39F-47F0-43F7-3DE9-E23156BCB973}"/>
              </a:ext>
            </a:extLst>
          </xdr:cNvPr>
          <xdr:cNvCxnSpPr>
            <a:stCxn id="219" idx="3"/>
            <a:endCxn id="2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314739</xdr:colOff>
      <xdr:row>45</xdr:row>
      <xdr:rowOff>82825</xdr:rowOff>
    </xdr:from>
    <xdr:to>
      <xdr:col>5</xdr:col>
      <xdr:colOff>52382</xdr:colOff>
      <xdr:row>46</xdr:row>
      <xdr:rowOff>73025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9CF0F40F-AC69-4D98-8B6C-4F2B2FBD50E2}"/>
            </a:ext>
          </a:extLst>
        </xdr:cNvPr>
        <xdr:cNvGrpSpPr/>
      </xdr:nvGrpSpPr>
      <xdr:grpSpPr>
        <a:xfrm>
          <a:off x="1405784" y="7079370"/>
          <a:ext cx="118643" cy="1460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3" name="Oval 222">
            <a:extLst>
              <a:ext uri="{FF2B5EF4-FFF2-40B4-BE49-F238E27FC236}">
                <a16:creationId xmlns:a16="http://schemas.microsoft.com/office/drawing/2014/main" id="{92428516-7BAC-6EAD-BB7A-A5F0650CE7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CACB2311-BE55-31B1-9BE1-E78C381FD28A}"/>
              </a:ext>
            </a:extLst>
          </xdr:cNvPr>
          <xdr:cNvCxnSpPr>
            <a:stCxn id="223" idx="1"/>
            <a:endCxn id="2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967AAB93-9F6F-7A0C-6D47-683E019DCD34}"/>
              </a:ext>
            </a:extLst>
          </xdr:cNvPr>
          <xdr:cNvCxnSpPr>
            <a:stCxn id="223" idx="3"/>
            <a:endCxn id="2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289891</xdr:colOff>
      <xdr:row>37</xdr:row>
      <xdr:rowOff>74543</xdr:rowOff>
    </xdr:from>
    <xdr:to>
      <xdr:col>6</xdr:col>
      <xdr:colOff>157627</xdr:colOff>
      <xdr:row>38</xdr:row>
      <xdr:rowOff>30819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472BFEA1-9536-407D-A917-999CF4D2A8B6}"/>
            </a:ext>
          </a:extLst>
        </xdr:cNvPr>
        <xdr:cNvCxnSpPr>
          <a:stCxn id="212" idx="2"/>
        </xdr:cNvCxnSpPr>
      </xdr:nvCxnSpPr>
      <xdr:spPr>
        <a:xfrm flipH="1" flipV="1">
          <a:off x="1747630" y="5648739"/>
          <a:ext cx="248736" cy="121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39414</xdr:colOff>
      <xdr:row>41</xdr:row>
      <xdr:rowOff>76829</xdr:rowOff>
    </xdr:from>
    <xdr:to>
      <xdr:col>4</xdr:col>
      <xdr:colOff>245524</xdr:colOff>
      <xdr:row>47</xdr:row>
      <xdr:rowOff>65692</xdr:rowOff>
    </xdr:to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10E75639-D8D2-4134-9FD0-162EF347E5DE}"/>
            </a:ext>
          </a:extLst>
        </xdr:cNvPr>
        <xdr:cNvSpPr txBox="1"/>
      </xdr:nvSpPr>
      <xdr:spPr>
        <a:xfrm>
          <a:off x="729155" y="6330484"/>
          <a:ext cx="587110" cy="89538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CI2-350 DAN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2A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1M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303610</xdr:colOff>
      <xdr:row>10</xdr:row>
      <xdr:rowOff>95250</xdr:rowOff>
    </xdr:from>
    <xdr:to>
      <xdr:col>21</xdr:col>
      <xdr:colOff>30253</xdr:colOff>
      <xdr:row>14</xdr:row>
      <xdr:rowOff>91455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740DE87-D14E-43C3-9D40-461192BA7F0D}"/>
            </a:ext>
          </a:extLst>
        </xdr:cNvPr>
        <xdr:cNvSpPr txBox="1"/>
      </xdr:nvSpPr>
      <xdr:spPr>
        <a:xfrm>
          <a:off x="7084219" y="1654969"/>
          <a:ext cx="488643" cy="6212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K3-393/131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id-ID" sz="5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P12C-2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19</xdr:col>
      <xdr:colOff>105276</xdr:colOff>
      <xdr:row>17</xdr:row>
      <xdr:rowOff>30080</xdr:rowOff>
    </xdr:from>
    <xdr:to>
      <xdr:col>19</xdr:col>
      <xdr:colOff>223919</xdr:colOff>
      <xdr:row>18</xdr:row>
      <xdr:rowOff>9668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3F87588C-0DBE-4FA9-BE66-F2DAAFA5AADE}"/>
            </a:ext>
          </a:extLst>
        </xdr:cNvPr>
        <xdr:cNvGrpSpPr/>
      </xdr:nvGrpSpPr>
      <xdr:grpSpPr>
        <a:xfrm>
          <a:off x="6911321" y="2679762"/>
          <a:ext cx="118643" cy="1354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6" name="Oval 235">
            <a:extLst>
              <a:ext uri="{FF2B5EF4-FFF2-40B4-BE49-F238E27FC236}">
                <a16:creationId xmlns:a16="http://schemas.microsoft.com/office/drawing/2014/main" id="{F0467A18-FD0D-EEAF-71E9-3BD3DEA6022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7758892A-7F71-A563-C834-6DFC76D49070}"/>
              </a:ext>
            </a:extLst>
          </xdr:cNvPr>
          <xdr:cNvCxnSpPr>
            <a:stCxn id="236" idx="1"/>
            <a:endCxn id="2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F42B305F-6AD5-7E04-03F2-28E13C6B5650}"/>
              </a:ext>
            </a:extLst>
          </xdr:cNvPr>
          <xdr:cNvCxnSpPr>
            <a:stCxn id="236" idx="3"/>
            <a:endCxn id="2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279797</xdr:colOff>
      <xdr:row>16</xdr:row>
      <xdr:rowOff>11906</xdr:rowOff>
    </xdr:from>
    <xdr:to>
      <xdr:col>21</xdr:col>
      <xdr:colOff>59532</xdr:colOff>
      <xdr:row>19</xdr:row>
      <xdr:rowOff>136922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B106C436-FA84-4A6B-9A74-651B08D84D21}"/>
            </a:ext>
          </a:extLst>
        </xdr:cNvPr>
        <xdr:cNvSpPr txBox="1"/>
      </xdr:nvSpPr>
      <xdr:spPr>
        <a:xfrm>
          <a:off x="7060406" y="2506265"/>
          <a:ext cx="541735" cy="58936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K3-393/131A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309562</xdr:colOff>
      <xdr:row>13</xdr:row>
      <xdr:rowOff>47625</xdr:rowOff>
    </xdr:from>
    <xdr:to>
      <xdr:col>18</xdr:col>
      <xdr:colOff>89297</xdr:colOff>
      <xdr:row>16</xdr:row>
      <xdr:rowOff>142875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2DF00257-2E7D-466B-8BF2-A65DCB83188A}"/>
            </a:ext>
          </a:extLst>
        </xdr:cNvPr>
        <xdr:cNvSpPr txBox="1"/>
      </xdr:nvSpPr>
      <xdr:spPr>
        <a:xfrm>
          <a:off x="5947171" y="2077641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14</xdr:col>
      <xdr:colOff>184546</xdr:colOff>
      <xdr:row>13</xdr:row>
      <xdr:rowOff>77390</xdr:rowOff>
    </xdr:from>
    <xdr:to>
      <xdr:col>15</xdr:col>
      <xdr:colOff>345281</xdr:colOff>
      <xdr:row>17</xdr:row>
      <xdr:rowOff>17858</xdr:rowOff>
    </xdr:to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AE0694A7-322A-4AB3-8A6D-7F22BAE6483F}"/>
            </a:ext>
          </a:extLst>
        </xdr:cNvPr>
        <xdr:cNvSpPr txBox="1"/>
      </xdr:nvSpPr>
      <xdr:spPr>
        <a:xfrm>
          <a:off x="5060155" y="2107406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131A/2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107156</xdr:colOff>
      <xdr:row>13</xdr:row>
      <xdr:rowOff>89296</xdr:rowOff>
    </xdr:from>
    <xdr:to>
      <xdr:col>13</xdr:col>
      <xdr:colOff>267891</xdr:colOff>
      <xdr:row>17</xdr:row>
      <xdr:rowOff>29764</xdr:rowOff>
    </xdr:to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DF27C01-614B-428D-847A-43124C268ED1}"/>
            </a:ext>
          </a:extLst>
        </xdr:cNvPr>
        <xdr:cNvSpPr txBox="1"/>
      </xdr:nvSpPr>
      <xdr:spPr>
        <a:xfrm>
          <a:off x="4220765" y="2119312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17859</xdr:colOff>
      <xdr:row>13</xdr:row>
      <xdr:rowOff>125016</xdr:rowOff>
    </xdr:from>
    <xdr:to>
      <xdr:col>11</xdr:col>
      <xdr:colOff>178594</xdr:colOff>
      <xdr:row>17</xdr:row>
      <xdr:rowOff>65484</xdr:rowOff>
    </xdr:to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AB80C86E-D967-4290-BE7A-3E6326C8E104}"/>
            </a:ext>
          </a:extLst>
        </xdr:cNvPr>
        <xdr:cNvSpPr txBox="1"/>
      </xdr:nvSpPr>
      <xdr:spPr>
        <a:xfrm>
          <a:off x="3369468" y="2155032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131A/4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65484</xdr:colOff>
      <xdr:row>12</xdr:row>
      <xdr:rowOff>95250</xdr:rowOff>
    </xdr:from>
    <xdr:to>
      <xdr:col>9</xdr:col>
      <xdr:colOff>226219</xdr:colOff>
      <xdr:row>17</xdr:row>
      <xdr:rowOff>47624</xdr:rowOff>
    </xdr:to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DA285AE8-70C9-4609-913E-16E2BE5E7FA5}"/>
            </a:ext>
          </a:extLst>
        </xdr:cNvPr>
        <xdr:cNvSpPr txBox="1"/>
      </xdr:nvSpPr>
      <xdr:spPr>
        <a:xfrm>
          <a:off x="2655093" y="1964531"/>
          <a:ext cx="541735" cy="73223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131A/5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</a:p>
      </xdr:txBody>
    </xdr:sp>
    <xdr:clientData/>
  </xdr:twoCellAnchor>
  <xdr:twoCellAnchor>
    <xdr:from>
      <xdr:col>5</xdr:col>
      <xdr:colOff>375047</xdr:colOff>
      <xdr:row>17</xdr:row>
      <xdr:rowOff>59531</xdr:rowOff>
    </xdr:from>
    <xdr:to>
      <xdr:col>7</xdr:col>
      <xdr:colOff>154782</xdr:colOff>
      <xdr:row>20</xdr:row>
      <xdr:rowOff>154781</xdr:rowOff>
    </xdr:to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04A71591-ED88-4177-8E60-E55AFE9CFEEE}"/>
            </a:ext>
          </a:extLst>
        </xdr:cNvPr>
        <xdr:cNvSpPr txBox="1"/>
      </xdr:nvSpPr>
      <xdr:spPr>
        <a:xfrm>
          <a:off x="1821656" y="2708672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131A/6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125016</xdr:colOff>
      <xdr:row>15</xdr:row>
      <xdr:rowOff>101203</xdr:rowOff>
    </xdr:from>
    <xdr:to>
      <xdr:col>5</xdr:col>
      <xdr:colOff>285751</xdr:colOff>
      <xdr:row>19</xdr:row>
      <xdr:rowOff>41671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6C02CA1F-B508-49C4-8435-F8C5654C4E6D}"/>
            </a:ext>
          </a:extLst>
        </xdr:cNvPr>
        <xdr:cNvSpPr txBox="1"/>
      </xdr:nvSpPr>
      <xdr:spPr>
        <a:xfrm>
          <a:off x="1190625" y="2440781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131A/7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416719</xdr:colOff>
      <xdr:row>14</xdr:row>
      <xdr:rowOff>0</xdr:rowOff>
    </xdr:from>
    <xdr:to>
      <xdr:col>4</xdr:col>
      <xdr:colOff>83345</xdr:colOff>
      <xdr:row>17</xdr:row>
      <xdr:rowOff>95249</xdr:rowOff>
    </xdr:to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B160271F-5293-4CD7-9470-D13445DA8B81}"/>
            </a:ext>
          </a:extLst>
        </xdr:cNvPr>
        <xdr:cNvSpPr txBox="1"/>
      </xdr:nvSpPr>
      <xdr:spPr>
        <a:xfrm>
          <a:off x="607219" y="2184797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131A/8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18</xdr:col>
      <xdr:colOff>226219</xdr:colOff>
      <xdr:row>41</xdr:row>
      <xdr:rowOff>29765</xdr:rowOff>
    </xdr:from>
    <xdr:to>
      <xdr:col>20</xdr:col>
      <xdr:colOff>5954</xdr:colOff>
      <xdr:row>44</xdr:row>
      <xdr:rowOff>125015</xdr:rowOff>
    </xdr:to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EF9EB36F-E5B9-41C2-A9BC-CA13124D3EFA}"/>
            </a:ext>
          </a:extLst>
        </xdr:cNvPr>
        <xdr:cNvSpPr txBox="1"/>
      </xdr:nvSpPr>
      <xdr:spPr>
        <a:xfrm>
          <a:off x="6625828" y="6393656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131A/9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238125</xdr:colOff>
      <xdr:row>39</xdr:row>
      <xdr:rowOff>136922</xdr:rowOff>
    </xdr:from>
    <xdr:to>
      <xdr:col>18</xdr:col>
      <xdr:colOff>17860</xdr:colOff>
      <xdr:row>43</xdr:row>
      <xdr:rowOff>77390</xdr:rowOff>
    </xdr:to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1F486DE2-C916-4DCC-85B3-36B8CC43B451}"/>
            </a:ext>
          </a:extLst>
        </xdr:cNvPr>
        <xdr:cNvSpPr txBox="1"/>
      </xdr:nvSpPr>
      <xdr:spPr>
        <a:xfrm>
          <a:off x="5875734" y="6191250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15</xdr:col>
      <xdr:colOff>29765</xdr:colOff>
      <xdr:row>38</xdr:row>
      <xdr:rowOff>41672</xdr:rowOff>
    </xdr:from>
    <xdr:to>
      <xdr:col>16</xdr:col>
      <xdr:colOff>190500</xdr:colOff>
      <xdr:row>41</xdr:row>
      <xdr:rowOff>136921</xdr:rowOff>
    </xdr:to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B1FB47C0-4801-4533-A970-C675D73D94F2}"/>
            </a:ext>
          </a:extLst>
        </xdr:cNvPr>
        <xdr:cNvSpPr txBox="1"/>
      </xdr:nvSpPr>
      <xdr:spPr>
        <a:xfrm>
          <a:off x="5286374" y="5941219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131A/11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148828</xdr:colOff>
      <xdr:row>36</xdr:row>
      <xdr:rowOff>148829</xdr:rowOff>
    </xdr:from>
    <xdr:to>
      <xdr:col>14</xdr:col>
      <xdr:colOff>309563</xdr:colOff>
      <xdr:row>40</xdr:row>
      <xdr:rowOff>77391</xdr:rowOff>
    </xdr:to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E697134C-DEBB-406F-8240-99CC12574789}"/>
            </a:ext>
          </a:extLst>
        </xdr:cNvPr>
        <xdr:cNvSpPr txBox="1"/>
      </xdr:nvSpPr>
      <xdr:spPr>
        <a:xfrm>
          <a:off x="4643437" y="5726907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131A/12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11907</xdr:colOff>
      <xdr:row>29</xdr:row>
      <xdr:rowOff>113110</xdr:rowOff>
    </xdr:from>
    <xdr:to>
      <xdr:col>14</xdr:col>
      <xdr:colOff>172642</xdr:colOff>
      <xdr:row>33</xdr:row>
      <xdr:rowOff>65485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5026837C-617A-421C-83B1-57E563708B3B}"/>
            </a:ext>
          </a:extLst>
        </xdr:cNvPr>
        <xdr:cNvSpPr txBox="1"/>
      </xdr:nvSpPr>
      <xdr:spPr>
        <a:xfrm>
          <a:off x="4506516" y="4619626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119062</xdr:colOff>
      <xdr:row>27</xdr:row>
      <xdr:rowOff>142875</xdr:rowOff>
    </xdr:from>
    <xdr:to>
      <xdr:col>12</xdr:col>
      <xdr:colOff>279797</xdr:colOff>
      <xdr:row>31</xdr:row>
      <xdr:rowOff>95249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22D6092D-D619-4E9E-8662-5B2A161751BB}"/>
            </a:ext>
          </a:extLst>
        </xdr:cNvPr>
        <xdr:cNvSpPr txBox="1"/>
      </xdr:nvSpPr>
      <xdr:spPr>
        <a:xfrm>
          <a:off x="3851671" y="4339828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131A/14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232173</xdr:colOff>
      <xdr:row>25</xdr:row>
      <xdr:rowOff>5952</xdr:rowOff>
    </xdr:from>
    <xdr:to>
      <xdr:col>11</xdr:col>
      <xdr:colOff>11908</xdr:colOff>
      <xdr:row>29</xdr:row>
      <xdr:rowOff>119060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95841CB-F2D2-4CF7-AE42-B23CE2108962}"/>
            </a:ext>
          </a:extLst>
        </xdr:cNvPr>
        <xdr:cNvSpPr txBox="1"/>
      </xdr:nvSpPr>
      <xdr:spPr>
        <a:xfrm>
          <a:off x="3202782" y="3893343"/>
          <a:ext cx="541735" cy="73223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131A/15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</a:p>
      </xdr:txBody>
    </xdr:sp>
    <xdr:clientData/>
  </xdr:twoCellAnchor>
  <xdr:twoCellAnchor>
    <xdr:from>
      <xdr:col>7</xdr:col>
      <xdr:colOff>345281</xdr:colOff>
      <xdr:row>24</xdr:row>
      <xdr:rowOff>71437</xdr:rowOff>
    </xdr:from>
    <xdr:to>
      <xdr:col>9</xdr:col>
      <xdr:colOff>125016</xdr:colOff>
      <xdr:row>28</xdr:row>
      <xdr:rowOff>11905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37B228D-A7BB-4693-8E6B-1267B7EA192D}"/>
            </a:ext>
          </a:extLst>
        </xdr:cNvPr>
        <xdr:cNvSpPr txBox="1"/>
      </xdr:nvSpPr>
      <xdr:spPr>
        <a:xfrm>
          <a:off x="2553890" y="3804046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131A/16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95249</xdr:colOff>
      <xdr:row>22</xdr:row>
      <xdr:rowOff>125015</xdr:rowOff>
    </xdr:from>
    <xdr:to>
      <xdr:col>7</xdr:col>
      <xdr:colOff>255984</xdr:colOff>
      <xdr:row>26</xdr:row>
      <xdr:rowOff>65483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C3D37B0-BB49-49BD-A11A-C9E2778FB977}"/>
            </a:ext>
          </a:extLst>
        </xdr:cNvPr>
        <xdr:cNvSpPr txBox="1"/>
      </xdr:nvSpPr>
      <xdr:spPr>
        <a:xfrm>
          <a:off x="1922858" y="3548062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131A/17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11907</xdr:colOff>
      <xdr:row>26</xdr:row>
      <xdr:rowOff>71437</xdr:rowOff>
    </xdr:from>
    <xdr:to>
      <xdr:col>5</xdr:col>
      <xdr:colOff>172642</xdr:colOff>
      <xdr:row>30</xdr:row>
      <xdr:rowOff>23811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4D5CC7-EBBD-462B-99A1-66BC9ECC1F58}"/>
            </a:ext>
          </a:extLst>
        </xdr:cNvPr>
        <xdr:cNvSpPr txBox="1"/>
      </xdr:nvSpPr>
      <xdr:spPr>
        <a:xfrm>
          <a:off x="1077516" y="4113609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131A/18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</xdr:col>
      <xdr:colOff>273844</xdr:colOff>
      <xdr:row>24</xdr:row>
      <xdr:rowOff>130969</xdr:rowOff>
    </xdr:from>
    <xdr:to>
      <xdr:col>3</xdr:col>
      <xdr:colOff>321470</xdr:colOff>
      <xdr:row>28</xdr:row>
      <xdr:rowOff>71437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578148AA-3E87-4064-9E96-7C2F38F6296D}"/>
            </a:ext>
          </a:extLst>
        </xdr:cNvPr>
        <xdr:cNvSpPr txBox="1"/>
      </xdr:nvSpPr>
      <xdr:spPr>
        <a:xfrm>
          <a:off x="464344" y="3863578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131A/19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8</xdr:col>
      <xdr:colOff>184547</xdr:colOff>
      <xdr:row>35</xdr:row>
      <xdr:rowOff>142876</xdr:rowOff>
    </xdr:from>
    <xdr:to>
      <xdr:col>9</xdr:col>
      <xdr:colOff>345282</xdr:colOff>
      <xdr:row>39</xdr:row>
      <xdr:rowOff>71438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35F9E5AD-B54B-4B79-A9DB-B8349E12E883}"/>
            </a:ext>
          </a:extLst>
        </xdr:cNvPr>
        <xdr:cNvSpPr txBox="1"/>
      </xdr:nvSpPr>
      <xdr:spPr>
        <a:xfrm>
          <a:off x="2774156" y="5566173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131A/20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5</xdr:col>
      <xdr:colOff>369094</xdr:colOff>
      <xdr:row>42</xdr:row>
      <xdr:rowOff>5954</xdr:rowOff>
    </xdr:from>
    <xdr:to>
      <xdr:col>7</xdr:col>
      <xdr:colOff>148829</xdr:colOff>
      <xdr:row>45</xdr:row>
      <xdr:rowOff>101203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961CA08A-574C-4F92-8239-A3C243457958}"/>
            </a:ext>
          </a:extLst>
        </xdr:cNvPr>
        <xdr:cNvSpPr txBox="1"/>
      </xdr:nvSpPr>
      <xdr:spPr>
        <a:xfrm>
          <a:off x="1815703" y="6524626"/>
          <a:ext cx="541735" cy="559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131A/21/1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5</xdr:col>
      <xdr:colOff>381000</xdr:colOff>
      <xdr:row>31</xdr:row>
      <xdr:rowOff>47625</xdr:rowOff>
    </xdr:from>
    <xdr:to>
      <xdr:col>7</xdr:col>
      <xdr:colOff>160735</xdr:colOff>
      <xdr:row>36</xdr:row>
      <xdr:rowOff>95249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13EA32EE-3571-4B03-B89F-01C6063CE2A0}"/>
            </a:ext>
          </a:extLst>
        </xdr:cNvPr>
        <xdr:cNvSpPr txBox="1"/>
      </xdr:nvSpPr>
      <xdr:spPr>
        <a:xfrm>
          <a:off x="1827609" y="4851797"/>
          <a:ext cx="541735" cy="82153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K3-393/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131A/20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12</xdr:row>
      <xdr:rowOff>13608</xdr:rowOff>
    </xdr:from>
    <xdr:to>
      <xdr:col>26</xdr:col>
      <xdr:colOff>39754</xdr:colOff>
      <xdr:row>58</xdr:row>
      <xdr:rowOff>28265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15C474-EE63-8D46-4F9B-7134EAF5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29" y="1932215"/>
          <a:ext cx="11850754" cy="7525800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15</xdr:col>
      <xdr:colOff>65563</xdr:colOff>
      <xdr:row>37</xdr:row>
      <xdr:rowOff>102672</xdr:rowOff>
    </xdr:from>
    <xdr:to>
      <xdr:col>15</xdr:col>
      <xdr:colOff>325335</xdr:colOff>
      <xdr:row>39</xdr:row>
      <xdr:rowOff>25976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 rot="10800000">
          <a:off x="7916884" y="6103422"/>
          <a:ext cx="259772" cy="2498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159577</xdr:colOff>
      <xdr:row>32</xdr:row>
      <xdr:rowOff>129886</xdr:rowOff>
    </xdr:from>
    <xdr:to>
      <xdr:col>15</xdr:col>
      <xdr:colOff>168235</xdr:colOff>
      <xdr:row>37</xdr:row>
      <xdr:rowOff>112566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 flipH="1">
          <a:off x="8010898" y="5314207"/>
          <a:ext cx="8658" cy="79910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2</xdr:col>
      <xdr:colOff>146277</xdr:colOff>
      <xdr:row>8</xdr:row>
      <xdr:rowOff>23812</xdr:rowOff>
    </xdr:from>
    <xdr:to>
      <xdr:col>21</xdr:col>
      <xdr:colOff>170090</xdr:colOff>
      <xdr:row>50</xdr:row>
      <xdr:rowOff>158583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EC2752-BB3D-2C7C-711D-B68765C3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3" y="1479776"/>
          <a:ext cx="11576277" cy="69927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8" t="s">
        <v>1134</v>
      </c>
      <c r="C4" s="538"/>
      <c r="D4" s="538"/>
      <c r="E4" s="538"/>
      <c r="F4" s="538"/>
      <c r="G4" s="538"/>
      <c r="H4" s="53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9" t="s">
        <v>0</v>
      </c>
      <c r="C7" s="539" t="s">
        <v>1</v>
      </c>
      <c r="D7" s="540" t="s">
        <v>42</v>
      </c>
      <c r="E7" s="540" t="s">
        <v>43</v>
      </c>
      <c r="F7" s="540" t="s">
        <v>1135</v>
      </c>
      <c r="G7" s="541" t="s">
        <v>41</v>
      </c>
      <c r="H7" s="537" t="s">
        <v>1042</v>
      </c>
      <c r="I7" s="537" t="s">
        <v>1137</v>
      </c>
      <c r="J7" s="537" t="s">
        <v>1026</v>
      </c>
      <c r="K7" s="531" t="s">
        <v>1024</v>
      </c>
      <c r="L7" s="532"/>
    </row>
    <row r="8" spans="1:12" ht="15" customHeight="1">
      <c r="B8" s="539"/>
      <c r="C8" s="539"/>
      <c r="D8" s="540"/>
      <c r="E8" s="540"/>
      <c r="F8" s="540"/>
      <c r="G8" s="541"/>
      <c r="H8" s="537"/>
      <c r="I8" s="537"/>
      <c r="J8" s="537"/>
      <c r="K8" s="533"/>
      <c r="L8" s="534"/>
    </row>
    <row r="9" spans="1:12" ht="15" customHeight="1">
      <c r="B9" s="539"/>
      <c r="C9" s="539"/>
      <c r="D9" s="540"/>
      <c r="E9" s="540"/>
      <c r="F9" s="540"/>
      <c r="G9" s="541"/>
      <c r="H9" s="537"/>
      <c r="I9" s="537"/>
      <c r="J9" s="537"/>
      <c r="K9" s="535"/>
      <c r="L9" s="53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76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24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5729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240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6</v>
      </c>
      <c r="G20" s="41">
        <f ca="1">IF(ISERROR(OFFSET('HARGA SATUAN'!$I$6,MATCH(C20,'HARGA SATUAN'!$C$7:$C$1492,0),0)),"",OFFSET('HARGA SATUAN'!$I$6,MATCH(C20,'HARGA SATUAN'!$C$7:$C$1492,0),0))</f>
        <v>36900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Kabel NYY 4 x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35</v>
      </c>
      <c r="G22" s="41">
        <f ca="1">IF(ISERROR(OFFSET('HARGA SATUAN'!$I$6,MATCH(C22,'HARGA SATUAN'!$C$7:$C$1492,0),0)),"",OFFSET('HARGA SATUAN'!$I$6,MATCH(C22,'HARGA SATUAN'!$C$7:$C$1492,0),0))</f>
        <v>421400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Modem 3G/4G</v>
      </c>
      <c r="D23" s="101" t="str">
        <f ca="1">IF(ISERROR(OFFSET('HARGA SATUAN'!$D$6,MATCH(C23,'HARGA SATUAN'!$C$7:$C$1492,0),0)),"",OFFSET('HARGA SATUAN'!$D$6,MATCH(C23,'HARGA SATUAN'!$C$7:$C$1492,0),0))</f>
        <v>HDW</v>
      </c>
      <c r="E23" s="101" t="str">
        <f ca="1">IF(B23="+","Unit",IF(ISERROR(OFFSET('HARGA SATUAN'!$E$6,MATCH(C23,'HARGA SATUAN'!$C$7:$C$1492,0),0)),"",OFFSET('HARGA SATUAN'!$E$6,MATCH(C23,'HARGA SATUAN'!$C$7:$C$1492,0),0)))</f>
        <v>Unit</v>
      </c>
      <c r="F23" s="138">
        <f t="shared" ca="1" si="2"/>
        <v>1</v>
      </c>
      <c r="G23" s="41">
        <f ca="1">IF(ISERROR(OFFSET('HARGA SATUAN'!$I$6,MATCH(C23,'HARGA SATUAN'!$C$7:$C$1492,0),0)),"",OFFSET('HARGA SATUAN'!$I$6,MATCH(C23,'HARGA SATUAN'!$C$7:$C$1492,0),0))</f>
        <v>1113900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SUMIFS(RAB!$F$14:$F$224,RAB!$C$14:$C$224,C714)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SUMIFS(RAB!$F$14:$F$224,RAB!$C$14:$C$224,C715)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SUMIFS(RAB!$F$14:$F$224,RAB!$C$14:$C$224,C716)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SUMIFS(RAB!$F$14:$F$224,RAB!$C$14:$C$224,C717)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SUMIFS(RAB!$F$14:$F$224,RAB!$C$14:$C$224,C718)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SUMIFS(RAB!$F$14:$F$224,RAB!$C$14:$C$224,C719)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SUMIFS(RAB!$F$14:$F$224,RAB!$C$14:$C$224,C720)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SUMIFS(RAB!$F$14:$F$224,RAB!$C$14:$C$224,C721)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SUMIFS(RAB!$F$14:$F$224,RAB!$C$14:$C$224,C722)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SUMIFS(RAB!$F$14:$F$224,RAB!$C$14:$C$224,C723)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SUMIFS(RAB!$F$14:$F$224,RAB!$C$14:$C$224,C724)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SUMIFS(RAB!$F$14:$F$224,RAB!$C$14:$C$224,C725)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SUMIFS(RAB!$F$14:$F$224,RAB!$C$14:$C$224,C726)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SUMIFS(RAB!$F$14:$F$224,RAB!$C$14:$C$224,C727)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SUMIFS(RAB!$F$14:$F$224,RAB!$C$14:$C$224,C728)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SUMIFS(RAB!$F$14:$F$224,RAB!$C$14:$C$224,C729)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SUMIFS(RAB!$F$14:$F$224,RAB!$C$14:$C$224,C730)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SUMIFS(RAB!$F$14:$F$224,RAB!$C$14:$C$224,C731)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SUMIFS(RAB!$F$14:$F$224,RAB!$C$14:$C$224,C732)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SUMIFS(RAB!$F$14:$F$224,RAB!$C$14:$C$224,C733)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SUMIFS(RAB!$F$14:$F$224,RAB!$C$14:$C$224,C734)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SUMIFS(RAB!$F$14:$F$224,RAB!$C$14:$C$224,C735)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SUMIFS(RAB!$F$14:$F$224,RAB!$C$14:$C$224,C736)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SUMIFS(RAB!$F$14:$F$224,RAB!$C$14:$C$224,C737)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SUMIFS(RAB!$F$14:$F$224,RAB!$C$14:$C$224,C738)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SUMIFS(RAB!$F$14:$F$224,RAB!$C$14:$C$224,C739)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SUMIFS(RAB!$F$14:$F$224,RAB!$C$14:$C$224,C740)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SUMIFS(RAB!$F$14:$F$224,RAB!$C$14:$C$224,C741)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SUMIFS(RAB!$F$14:$F$224,RAB!$C$14:$C$224,C742)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SUMIFS(RAB!$F$14:$F$224,RAB!$C$14:$C$224,C743)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SUMIFS(RAB!$F$14:$F$224,RAB!$C$14:$C$224,C744)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SUMIFS(RAB!$F$14:$F$224,RAB!$C$14:$C$224,C745)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SUMIFS(RAB!$F$14:$F$224,RAB!$C$14:$C$224,C746)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SUMIFS(RAB!$F$14:$F$224,RAB!$C$14:$C$224,C747)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SUMIFS(RAB!$F$14:$F$224,RAB!$C$14:$C$224,C748)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SUMIFS(RAB!$F$14:$F$224,RAB!$C$14:$C$224,C749)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SUMIFS(RAB!$F$14:$F$224,RAB!$C$14:$C$224,C750)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SUMIFS(RAB!$F$14:$F$224,RAB!$C$14:$C$224,C751)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SUMIFS(RAB!$F$14:$F$224,RAB!$C$14:$C$224,C752)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SUMIFS(RAB!$F$14:$F$224,RAB!$C$14:$C$224,C753)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SUMIFS(RAB!$F$14:$F$224,RAB!$C$14:$C$224,C754)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SUMIFS(RAB!$F$14:$F$224,RAB!$C$14:$C$224,C755)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SUMIFS(RAB!$F$14:$F$224,RAB!$C$14:$C$224,C756)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SUMIFS(RAB!$F$14:$F$224,RAB!$C$14:$C$224,C757)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SUMIFS(RAB!$F$14:$F$224,RAB!$C$14:$C$224,C758)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SUMIFS(RAB!$F$14:$F$224,RAB!$C$14:$C$224,C759)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SUMIFS(RAB!$F$14:$F$224,RAB!$C$14:$C$224,C760)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SUMIFS(RAB!$F$14:$F$224,RAB!$C$14:$C$224,C761)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SUMIFS(RAB!$F$14:$F$224,RAB!$C$14:$C$224,C762)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SUMIFS(RAB!$F$14:$F$224,RAB!$C$14:$C$224,C763)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SUMIFS(RAB!$F$14:$F$224,RAB!$C$14:$C$224,C764)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SUMIFS(RAB!$F$14:$F$224,RAB!$C$14:$C$224,C765)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SUMIFS(RAB!$F$14:$F$224,RAB!$C$14:$C$224,C766)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SUMIFS(RAB!$F$14:$F$224,RAB!$C$14:$C$224,C767)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SUMIFS(RAB!$F$14:$F$224,RAB!$C$14:$C$224,C768)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SUMIFS(RAB!$F$14:$F$224,RAB!$C$14:$C$224,C769)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SUMIFS(RAB!$F$14:$F$224,RAB!$C$14:$C$224,C770)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SUMIFS(RAB!$F$14:$F$224,RAB!$C$14:$C$224,C771)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SUMIFS(RAB!$F$14:$F$224,RAB!$C$14:$C$224,C772)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SUMIFS(RAB!$F$14:$F$224,RAB!$C$14:$C$224,C773)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SUMIFS(RAB!$F$14:$F$224,RAB!$C$14:$C$224,C774)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SUMIFS(RAB!$F$14:$F$224,RAB!$C$14:$C$224,C775)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SUMIFS(RAB!$F$14:$F$224,RAB!$C$14:$C$224,C776)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SUMIFS(RAB!$F$14:$F$224,RAB!$C$14:$C$224,C777)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SUMIFS(RAB!$F$14:$F$224,RAB!$C$14:$C$224,C778)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SUMIFS(RAB!$F$14:$F$224,RAB!$C$14:$C$224,C779)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SUMIFS(RAB!$F$14:$F$224,RAB!$C$14:$C$224,C780)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SUMIFS(RAB!$F$14:$F$224,RAB!$C$14:$C$224,C781)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SUMIFS(RAB!$F$14:$F$224,RAB!$C$14:$C$224,C782)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SUMIFS(RAB!$F$14:$F$224,RAB!$C$14:$C$224,C783)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SUMIFS(RAB!$F$14:$F$224,RAB!$C$14:$C$224,C784)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SUMIFS(RAB!$F$14:$F$224,RAB!$C$14:$C$224,C785)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SUMIFS(RAB!$F$14:$F$224,RAB!$C$14:$C$224,C786)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SUMIFS(RAB!$F$14:$F$224,RAB!$C$14:$C$224,C787)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SUMIFS(RAB!$F$14:$F$224,RAB!$C$14:$C$224,C788)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SUMIFS(RAB!$F$14:$F$224,RAB!$C$14:$C$224,C789)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SUMIFS(RAB!$F$14:$F$224,RAB!$C$14:$C$224,C790)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SUMIFS(RAB!$F$14:$F$224,RAB!$C$14:$C$224,C791)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SUMIFS(RAB!$F$14:$F$224,RAB!$C$14:$C$224,C792)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SUMIFS(RAB!$F$14:$F$224,RAB!$C$14:$C$224,C793)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SUMIFS(RAB!$F$14:$F$224,RAB!$C$14:$C$224,C794)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SUMIFS(RAB!$F$14:$F$224,RAB!$C$14:$C$224,C795)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SUMIFS(RAB!$F$14:$F$224,RAB!$C$14:$C$224,C796)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SUMIFS(RAB!$F$14:$F$224,RAB!$C$14:$C$224,C797)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SUMIFS(RAB!$F$14:$F$224,RAB!$C$14:$C$224,C798)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SUMIFS(RAB!$F$14:$F$224,RAB!$C$14:$C$224,C799)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SUMIFS(RAB!$F$14:$F$224,RAB!$C$14:$C$224,C800)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SUMIFS(RAB!$F$14:$F$224,RAB!$C$14:$C$224,C801)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SUMIFS(RAB!$F$14:$F$224,RAB!$C$14:$C$224,C802)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SUMIFS(RAB!$F$14:$F$224,RAB!$C$14:$C$224,C803)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SUMIFS(RAB!$F$14:$F$224,RAB!$C$14:$C$224,C804)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SUMIFS(RAB!$F$14:$F$224,RAB!$C$14:$C$224,C805)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SUMIFS(RAB!$F$14:$F$224,RAB!$C$14:$C$224,C806)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SUMIFS(RAB!$F$14:$F$224,RAB!$C$14:$C$224,C807)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SUMIFS(RAB!$F$14:$F$224,RAB!$C$14:$C$224,C808)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SUMIFS(RAB!$F$14:$F$224,RAB!$C$14:$C$224,C809)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SUMIFS(RAB!$F$14:$F$224,RAB!$C$14:$C$224,C810)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SUMIFS(RAB!$F$14:$F$224,RAB!$C$14:$C$224,C811)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SUMIFS(RAB!$F$14:$F$224,RAB!$C$14:$C$224,C812)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SUMIFS(RAB!$F$14:$F$224,RAB!$C$14:$C$224,C813)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SUMIFS(RAB!$F$14:$F$224,RAB!$C$14:$C$224,C814)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SUMIFS(RAB!$F$14:$F$224,RAB!$C$14:$C$224,C815)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SUMIFS(RAB!$F$14:$F$224,RAB!$C$14:$C$224,C816)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SUMIFS(RAB!$F$14:$F$224,RAB!$C$14:$C$224,C817)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SUMIFS(RAB!$F$14:$F$224,RAB!$C$14:$C$224,C818)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SUMIFS(RAB!$F$14:$F$224,RAB!$C$14:$C$224,C819)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SUMIFS(RAB!$F$14:$F$224,RAB!$C$14:$C$224,C820)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SUMIFS(RAB!$F$14:$F$224,RAB!$C$14:$C$224,C821)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SUMIFS(RAB!$F$14:$F$224,RAB!$C$14:$C$224,C822)</f>
        <v>9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SUMIFS(RAB!$F$14:$F$224,RAB!$C$14:$C$224,C823)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SUMIFS(RAB!$F$14:$F$224,RAB!$C$14:$C$224,C824)</f>
        <v>76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SUMIFS(RAB!$F$14:$F$224,RAB!$C$14:$C$224,C825)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SUMIFS(RAB!$F$14:$F$224,RAB!$C$14:$C$224,C826)</f>
        <v>24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SUMIFS(RAB!$F$14:$F$224,RAB!$C$14:$C$224,C827)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SUMIFS(RAB!$F$14:$F$224,RAB!$C$14:$C$224,C828)</f>
        <v>5729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SUMIFS(RAB!$F$14:$F$224,RAB!$C$14:$C$224,C829)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SUMIFS(RAB!$F$14:$F$224,RAB!$C$14:$C$224,C830)</f>
        <v>6</v>
      </c>
      <c r="E830" s="26">
        <f t="shared" ca="1" si="34"/>
        <v>1</v>
      </c>
      <c r="F830" s="26">
        <f ca="1">IF(D830=0,0,SUM($E$713:E830))</f>
        <v>9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SUMIFS(RAB!$F$14:$F$224,RAB!$C$14:$C$224,C831)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SUMIFS(RAB!$F$14:$F$224,RAB!$C$14:$C$224,C832)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SUMIFS(RAB!$F$14:$F$224,RAB!$C$14:$C$224,C833)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SUMIFS(RAB!$F$14:$F$224,RAB!$C$14:$C$224,C834)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SUMIFS(RAB!$F$14:$F$224,RAB!$C$14:$C$224,C835)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SUMIFS(RAB!$F$14:$F$224,RAB!$C$14:$C$224,C836)</f>
        <v>3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SUMIFS(RAB!$F$14:$F$224,RAB!$C$14:$C$224,C837)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SUMIFS(RAB!$F$14:$F$224,RAB!$C$14:$C$224,C838)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SUMIFS(RAB!$F$14:$F$224,RAB!$C$14:$C$224,C839)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SUMIFS(RAB!$F$14:$F$224,RAB!$C$14:$C$224,C840)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SUMIFS(RAB!$F$14:$F$224,RAB!$C$14:$C$224,C841)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SUMIFS(RAB!$F$14:$F$224,RAB!$C$14:$C$224,C842)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SUMIFS(RAB!$F$14:$F$224,RAB!$C$14:$C$224,C843)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SUMIFS(RAB!$F$14:$F$224,RAB!$C$14:$C$224,C844)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SUMIFS(RAB!$F$14:$F$224,RAB!$C$14:$C$224,C845)</f>
        <v>35</v>
      </c>
      <c r="E845" s="26">
        <f t="shared" ca="1" si="35"/>
        <v>1</v>
      </c>
      <c r="F845" s="26">
        <f ca="1">IF(D845=0,0,SUM($E$713:E845))</f>
        <v>11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SUMIFS(RAB!$F$14:$F$224,RAB!$C$14:$C$224,C846)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SUMIFS(RAB!$F$14:$F$224,RAB!$C$14:$C$224,C847)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SUMIFS(RAB!$F$14:$F$224,RAB!$C$14:$C$224,C848)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SUMIFS(RAB!$F$14:$F$224,RAB!$C$14:$C$224,C849)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SUMIFS(RAB!$F$14:$F$224,RAB!$C$14:$C$224,C850)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SUMIFS(RAB!$F$14:$F$224,RAB!$C$14:$C$224,C851)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SUMIFS(RAB!$F$14:$F$224,RAB!$C$14:$C$224,C852)</f>
        <v>1</v>
      </c>
      <c r="E852" s="26">
        <f t="shared" ca="1" si="35"/>
        <v>1</v>
      </c>
      <c r="F852" s="26">
        <f ca="1">IF(D852=0,0,SUM($E$713:E852))</f>
        <v>12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SUMIFS(RAB!$F$14:$F$224,RAB!$C$14:$C$224,C853)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SUMIFS(RAB!$F$14:$F$224,RAB!$C$14:$C$224,C854)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SUMIFS(RAB!$F$14:$F$224,RAB!$C$14:$C$224,C855)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SUMIFS(RAB!$F$14:$F$224,RAB!$C$14:$C$224,C856)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SUMIFS(RAB!$F$14:$F$224,RAB!$C$14:$C$224,C857)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SUMIFS(RAB!$F$14:$F$224,RAB!$C$14:$C$224,C858)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SUMIFS(RAB!$F$14:$F$224,RAB!$C$14:$C$224,C859)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SUMIFS(RAB!$F$14:$F$224,RAB!$C$14:$C$224,C860)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SUMIFS(RAB!$F$14:$F$224,RAB!$C$14:$C$224,C861)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SUMIFS(RAB!$F$14:$F$224,RAB!$C$14:$C$224,C862)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SUMIFS(RAB!$F$14:$F$224,RAB!$C$14:$C$224,C863)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SUMIFS(RAB!$F$14:$F$224,RAB!$C$14:$C$224,C864)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SUMIFS(RAB!$F$14:$F$224,RAB!$C$14:$C$224,C865)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SUMIFS(RAB!$F$14:$F$224,RAB!$C$14:$C$224,C866)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SUMIFS(RAB!$F$14:$F$224,RAB!$C$14:$C$224,C867)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SUMIFS(RAB!$F$14:$F$224,RAB!$C$14:$C$224,C868)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SUMIFS(RAB!$F$14:$F$224,RAB!$C$14:$C$224,C869)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SUMIFS(RAB!$F$14:$F$224,RAB!$C$14:$C$224,C870)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SUMIFS(RAB!$F$14:$F$224,RAB!$C$14:$C$224,C871)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SUMIFS(RAB!$F$14:$F$224,RAB!$C$14:$C$224,C872)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SUMIFS(RAB!$F$14:$F$224,RAB!$C$14:$C$224,C873)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SUMIFS(RAB!$F$14:$F$224,RAB!$C$14:$C$224,C874)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SUMIFS(RAB!$F$14:$F$224,RAB!$C$14:$C$224,C875)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SUMIFS(RAB!$F$14:$F$224,RAB!$C$14:$C$224,C876)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SUMIFS(RAB!$F$14:$F$224,RAB!$C$14:$C$224,C877)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SUMIFS(RAB!$F$14:$F$224,RAB!$C$14:$C$224,C878)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SUMIFS(RAB!$F$14:$F$224,RAB!$C$14:$C$224,C879)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SUMIFS(RAB!$F$14:$F$224,RAB!$C$14:$C$224,C880)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SUMIFS(RAB!$F$14:$F$224,RAB!$C$14:$C$224,C881)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SUMIFS(RAB!$F$14:$F$224,RAB!$C$14:$C$224,C882)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SUMIFS(RAB!$F$14:$F$224,RAB!$C$14:$C$224,C883)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SUMIFS(RAB!$F$14:$F$224,RAB!$C$14:$C$224,C884)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SUMIFS(RAB!$F$14:$F$224,RAB!$C$14:$C$224,C885)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SUMIFS(RAB!$F$14:$F$224,RAB!$C$14:$C$224,C886)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SUMIFS(RAB!$F$14:$F$224,RAB!$C$14:$C$224,C887)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SUMIFS(RAB!$F$14:$F$224,RAB!$C$14:$C$224,C888)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SUMIFS(RAB!$F$14:$F$224,RAB!$C$14:$C$224,C889)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SUMIFS(RAB!$F$14:$F$224,RAB!$C$14:$C$224,C890)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SUMIFS(RAB!$F$14:$F$224,RAB!$C$14:$C$224,C891)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SUMIFS(RAB!$F$14:$F$224,RAB!$C$14:$C$224,C892)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SUMIFS(RAB!$F$14:$F$224,RAB!$C$14:$C$224,C893)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SUMIFS(RAB!$F$14:$F$224,RAB!$C$14:$C$224,C894)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SUMIFS(RAB!$F$14:$F$224,RAB!$C$14:$C$224,C895)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SUMIFS(RAB!$F$14:$F$224,RAB!$C$14:$C$224,C896)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SUMIFS(RAB!$F$14:$F$224,RAB!$C$14:$C$224,C897)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SUMIFS(RAB!$F$14:$F$224,RAB!$C$14:$C$224,C898)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SUMIFS(RAB!$F$14:$F$224,RAB!$C$14:$C$224,C899)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SUMIFS(RAB!$F$14:$F$224,RAB!$C$14:$C$224,C900)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SUMIFS(RAB!$F$14:$F$224,RAB!$C$14:$C$224,C901)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SUMIFS(RAB!$F$14:$F$224,RAB!$C$14:$C$224,C902)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SUMIFS(RAB!$F$14:$F$224,RAB!$C$14:$C$224,C903)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SUMIFS(RAB!$F$14:$F$224,RAB!$C$14:$C$224,C904)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SUMIFS(RAB!$F$14:$F$224,RAB!$C$14:$C$224,C905)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SUMIFS(RAB!$F$14:$F$224,RAB!$C$14:$C$224,C906)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SUMIFS(RAB!$F$14:$F$224,RAB!$C$14:$C$224,C907)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SUMIFS(RAB!$F$14:$F$224,RAB!$C$14:$C$224,C908)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SUMIFS(RAB!$F$14:$F$224,RAB!$C$14:$C$224,C909)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SUMIFS(RAB!$F$14:$F$224,RAB!$C$14:$C$224,C910)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SUMIFS(RAB!$F$14:$F$224,RAB!$C$14:$C$224,C911)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SUMIFS(RAB!$F$14:$F$224,RAB!$C$14:$C$224,C912)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SUMIFS(RAB!$F$14:$F$224,RAB!$C$14:$C$224,C913)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SUMIFS(RAB!$F$14:$F$224,RAB!$C$14:$C$224,C914)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SUMIFS(RAB!$F$14:$F$224,RAB!$C$14:$C$224,C915)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SUMIFS(RAB!$F$14:$F$224,RAB!$C$14:$C$224,C916)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SUMIFS(RAB!$F$14:$F$224,RAB!$C$14:$C$224,C917)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SUMIFS(RAB!$F$14:$F$224,RAB!$C$14:$C$224,C918)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SUMIFS(RAB!$F$14:$F$224,RAB!$C$14:$C$224,C919)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SUMIFS(RAB!$F$14:$F$224,RAB!$C$14:$C$224,C920)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SUMIFS(RAB!$F$14:$F$224,RAB!$C$14:$C$224,C921)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SUMIFS(RAB!$F$14:$F$224,RAB!$C$14:$C$224,C922)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SUMIFS(RAB!$F$14:$F$224,RAB!$C$14:$C$224,C923)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SUMIFS(RAB!$F$14:$F$224,RAB!$C$14:$C$224,C924)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SUMIFS(RAB!$F$14:$F$224,RAB!$C$14:$C$224,C925)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SUMIFS(RAB!$F$14:$F$224,RAB!$C$14:$C$224,C926)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SUMIFS(RAB!$F$14:$F$224,RAB!$C$14:$C$224,C927)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SUMIFS(RAB!$F$14:$F$224,RAB!$C$14:$C$224,C928)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SUMIFS(RAB!$F$14:$F$224,RAB!$C$14:$C$224,C929)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SUMIFS(RAB!$F$14:$F$224,RAB!$C$14:$C$224,C930)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SUMIFS(RAB!$F$14:$F$224,RAB!$C$14:$C$224,C931)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SUMIFS(RAB!$F$14:$F$224,RAB!$C$14:$C$224,C932)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SUMIFS(RAB!$F$14:$F$224,RAB!$C$14:$C$224,C933)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SUMIFS(RAB!$F$14:$F$224,RAB!$C$14:$C$224,C934)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SUMIFS(RAB!$F$14:$F$224,RAB!$C$14:$C$224,C935)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SUMIFS(RAB!$F$14:$F$224,RAB!$C$14:$C$224,C936)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SUMIFS(RAB!$F$14:$F$224,RAB!$C$14:$C$224,C937)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SUMIFS(RAB!$F$14:$F$224,RAB!$C$14:$C$224,C938)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SUMIFS(RAB!$F$14:$F$224,RAB!$C$14:$C$224,C939)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SUMIFS(RAB!$F$14:$F$224,RAB!$C$14:$C$224,C940)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SUMIFS(RAB!$F$14:$F$224,RAB!$C$14:$C$224,C941)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SUMIFS(RAB!$F$14:$F$224,RAB!$C$14:$C$224,C942)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SUMIFS(RAB!$F$14:$F$224,RAB!$C$14:$C$224,C943)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SUMIFS(RAB!$F$14:$F$224,RAB!$C$14:$C$224,C944)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SUMIFS(RAB!$F$14:$F$224,RAB!$C$14:$C$224,C945)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SUMIFS(RAB!$F$14:$F$224,RAB!$C$14:$C$224,C946)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SUMIFS(RAB!$F$14:$F$224,RAB!$C$14:$C$224,C947)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SUMIFS(RAB!$F$14:$F$224,RAB!$C$14:$C$224,C948)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SUMIFS(RAB!$F$14:$F$224,RAB!$C$14:$C$224,C949)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SUMIFS(RAB!$F$14:$F$224,RAB!$C$14:$C$224,C950)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SUMIFS(RAB!$F$14:$F$224,RAB!$C$14:$C$224,C951)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SUMIFS(RAB!$F$14:$F$224,RAB!$C$14:$C$224,C952)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SUMIFS(RAB!$F$14:$F$224,RAB!$C$14:$C$224,C953)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SUMIFS(RAB!$F$14:$F$224,RAB!$C$14:$C$224,C954)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SUMIFS(RAB!$F$14:$F$224,RAB!$C$14:$C$224,C955)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SUMIFS(RAB!$F$14:$F$224,RAB!$C$14:$C$224,C956)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SUMIFS(RAB!$F$14:$F$224,RAB!$C$14:$C$224,C957)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SUMIFS(RAB!$F$14:$F$224,RAB!$C$14:$C$224,C958)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SUMIFS(RAB!$F$14:$F$224,RAB!$C$14:$C$224,C959)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SUMIFS(RAB!$F$14:$F$224,RAB!$C$14:$C$224,C960)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SUMIFS(RAB!$F$14:$F$224,RAB!$C$14:$C$224,C961)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SUMIFS(RAB!$F$14:$F$224,RAB!$C$14:$C$224,C962)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SUMIFS(RAB!$F$14:$F$224,RAB!$C$14:$C$224,C963)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SUMIFS(RAB!$F$14:$F$224,RAB!$C$14:$C$224,C964)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SUMIFS(RAB!$F$14:$F$224,RAB!$C$14:$C$224,C965)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SUMIFS(RAB!$F$14:$F$224,RAB!$C$14:$C$224,C966)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SUMIFS(RAB!$F$14:$F$224,RAB!$C$14:$C$224,C967)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SUMIFS(RAB!$F$14:$F$224,RAB!$C$14:$C$224,C968)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SUMIFS(RAB!$F$14:$F$224,RAB!$C$14:$C$224,C969)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SUMIFS(RAB!$F$14:$F$224,RAB!$C$14:$C$224,C970)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SUMIFS(RAB!$F$14:$F$224,RAB!$C$14:$C$224,C971)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SUMIFS(RAB!$F$14:$F$224,RAB!$C$14:$C$224,C972)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SUMIFS(RAB!$F$14:$F$224,RAB!$C$14:$C$224,C973)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SUMIFS(RAB!$F$14:$F$224,RAB!$C$14:$C$224,C974)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SUMIFS(RAB!$F$14:$F$224,RAB!$C$14:$C$224,C975)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SUMIFS(RAB!$F$14:$F$224,RAB!$C$14:$C$224,C976)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SUMIFS(RAB!$F$14:$F$224,RAB!$C$14:$C$224,C977)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SUMIFS(RAB!$F$14:$F$224,RAB!$C$14:$C$224,C978)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SUMIFS(RAB!$F$14:$F$224,RAB!$C$14:$C$224,C979)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SUMIFS(RAB!$F$14:$F$224,RAB!$C$14:$C$224,C980)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SUMIFS(RAB!$F$14:$F$224,RAB!$C$14:$C$224,C981)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SUMIFS(RAB!$F$14:$F$224,RAB!$C$14:$C$224,C982)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SUMIFS(RAB!$F$14:$F$224,RAB!$C$14:$C$224,C983)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SUMIFS(RAB!$F$14:$F$224,RAB!$C$14:$C$224,C984)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SUMIFS(RAB!$F$14:$F$224,RAB!$C$14:$C$224,C985)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SUMIFS(RAB!$F$14:$F$224,RAB!$C$14:$C$224,C986)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SUMIFS(RAB!$F$14:$F$224,RAB!$C$14:$C$224,C987)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SUMIFS(RAB!$F$14:$F$224,RAB!$C$14:$C$224,C988)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SUMIFS(RAB!$F$14:$F$224,RAB!$C$14:$C$224,C989)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SUMIFS(RAB!$F$14:$F$224,RAB!$C$14:$C$224,C990)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SUMIFS(RAB!$F$14:$F$224,RAB!$C$14:$C$224,C991)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SUMIFS(RAB!$F$14:$F$224,RAB!$C$14:$C$224,C992)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SUMIFS(RAB!$F$14:$F$224,RAB!$C$14:$C$224,C993)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SUMIFS(RAB!$F$14:$F$224,RAB!$C$14:$C$224,C994)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SUMIFS(RAB!$F$14:$F$224,RAB!$C$14:$C$224,C995)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SUMIFS(RAB!$F$14:$F$224,RAB!$C$14:$C$224,C996)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SUMIFS(RAB!$F$14:$F$224,RAB!$C$14:$C$224,C997)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SUMIFS(RAB!$F$14:$F$224,RAB!$C$14:$C$224,C998)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SUMIFS(RAB!$F$14:$F$224,RAB!$C$14:$C$224,C999)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SUMIFS(RAB!$F$14:$F$224,RAB!$C$14:$C$224,C1000)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SUMIFS(RAB!$F$14:$F$224,RAB!$C$14:$C$224,C1001)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SUMIFS(RAB!$F$14:$F$224,RAB!$C$14:$C$224,C1002)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SUMIFS(RAB!$F$14:$F$224,RAB!$C$14:$C$224,C1003)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SUMIFS(RAB!$F$14:$F$224,RAB!$C$14:$C$224,C1004)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SUMIFS(RAB!$F$14:$F$224,RAB!$C$14:$C$224,C1005)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SUMIFS(RAB!$F$14:$F$224,RAB!$C$14:$C$224,C1006)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SUMIFS(RAB!$F$14:$F$224,RAB!$C$14:$C$224,C1007)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SUMIFS(RAB!$F$14:$F$224,RAB!$C$14:$C$224,C1008)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SUMIFS(RAB!$F$14:$F$224,RAB!$C$14:$C$224,C1009)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SUMIFS(RAB!$F$14:$F$224,RAB!$C$14:$C$224,C1010)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SUMIFS(RAB!$F$14:$F$224,RAB!$C$14:$C$224,C1011)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SUMIFS(RAB!$F$14:$F$224,RAB!$C$14:$C$224,C1012)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SUMIFS(RAB!$F$14:$F$224,RAB!$C$14:$C$224,C1013)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SUMIFS(RAB!$F$14:$F$224,RAB!$C$14:$C$224,C1014)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SUMIFS(RAB!$F$14:$F$224,RAB!$C$14:$C$224,C1015)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SUMIFS(RAB!$F$14:$F$224,RAB!$C$14:$C$224,C1016)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SUMIFS(RAB!$F$14:$F$224,RAB!$C$14:$C$224,C1017)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SUMIFS(RAB!$F$14:$F$224,RAB!$C$14:$C$224,C1018)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SUMIFS(RAB!$F$14:$F$224,RAB!$C$14:$C$224,C1019)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SUMIFS(RAB!$F$14:$F$224,RAB!$C$14:$C$224,C1020)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SUMIFS(RAB!$F$14:$F$224,RAB!$C$14:$C$224,C1021)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SUMIFS(RAB!$F$14:$F$224,RAB!$C$14:$C$224,C1022)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SUMIFS(RAB!$F$14:$F$224,RAB!$C$14:$C$224,C1023)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SUMIFS(RAB!$F$14:$F$224,RAB!$C$14:$C$224,C1024)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SUMIFS(RAB!$F$14:$F$224,RAB!$C$14:$C$224,C1025)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SUMIFS(RAB!$F$14:$F$224,RAB!$C$14:$C$224,C1026)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SUMIFS(RAB!$F$14:$F$224,RAB!$C$14:$C$224,C1027)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SUMIFS(RAB!$F$14:$F$224,RAB!$C$14:$C$224,C1028)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SUMIFS(RAB!$F$14:$F$224,RAB!$C$14:$C$224,C1029)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SUMIFS(RAB!$F$14:$F$224,RAB!$C$14:$C$224,C1030)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SUMIFS(RAB!$F$14:$F$224,RAB!$C$14:$C$224,C1031)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SUMIFS(RAB!$F$14:$F$224,RAB!$C$14:$C$224,C1032)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SUMIFS(RAB!$F$14:$F$224,RAB!$C$14:$C$224,C1033)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SUMIFS(RAB!$F$14:$F$224,RAB!$C$14:$C$224,C1034)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SUMIFS(RAB!$F$14:$F$224,RAB!$C$14:$C$224,C1035)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SUMIFS(RAB!$F$14:$F$224,RAB!$C$14:$C$224,C1036)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SUMIFS(RAB!$F$14:$F$224,RAB!$C$14:$C$224,C1037)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SUMIFS(RAB!$F$14:$F$224,RAB!$C$14:$C$224,C1038)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SUMIFS(RAB!$F$14:$F$224,RAB!$C$14:$C$224,C1039)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SUMIFS(RAB!$F$14:$F$224,RAB!$C$14:$C$224,C1040)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SUMIFS(RAB!$F$14:$F$224,RAB!$C$14:$C$224,C1041)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SUMIFS(RAB!$F$14:$F$224,RAB!$C$14:$C$224,C1042)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SUMIFS(RAB!$F$14:$F$224,RAB!$C$14:$C$224,C1043)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SUMIFS(RAB!$F$14:$F$224,RAB!$C$14:$C$224,C1044)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SUMIFS(RAB!$F$14:$F$224,RAB!$C$14:$C$224,C1045)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SUMIFS(RAB!$F$14:$F$224,RAB!$C$14:$C$224,C1046)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SUMIFS(RAB!$F$14:$F$224,RAB!$C$14:$C$224,C1047)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SUMIFS(RAB!$F$14:$F$224,RAB!$C$14:$C$224,C1048)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SUMIFS(RAB!$F$14:$F$224,RAB!$C$14:$C$224,C1049)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SUMIFS(RAB!$F$14:$F$224,RAB!$C$14:$C$224,C1050)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SUMIFS(RAB!$F$14:$F$224,RAB!$C$14:$C$224,C1051)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SUMIFS(RAB!$F$14:$F$224,RAB!$C$14:$C$224,C1052)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SUMIFS(RAB!$F$14:$F$224,RAB!$C$14:$C$224,C1053)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SUMIFS(RAB!$F$14:$F$224,RAB!$C$14:$C$224,C1054)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SUMIFS(RAB!$F$14:$F$224,RAB!$C$14:$C$224,C1055)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SUMIFS(RAB!$F$14:$F$224,RAB!$C$14:$C$224,C1056)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SUMIFS(RAB!$F$14:$F$224,RAB!$C$14:$C$224,C1057)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SUMIFS(RAB!$F$14:$F$224,RAB!$C$14:$C$224,C1058)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SUMIFS(RAB!$F$14:$F$224,RAB!$C$14:$C$224,C1059)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SUMIFS(RAB!$F$14:$F$224,RAB!$C$14:$C$224,C1060)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SUMIFS(RAB!$F$14:$F$224,RAB!$C$14:$C$224,C1061)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SUMIFS(RAB!$F$14:$F$224,RAB!$C$14:$C$224,C1062)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SUMIFS(RAB!$F$14:$F$224,RAB!$C$14:$C$224,C1063)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SUMIFS(RAB!$F$14:$F$224,RAB!$C$14:$C$224,C1064)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SUMIFS(RAB!$F$14:$F$224,RAB!$C$14:$C$224,C1065)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SUMIFS(RAB!$F$14:$F$224,RAB!$C$14:$C$224,C1066)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SUMIFS(RAB!$F$14:$F$224,RAB!$C$14:$C$224,C1067)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SUMIFS(RAB!$F$14:$F$224,RAB!$C$14:$C$224,C1068)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SUMIFS(RAB!$F$14:$F$224,RAB!$C$14:$C$224,C1069)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SUMIFS(RAB!$F$14:$F$224,RAB!$C$14:$C$224,C1070)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SUMIFS(RAB!$F$14:$F$224,RAB!$C$14:$C$224,C1071)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SUMIFS(RAB!$F$14:$F$224,RAB!$C$14:$C$224,C1072)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SUMIFS(RAB!$F$14:$F$224,RAB!$C$14:$C$224,C1073)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SUMIFS(RAB!$F$14:$F$224,RAB!$C$14:$C$224,C1074)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SUMIFS(RAB!$F$14:$F$224,RAB!$C$14:$C$224,C1075)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SUMIFS(RAB!$F$14:$F$224,RAB!$C$14:$C$224,C1076)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SUMIFS(RAB!$F$14:$F$224,RAB!$C$14:$C$224,C1077)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SUMIFS(RAB!$F$14:$F$224,RAB!$C$14:$C$224,C1078)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SUMIFS(RAB!$F$14:$F$224,RAB!$C$14:$C$224,C1079)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SUMIFS(RAB!$F$14:$F$224,RAB!$C$14:$C$224,C1080)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SUMIFS(RAB!$F$14:$F$224,RAB!$C$14:$C$224,C1081)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SUMIFS(RAB!$F$14:$F$224,RAB!$C$14:$C$224,C1082)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SUMIFS(RAB!$F$14:$F$224,RAB!$C$14:$C$224,C1083)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SUMIFS(RAB!$F$14:$F$224,RAB!$C$14:$C$224,C1084)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SUMIFS(RAB!$F$14:$F$224,RAB!$C$14:$C$224,C1085)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SUMIFS(RAB!$F$14:$F$224,RAB!$C$14:$C$224,C1086)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SUMIFS(RAB!$F$14:$F$224,RAB!$C$14:$C$224,C1087)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SUMIFS(RAB!$F$14:$F$224,RAB!$C$14:$C$224,C1088)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SUMIFS(RAB!$F$14:$F$224,RAB!$C$14:$C$224,C1089)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SUMIFS(RAB!$F$14:$F$224,RAB!$C$14:$C$224,C1090)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SUMIFS(RAB!$F$14:$F$224,RAB!$C$14:$C$224,C1091)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SUMIFS(RAB!$F$14:$F$224,RAB!$C$14:$C$224,C1092)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SUMIFS(RAB!$F$14:$F$224,RAB!$C$14:$C$224,C1093)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SUMIFS(RAB!$F$14:$F$224,RAB!$C$14:$C$224,C1094)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SUMIFS(RAB!$F$14:$F$224,RAB!$C$14:$C$224,C1095)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SUMIFS(RAB!$F$14:$F$224,RAB!$C$14:$C$224,C1096)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SUMIFS(RAB!$F$14:$F$224,RAB!$C$14:$C$224,C1097)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SUMIFS(RAB!$F$14:$F$224,RAB!$C$14:$C$224,C1098)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SUMIFS(RAB!$F$14:$F$224,RAB!$C$14:$C$224,C1099)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SUMIFS(RAB!$F$14:$F$224,RAB!$C$14:$C$224,C1100)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SUMIFS(RAB!$F$14:$F$224,RAB!$C$14:$C$224,C1101)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SUMIFS(RAB!$F$14:$F$224,RAB!$C$14:$C$224,C1102)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SUMIFS(RAB!$F$14:$F$224,RAB!$C$14:$C$224,C1103)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SUMIFS(RAB!$F$14:$F$224,RAB!$C$14:$C$224,C1104)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SUMIFS(RAB!$F$14:$F$224,RAB!$C$14:$C$224,C1105)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SUMIFS(RAB!$F$14:$F$224,RAB!$C$14:$C$224,C1106)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SUMIFS(RAB!$F$14:$F$224,RAB!$C$14:$C$224,C1107)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SUMIFS(RAB!$F$14:$F$224,RAB!$C$14:$C$224,C1108)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SUMIFS(RAB!$F$14:$F$224,RAB!$C$14:$C$224,C1109)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SUMIFS(RAB!$F$14:$F$224,RAB!$C$14:$C$224,C1110)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SUMIFS(RAB!$F$14:$F$224,RAB!$C$14:$C$224,C1111)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SUMIFS(RAB!$F$14:$F$224,RAB!$C$14:$C$224,C1112)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SUMIFS(RAB!$F$14:$F$224,RAB!$C$14:$C$224,C1113)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SUMIFS(RAB!$F$14:$F$224,RAB!$C$14:$C$224,C1114)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SUMIFS(RAB!$F$14:$F$224,RAB!$C$14:$C$224,C1115)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SUMIFS(RAB!$F$14:$F$224,RAB!$C$14:$C$224,C1116)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SUMIFS(RAB!$F$14:$F$224,RAB!$C$14:$C$224,C1117)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SUMIFS(RAB!$F$14:$F$224,RAB!$C$14:$C$224,C1118)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SUMIFS(RAB!$F$14:$F$224,RAB!$C$14:$C$224,C1119)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SUMIFS(RAB!$F$14:$F$224,RAB!$C$14:$C$224,C1120)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SUMIFS(RAB!$F$14:$F$224,RAB!$C$14:$C$224,C1121)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SUMIFS(RAB!$F$14:$F$224,RAB!$C$14:$C$224,C1122)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SUMIFS(RAB!$F$14:$F$224,RAB!$C$14:$C$224,C1123)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SUMIFS(RAB!$F$14:$F$224,RAB!$C$14:$C$224,C1124)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SUMIFS(RAB!$F$14:$F$224,RAB!$C$14:$C$224,C1125)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SUMIFS(RAB!$F$14:$F$224,RAB!$C$14:$C$224,C1126)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SUMIFS(RAB!$F$14:$F$224,RAB!$C$14:$C$224,C1127)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SUMIFS(RAB!$F$14:$F$224,RAB!$C$14:$C$224,C1128)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SUMIFS(RAB!$F$14:$F$224,RAB!$C$14:$C$224,C1129)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SUMIFS(RAB!$F$14:$F$224,RAB!$C$14:$C$224,C1130)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SUMIFS(RAB!$F$14:$F$224,RAB!$C$14:$C$224,C1131)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SUMIFS(RAB!$F$14:$F$224,RAB!$C$14:$C$224,C1132)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SUMIFS(RAB!$F$14:$F$224,RAB!$C$14:$C$224,C1133)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SUMIFS(RAB!$F$14:$F$224,RAB!$C$14:$C$224,C1134)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SUMIFS(RAB!$F$14:$F$224,RAB!$C$14:$C$224,C1135)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SUMIFS(RAB!$F$14:$F$224,RAB!$C$14:$C$224,C1136)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SUMIFS(RAB!$F$14:$F$224,RAB!$C$14:$C$224,C1137)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SUMIFS(RAB!$F$14:$F$224,RAB!$C$14:$C$224,C1138)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SUMIFS(RAB!$F$14:$F$224,RAB!$C$14:$C$224,C1139)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SUMIFS(RAB!$F$14:$F$224,RAB!$C$14:$C$224,C1140)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SUMIFS(RAB!$F$14:$F$224,RAB!$C$14:$C$224,C1141)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SUMIFS(RAB!$F$14:$F$224,RAB!$C$14:$C$224,C1142)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SUMIFS(RAB!$F$14:$F$224,RAB!$C$14:$C$224,C1143)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SUMIFS(RAB!$F$14:$F$224,RAB!$C$14:$C$224,C1144)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SUMIFS(RAB!$F$14:$F$224,RAB!$C$14:$C$224,C1145)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SUMIFS(RAB!$F$14:$F$224,RAB!$C$14:$C$224,C1146)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SUMIFS(RAB!$F$14:$F$224,RAB!$C$14:$C$224,C1147)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SUMIFS(RAB!$F$14:$F$224,RAB!$C$14:$C$224,C1148)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SUMIFS(RAB!$F$14:$F$224,RAB!$C$14:$C$224,C1149)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SUMIFS(RAB!$F$14:$F$224,RAB!$C$14:$C$224,C1150)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SUMIFS(RAB!$F$14:$F$224,RAB!$C$14:$C$224,C1151)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SUMIFS(RAB!$F$14:$F$224,RAB!$C$14:$C$224,C1152)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SUMIFS(RAB!$F$14:$F$224,RAB!$C$14:$C$224,C1153)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SUMIFS(RAB!$F$14:$F$224,RAB!$C$14:$C$224,C1154)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SUMIFS(RAB!$F$14:$F$224,RAB!$C$14:$C$224,C1155)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SUMIFS(RAB!$F$14:$F$224,RAB!$C$14:$C$224,C1156)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SUMIFS(RAB!$F$14:$F$224,RAB!$C$14:$C$224,C1157)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SUMIFS(RAB!$F$14:$F$224,RAB!$C$14:$C$224,C1158)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SUMIFS(RAB!$F$14:$F$224,RAB!$C$14:$C$224,C1159)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SUMIFS(RAB!$F$14:$F$224,RAB!$C$14:$C$224,C1160)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SUMIFS(RAB!$F$14:$F$224,RAB!$C$14:$C$224,C1161)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SUMIFS(RAB!$F$14:$F$224,RAB!$C$14:$C$224,C1162)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SUMIFS(RAB!$F$14:$F$224,RAB!$C$14:$C$224,C1163)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SUMIFS(RAB!$F$14:$F$224,RAB!$C$14:$C$224,C1164)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SUMIFS(RAB!$F$14:$F$224,RAB!$C$14:$C$224,C1165)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SUMIFS(RAB!$F$14:$F$224,RAB!$C$14:$C$224,C1166)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SUMIFS(RAB!$F$14:$F$224,RAB!$C$14:$C$224,C1167)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SUMIFS(RAB!$F$14:$F$224,RAB!$C$14:$C$224,C1168)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SUMIFS(RAB!$F$14:$F$224,RAB!$C$14:$C$224,C1169)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SUMIFS(RAB!$F$14:$F$224,RAB!$C$14:$C$224,C1170)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SUMIFS(RAB!$F$14:$F$224,RAB!$C$14:$C$224,C1171)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SUMIFS(RAB!$F$14:$F$224,RAB!$C$14:$C$224,C1172)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SUMIFS(RAB!$F$14:$F$224,RAB!$C$14:$C$224,C1173)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SUMIFS(RAB!$F$14:$F$224,RAB!$C$14:$C$224,C1174)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SUMIFS(RAB!$F$14:$F$224,RAB!$C$14:$C$224,C1175)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SUMIFS(RAB!$F$14:$F$224,RAB!$C$14:$C$224,C1176)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SUMIFS(RAB!$F$14:$F$224,RAB!$C$14:$C$224,C1177)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SUMIFS(RAB!$F$14:$F$224,RAB!$C$14:$C$224,C1178)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SUMIFS(RAB!$F$14:$F$224,RAB!$C$14:$C$224,C1179)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SUMIFS(RAB!$F$14:$F$224,RAB!$C$14:$C$224,C1180)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SUMIFS(RAB!$F$14:$F$224,RAB!$C$14:$C$224,C1181)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SUMIFS(RAB!$F$14:$F$224,RAB!$C$14:$C$224,C1182)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SUMIFS(RAB!$F$14:$F$224,RAB!$C$14:$C$224,C1183)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SUMIFS(RAB!$F$14:$F$224,RAB!$C$14:$C$224,C1184)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SUMIFS(RAB!$F$14:$F$224,RAB!$C$14:$C$224,C1185)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SUMIFS(RAB!$F$14:$F$224,RAB!$C$14:$C$224,C1186)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SUMIFS(RAB!$F$14:$F$224,RAB!$C$14:$C$224,C1187)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SUMIFS(RAB!$F$14:$F$224,RAB!$C$14:$C$224,C1188)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SUMIFS(RAB!$F$14:$F$224,RAB!$C$14:$C$224,C1189)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SUMIFS(RAB!$F$14:$F$224,RAB!$C$14:$C$224,C1190)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SUMIFS(RAB!$F$14:$F$224,RAB!$C$14:$C$224,C1191)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SUMIFS(RAB!$F$14:$F$224,RAB!$C$14:$C$224,C1192)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SUMIFS(RAB!$F$14:$F$224,RAB!$C$14:$C$224,C1193)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SUMIFS(RAB!$F$14:$F$224,RAB!$C$14:$C$224,C1194)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SUMIFS(RAB!$F$14:$F$224,RAB!$C$14:$C$224,C1195)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SUMIFS(RAB!$F$14:$F$224,RAB!$C$14:$C$224,C1196)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SUMIFS(RAB!$F$14:$F$224,RAB!$C$14:$C$224,C1197)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SUMIFS(RAB!$F$14:$F$224,RAB!$C$14:$C$224,C1198)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SUMIFS(RAB!$F$14:$F$224,RAB!$C$14:$C$224,C1199)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SUMIFS(RAB!$F$14:$F$224,RAB!$C$14:$C$224,C1200)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SUMIFS(RAB!$F$14:$F$224,RAB!$C$14:$C$224,C1201)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SUMIFS(RAB!$F$14:$F$224,RAB!$C$14:$C$224,C1202)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SUMIFS(RAB!$F$14:$F$224,RAB!$C$14:$C$224,C1203)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SUMIFS(RAB!$F$14:$F$224,RAB!$C$14:$C$224,C1204)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SUMIFS(RAB!$F$14:$F$224,RAB!$C$14:$C$224,C1205)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SUMIFS(RAB!$F$14:$F$224,RAB!$C$14:$C$224,C1206)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SUMIFS(RAB!$F$14:$F$224,RAB!$C$14:$C$224,C1207)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SUMIFS(RAB!$F$14:$F$224,RAB!$C$14:$C$224,C1208)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SUMIFS(RAB!$F$14:$F$224,RAB!$C$14:$C$224,C1209)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SUMIFS(RAB!$F$14:$F$224,RAB!$C$14:$C$224,C1210)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SUMIFS(RAB!$F$14:$F$224,RAB!$C$14:$C$224,C1211)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SUMIFS(RAB!$F$14:$F$224,RAB!$C$14:$C$224,C1212)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SUMIFS(RAB!$F$14:$F$224,RAB!$C$14:$C$224,C1213)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SUMIFS(RAB!$F$14:$F$224,RAB!$C$14:$C$224,C1214)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SUMIFS(RAB!$F$14:$F$224,RAB!$C$14:$C$224,C1215)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SUMIFS(RAB!$F$14:$F$224,RAB!$C$14:$C$224,C1216)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SUMIFS(RAB!$F$14:$F$224,RAB!$C$14:$C$224,C1217)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SUMIFS(RAB!$F$14:$F$224,RAB!$C$14:$C$224,C1218)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SUMIFS(RAB!$F$14:$F$224,RAB!$C$14:$C$224,C1219)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SUMIFS(RAB!$F$14:$F$224,RAB!$C$14:$C$224,C1220)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SUMIFS(RAB!$F$14:$F$224,RAB!$C$14:$C$224,C1221)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SUMIFS(RAB!$F$14:$F$224,RAB!$C$14:$C$224,C1222)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SUMIFS(RAB!$F$14:$F$224,RAB!$C$14:$C$224,C1223)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SUMIFS(RAB!$F$14:$F$224,RAB!$C$14:$C$224,C1224)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SUMIFS(RAB!$F$14:$F$224,RAB!$C$14:$C$224,C1225)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SUMIFS(RAB!$F$14:$F$224,RAB!$C$14:$C$224,C1226)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SUMIFS(RAB!$F$14:$F$224,RAB!$C$14:$C$224,C1227)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SUMIFS(RAB!$F$14:$F$224,RAB!$C$14:$C$224,C1228)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SUMIFS(RAB!$F$14:$F$224,RAB!$C$14:$C$224,C1229)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SUMIFS(RAB!$F$14:$F$224,RAB!$C$14:$C$224,C1230)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SUMIFS(RAB!$F$14:$F$224,RAB!$C$14:$C$224,C1231)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SUMIFS(RAB!$F$14:$F$224,RAB!$C$14:$C$224,C1232)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SUMIFS(RAB!$F$14:$F$224,RAB!$C$14:$C$224,C1233)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SUMIFS(RAB!$F$14:$F$224,RAB!$C$14:$C$224,C1234)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SUMIFS(RAB!$F$14:$F$224,RAB!$C$14:$C$224,C1235)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SUMIFS(RAB!$F$14:$F$224,RAB!$C$14:$C$224,C1236)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SUMIFS(RAB!$F$14:$F$224,RAB!$C$14:$C$224,C1237)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SUMIFS(RAB!$F$14:$F$224,RAB!$C$14:$C$224,C1238)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SUMIFS(RAB!$F$14:$F$224,RAB!$C$14:$C$224,C1239)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SUMIFS(RAB!$F$14:$F$224,RAB!$C$14:$C$224,C1240)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SUMIFS(RAB!$F$14:$F$224,RAB!$C$14:$C$224,C1241)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SUMIFS(RAB!$F$14:$F$224,RAB!$C$14:$C$224,C1242)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SUMIFS(RAB!$F$14:$F$224,RAB!$C$14:$C$224,C1243)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SUMIFS(RAB!$F$14:$F$224,RAB!$C$14:$C$224,C1244)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SUMIFS(RAB!$F$14:$F$224,RAB!$C$14:$C$224,C1245)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SUMIFS(RAB!$F$14:$F$224,RAB!$C$14:$C$224,C1246)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SUMIFS(RAB!$F$14:$F$224,RAB!$C$14:$C$224,C1247)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SUMIFS(RAB!$F$14:$F$224,RAB!$C$14:$C$224,C1248)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SUMIFS(RAB!$F$14:$F$224,RAB!$C$14:$C$224,C1249)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SUMIFS(RAB!$F$14:$F$224,RAB!$C$14:$C$224,C1250)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SUMIFS(RAB!$F$14:$F$224,RAB!$C$14:$C$224,C1251)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SUMIFS(RAB!$F$14:$F$224,RAB!$C$14:$C$224,C1252)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SUMIFS(RAB!$F$14:$F$224,RAB!$C$14:$C$224,C1253)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SUMIFS(RAB!$F$14:$F$224,RAB!$C$14:$C$224,C1254)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SUMIFS(RAB!$F$14:$F$224,RAB!$C$14:$C$224,C1255)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SUMIFS(RAB!$F$14:$F$224,RAB!$C$14:$C$224,C1256)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SUMIFS(RAB!$F$14:$F$224,RAB!$C$14:$C$224,C1257)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SUMIFS(RAB!$F$14:$F$224,RAB!$C$14:$C$224,C1258)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SUMIFS(RAB!$F$14:$F$224,RAB!$C$14:$C$224,C1259)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SUMIFS(RAB!$F$14:$F$224,RAB!$C$14:$C$224,C1260)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SUMIFS(RAB!$F$14:$F$224,RAB!$C$14:$C$224,C1261)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SUMIFS(RAB!$F$14:$F$224,RAB!$C$14:$C$224,C1262)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SUMIFS(RAB!$F$14:$F$224,RAB!$C$14:$C$224,C1263)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SUMIFS(RAB!$F$14:$F$224,RAB!$C$14:$C$224,C1264)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SUMIFS(RAB!$F$14:$F$224,RAB!$C$14:$C$224,C1265)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SUMIFS(RAB!$F$14:$F$224,RAB!$C$14:$C$224,C1266)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SUMIFS(RAB!$F$14:$F$224,RAB!$C$14:$C$224,C1267)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SUMIFS(RAB!$F$14:$F$224,RAB!$C$14:$C$224,C1268)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SUMIFS(RAB!$F$14:$F$224,RAB!$C$14:$C$224,C1269)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SUMIFS(RAB!$F$14:$F$224,RAB!$C$14:$C$224,C1270)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SUMIFS(RAB!$F$14:$F$224,RAB!$C$14:$C$224,C1271)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SUMIFS(RAB!$F$14:$F$224,RAB!$C$14:$C$224,C1272)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SUMIFS(RAB!$F$14:$F$224,RAB!$C$14:$C$224,C1273)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SUMIFS(RAB!$F$14:$F$224,RAB!$C$14:$C$224,C1274)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SUMIFS(RAB!$F$14:$F$224,RAB!$C$14:$C$224,C1275)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SUMIFS(RAB!$F$14:$F$224,RAB!$C$14:$C$224,C1276)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SUMIFS(RAB!$F$14:$F$224,RAB!$C$14:$C$224,C1277)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SUMIFS(RAB!$F$14:$F$224,RAB!$C$14:$C$224,C1278)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SUMIFS(RAB!$F$14:$F$224,RAB!$C$14:$C$224,C1279)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SUMIFS(RAB!$F$14:$F$224,RAB!$C$14:$C$224,C1280)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SUMIFS(RAB!$F$14:$F$224,RAB!$C$14:$C$224,C1281)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SUMIFS(RAB!$F$14:$F$224,RAB!$C$14:$C$224,C1282)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SUMIFS(RAB!$F$14:$F$224,RAB!$C$14:$C$224,C1283)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SUMIFS(RAB!$F$14:$F$224,RAB!$C$14:$C$224,C1284)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SUMIFS(RAB!$F$14:$F$224,RAB!$C$14:$C$224,C1285)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SUMIFS(RAB!$F$14:$F$224,RAB!$C$14:$C$224,C1286)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SUMIFS(RAB!$F$14:$F$224,RAB!$C$14:$C$224,C1287)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SUMIFS(RAB!$F$14:$F$224,RAB!$C$14:$C$224,C1288)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SUMIFS(RAB!$F$14:$F$224,RAB!$C$14:$C$224,C1289)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SUMIFS(RAB!$F$14:$F$224,RAB!$C$14:$C$224,C1290)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SUMIFS(RAB!$F$14:$F$224,RAB!$C$14:$C$224,C1291)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SUMIFS(RAB!$F$14:$F$224,RAB!$C$14:$C$224,C1292)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SUMIFS(RAB!$F$14:$F$224,RAB!$C$14:$C$224,C1293)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SUMIFS(RAB!$F$14:$F$224,RAB!$C$14:$C$224,C1294)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SUMIFS(RAB!$F$14:$F$224,RAB!$C$14:$C$224,C1295)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SUMIFS(RAB!$F$14:$F$224,RAB!$C$14:$C$224,C1296)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SUMIFS(RAB!$F$14:$F$224,RAB!$C$14:$C$224,C1297)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SUMIFS(RAB!$F$14:$F$224,RAB!$C$14:$C$224,C1298)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SUMIFS(RAB!$F$14:$F$224,RAB!$C$14:$C$224,C1299)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SUMIFS(RAB!$F$14:$F$224,RAB!$C$14:$C$224,C1300)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SUMIFS(RAB!$F$14:$F$224,RAB!$C$14:$C$224,C1301)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SUMIFS(RAB!$F$14:$F$224,RAB!$C$14:$C$224,C1302)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SUMIFS(RAB!$F$14:$F$224,RAB!$C$14:$C$224,C1303)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SUMIFS(RAB!$F$14:$F$224,RAB!$C$14:$C$224,C1304)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SUMIFS(RAB!$F$14:$F$224,RAB!$C$14:$C$224,C1305)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SUMIFS(RAB!$F$14:$F$224,RAB!$C$14:$C$224,C1306)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SUMIFS(RAB!$F$14:$F$224,RAB!$C$14:$C$224,C1307)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SUMIFS(RAB!$F$14:$F$224,RAB!$C$14:$C$224,C1308)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SUMIFS(RAB!$F$14:$F$224,RAB!$C$14:$C$224,C1309)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SUMIFS(RAB!$F$14:$F$224,RAB!$C$14:$C$224,C1310)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SUMIFS(RAB!$F$14:$F$224,RAB!$C$14:$C$224,C1311)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SUMIFS(RAB!$F$14:$F$224,RAB!$C$14:$C$224,C1312)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SUMIFS(RAB!$F$14:$F$224,RAB!$C$14:$C$224,C1313)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SUMIFS(RAB!$F$14:$F$224,RAB!$C$14:$C$224,C1314)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SUMIFS(RAB!$F$14:$F$224,RAB!$C$14:$C$224,C1315)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SUMIFS(RAB!$F$14:$F$224,RAB!$C$14:$C$224,C1316)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SUMIFS(RAB!$F$14:$F$224,RAB!$C$14:$C$224,C1317)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SUMIFS(RAB!$F$14:$F$224,RAB!$C$14:$C$224,C1318)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SUMIFS(RAB!$F$14:$F$224,RAB!$C$14:$C$224,C1319)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SUMIFS(RAB!$F$14:$F$224,RAB!$C$14:$C$224,C1320)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1127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6" t="str">
        <f>RAB!G6</f>
        <v>AGR H MUSTAIN</v>
      </c>
      <c r="H6" s="566"/>
      <c r="I6" s="566"/>
      <c r="J6" s="566"/>
      <c r="K6" s="56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SARIMULYO KEC.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50" t="s">
        <v>41</v>
      </c>
      <c r="H11" s="548" t="s">
        <v>3</v>
      </c>
      <c r="I11" s="548"/>
      <c r="J11" s="548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49"/>
      <c r="E12" s="549"/>
      <c r="F12" s="549"/>
      <c r="G12" s="551"/>
      <c r="H12" s="557" t="s">
        <v>46</v>
      </c>
      <c r="I12" s="557" t="s">
        <v>5</v>
      </c>
      <c r="J12" s="549" t="s">
        <v>47</v>
      </c>
      <c r="K12" s="55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49"/>
      <c r="E13" s="549"/>
      <c r="F13" s="549"/>
      <c r="G13" s="552"/>
      <c r="H13" s="558"/>
      <c r="I13" s="558"/>
      <c r="J13" s="549"/>
      <c r="K13" s="55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22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127600000</v>
      </c>
      <c r="J16" s="42">
        <f t="shared" ca="1" si="3"/>
        <v>0</v>
      </c>
      <c r="K16" s="43">
        <f t="shared" ca="1" si="0"/>
        <v>127600000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7" t="s">
        <v>1008</v>
      </c>
      <c r="D38" s="567"/>
      <c r="E38" s="567"/>
      <c r="F38" s="567"/>
      <c r="G38" s="77" t="s">
        <v>9</v>
      </c>
      <c r="H38" s="55">
        <f ca="1">SUM(H14:H37)</f>
        <v>0</v>
      </c>
      <c r="I38" s="55">
        <f ca="1">SUM(I14:I37)</f>
        <v>133674400</v>
      </c>
      <c r="J38" s="55">
        <f ca="1">SUM(J14:J37)</f>
        <v>0</v>
      </c>
      <c r="K38" s="55">
        <f ca="1">SUM(K14:K37)</f>
        <v>133674400</v>
      </c>
      <c r="L38" s="44"/>
      <c r="R38" s="99"/>
      <c r="S38" s="99"/>
      <c r="T38" s="99"/>
    </row>
    <row r="39" spans="1:20" s="36" customFormat="1">
      <c r="A39" s="30"/>
      <c r="B39" s="56"/>
      <c r="C39" s="568" t="s">
        <v>462</v>
      </c>
      <c r="D39" s="568"/>
      <c r="E39" s="568"/>
      <c r="F39" s="568"/>
      <c r="G39" s="59" t="s">
        <v>9</v>
      </c>
      <c r="H39" s="60">
        <f ca="1">H38*0.1</f>
        <v>0</v>
      </c>
      <c r="I39" s="60">
        <f ca="1">I38*0.1</f>
        <v>13367440</v>
      </c>
      <c r="J39" s="60">
        <f ca="1">J38*0.1</f>
        <v>0</v>
      </c>
      <c r="K39" s="60">
        <f ca="1">K38*0.1</f>
        <v>13367440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9" t="s">
        <v>463</v>
      </c>
      <c r="D40" s="559"/>
      <c r="E40" s="559"/>
      <c r="F40" s="559"/>
      <c r="G40" s="61" t="s">
        <v>9</v>
      </c>
      <c r="H40" s="78">
        <f ca="1">SUM(H38:H39)</f>
        <v>0</v>
      </c>
      <c r="I40" s="78">
        <f ca="1">SUM(I38:I39)</f>
        <v>147041840</v>
      </c>
      <c r="J40" s="61">
        <f ca="1">SUM(J38:J39)</f>
        <v>0</v>
      </c>
      <c r="K40" s="61">
        <f ca="1">SUM(K38:K39)</f>
        <v>147041840</v>
      </c>
      <c r="L40" s="44"/>
      <c r="R40" s="99"/>
      <c r="S40" s="99"/>
      <c r="T40" s="99"/>
    </row>
    <row r="41" spans="1:20" s="36" customFormat="1">
      <c r="A41" s="30"/>
      <c r="B41" s="560" t="e">
        <f ca="1">"Terbilang : ( "&amp;L42&amp;" Rupiah )"</f>
        <v>#NAME?</v>
      </c>
      <c r="C41" s="561"/>
      <c r="D41" s="561"/>
      <c r="E41" s="561"/>
      <c r="F41" s="561"/>
      <c r="G41" s="561"/>
      <c r="H41" s="561"/>
      <c r="I41" s="561"/>
      <c r="J41" s="561"/>
      <c r="K41" s="562"/>
      <c r="L41" s="44"/>
      <c r="R41" s="58"/>
      <c r="S41" s="58"/>
      <c r="T41" s="58"/>
    </row>
    <row r="42" spans="1:20" s="36" customFormat="1">
      <c r="A42" s="30"/>
      <c r="B42" s="563"/>
      <c r="C42" s="564"/>
      <c r="D42" s="564"/>
      <c r="E42" s="564"/>
      <c r="F42" s="564"/>
      <c r="G42" s="564"/>
      <c r="H42" s="564"/>
      <c r="I42" s="564"/>
      <c r="J42" s="564"/>
      <c r="K42" s="56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4"/>
      <c r="I45" s="554"/>
      <c r="J45" s="555"/>
      <c r="K45" s="55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4"/>
      <c r="I46" s="554"/>
      <c r="J46" s="555"/>
      <c r="K46" s="55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4"/>
      <c r="I47" s="554"/>
      <c r="J47" s="555"/>
      <c r="K47" s="55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4"/>
      <c r="I52" s="554"/>
      <c r="J52" s="555"/>
      <c r="K52" s="55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SUMIFS(RAB!$F$14:$F$224,RAB!$C$14:$C$224,'REKAP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SUMIFS(RAB!$F$14:$F$224,RAB!$C$14:$C$224,'REKAP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SUMIFS(RAB!$F$14:$F$224,RAB!$C$14:$C$224,'REKAP TIANG'!C59)</f>
        <v>22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SUMIFS(RAB!$F$14:$F$224,RAB!$C$14:$C$224,'REKAP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SUMIFS(RAB!$F$14:$F$224,RAB!$C$14:$C$224,'REKAP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SUMIFS(RAB!$F$14:$F$224,RAB!$C$14:$C$224,'REKAP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SUMIFS(RAB!$F$14:$F$224,RAB!$C$14:$C$224,'REKAP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SUMIFS(RAB!$F$14:$F$224,RAB!$C$14:$C$224,'REKAP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SUMIFS(RAB!$F$14:$F$224,RAB!$C$14:$C$224,'REKAP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SUMIFS(RAB!$F$14:$F$224,RAB!$C$14:$C$224,'REKAP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SUMIFS(RAB!$F$14:$F$224,RAB!$C$14:$C$224,'REKAP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SUMIFS(RAB!$F$14:$F$224,RAB!$C$14:$C$224,'REKAP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SUMIFS(RAB!$F$14:$F$224,RAB!$C$14:$C$224,'REKAP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SUMIFS(RAB!$F$14:$F$224,RAB!$C$14:$C$224,'REKAP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SUMIFS(RAB!$F$14:$F$224,RAB!$C$14:$C$224,'REKAP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SUMIFS(RAB!$F$14:$F$224,RAB!$C$14:$C$224,'REKAP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SUMIFS(RAB!$F$14:$F$224,RAB!$C$14:$C$224,'REKAP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SUMIFS(RAB!$F$14:$F$224,RAB!$C$14:$C$224,'REKAP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SUMIFS(RAB!$F$14:$F$224,RAB!$C$14:$C$224,'REKAP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SUMIFS(RAB!$F$14:$F$224,RAB!$C$14:$C$224,'REKAP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1034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6" t="str">
        <f>RAB!G6</f>
        <v>AGR H MUSTAIN</v>
      </c>
      <c r="H6" s="566"/>
      <c r="I6" s="566"/>
      <c r="J6" s="566"/>
      <c r="K6" s="56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SARIMULYO KEC. KEBONAGUNG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50" t="s">
        <v>41</v>
      </c>
      <c r="H11" s="548" t="s">
        <v>3</v>
      </c>
      <c r="I11" s="548"/>
      <c r="J11" s="548"/>
      <c r="K11" s="553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49"/>
      <c r="E12" s="549"/>
      <c r="F12" s="549"/>
      <c r="G12" s="551"/>
      <c r="H12" s="557" t="s">
        <v>46</v>
      </c>
      <c r="I12" s="557" t="s">
        <v>5</v>
      </c>
      <c r="J12" s="549" t="s">
        <v>47</v>
      </c>
      <c r="K12" s="55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49"/>
      <c r="E13" s="549"/>
      <c r="F13" s="549"/>
      <c r="G13" s="552"/>
      <c r="H13" s="558"/>
      <c r="I13" s="558"/>
      <c r="J13" s="549"/>
      <c r="K13" s="55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9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6533100</v>
      </c>
      <c r="I20" s="42">
        <f t="shared" ca="1" si="2"/>
        <v>0</v>
      </c>
      <c r="J20" s="42">
        <f t="shared" ca="1" si="3"/>
        <v>0</v>
      </c>
      <c r="K20" s="43">
        <f t="shared" ca="1" si="0"/>
        <v>6533100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76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17928400</v>
      </c>
      <c r="I21" s="42">
        <f t="shared" ca="1" si="2"/>
        <v>0</v>
      </c>
      <c r="J21" s="42">
        <f t="shared" ca="1" si="3"/>
        <v>0</v>
      </c>
      <c r="K21" s="43">
        <f t="shared" ca="1" si="0"/>
        <v>17928400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24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10320000</v>
      </c>
      <c r="I22" s="42">
        <f t="shared" ca="1" si="2"/>
        <v>0</v>
      </c>
      <c r="J22" s="42">
        <f t="shared" ca="1" si="3"/>
        <v>0</v>
      </c>
      <c r="K22" s="43">
        <f t="shared" ca="1" si="0"/>
        <v>10320000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5729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81351800</v>
      </c>
      <c r="I23" s="42">
        <f t="shared" ca="1" si="2"/>
        <v>0</v>
      </c>
      <c r="J23" s="42">
        <f t="shared" ca="1" si="3"/>
        <v>0</v>
      </c>
      <c r="K23" s="43">
        <f t="shared" ca="1" si="0"/>
        <v>81351800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240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6</v>
      </c>
      <c r="G24" s="41">
        <f ca="1">IF(ISERROR(OFFSET('HARGA SATUAN'!$I$6,MATCH(C24,'HARGA SATUAN'!$C$7:$C$1492,0),0)),"",OFFSET('HARGA SATUAN'!$I$6,MATCH(C24,'HARGA SATUAN'!$C$7:$C$1492,0),0))</f>
        <v>36900</v>
      </c>
      <c r="H24" s="42">
        <f t="shared" ca="1" si="1"/>
        <v>221400</v>
      </c>
      <c r="I24" s="42">
        <f t="shared" ca="1" si="2"/>
        <v>0</v>
      </c>
      <c r="J24" s="42">
        <f t="shared" ca="1" si="3"/>
        <v>0</v>
      </c>
      <c r="K24" s="43">
        <f t="shared" ca="1" si="0"/>
        <v>221400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163500</v>
      </c>
      <c r="I25" s="42">
        <f t="shared" ca="1" si="2"/>
        <v>0</v>
      </c>
      <c r="J25" s="42">
        <f t="shared" ca="1" si="3"/>
        <v>0</v>
      </c>
      <c r="K25" s="43">
        <f t="shared" ca="1" si="0"/>
        <v>163500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Kabel NYY 4 x 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35</v>
      </c>
      <c r="G26" s="41">
        <f ca="1">IF(ISERROR(OFFSET('HARGA SATUAN'!$I$6,MATCH(C26,'HARGA SATUAN'!$C$7:$C$1492,0),0)),"",OFFSET('HARGA SATUAN'!$I$6,MATCH(C26,'HARGA SATUAN'!$C$7:$C$1492,0),0))</f>
        <v>421400</v>
      </c>
      <c r="H26" s="42">
        <f t="shared" ca="1" si="1"/>
        <v>14749000</v>
      </c>
      <c r="I26" s="42">
        <f t="shared" ca="1" si="2"/>
        <v>0</v>
      </c>
      <c r="J26" s="42">
        <f t="shared" ca="1" si="3"/>
        <v>0</v>
      </c>
      <c r="K26" s="43">
        <f t="shared" ca="1" si="0"/>
        <v>14749000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7" t="s">
        <v>1008</v>
      </c>
      <c r="D168" s="567"/>
      <c r="E168" s="567"/>
      <c r="F168" s="567"/>
      <c r="G168" s="77" t="s">
        <v>9</v>
      </c>
      <c r="H168" s="55">
        <f ca="1">SUM(H14:H167)</f>
        <v>206372650</v>
      </c>
      <c r="I168" s="55">
        <f ca="1">SUM(I14:I167)</f>
        <v>0</v>
      </c>
      <c r="J168" s="55">
        <f ca="1">SUM(J14:J167)</f>
        <v>0</v>
      </c>
      <c r="K168" s="55">
        <f ca="1">SUM(K14:K167)</f>
        <v>206372650</v>
      </c>
      <c r="L168" s="44"/>
      <c r="R168" s="99"/>
      <c r="S168" s="99"/>
      <c r="T168" s="99"/>
    </row>
    <row r="169" spans="1:20" s="36" customFormat="1">
      <c r="A169" s="30"/>
      <c r="B169" s="56"/>
      <c r="C169" s="568" t="s">
        <v>462</v>
      </c>
      <c r="D169" s="568"/>
      <c r="E169" s="568"/>
      <c r="F169" s="568"/>
      <c r="G169" s="59" t="s">
        <v>9</v>
      </c>
      <c r="H169" s="60">
        <f ca="1">H168*0.1</f>
        <v>20637265</v>
      </c>
      <c r="I169" s="60">
        <f ca="1">I168*0.1</f>
        <v>0</v>
      </c>
      <c r="J169" s="60">
        <f ca="1">J168*0.1</f>
        <v>0</v>
      </c>
      <c r="K169" s="60">
        <f ca="1">K168*0.1</f>
        <v>20637265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9" t="s">
        <v>463</v>
      </c>
      <c r="D170" s="559"/>
      <c r="E170" s="559"/>
      <c r="F170" s="559"/>
      <c r="G170" s="61" t="s">
        <v>9</v>
      </c>
      <c r="H170" s="78">
        <f ca="1">SUM(H168:H169)</f>
        <v>227009915</v>
      </c>
      <c r="I170" s="78">
        <f ca="1">SUM(I168:I169)</f>
        <v>0</v>
      </c>
      <c r="J170" s="61">
        <f ca="1">SUM(J168:J169)</f>
        <v>0</v>
      </c>
      <c r="K170" s="61">
        <f ca="1">SUM(K168:K169)</f>
        <v>227009915</v>
      </c>
      <c r="L170" s="44"/>
      <c r="R170" s="99"/>
      <c r="S170" s="99"/>
      <c r="T170" s="99"/>
    </row>
    <row r="171" spans="1:20" s="36" customFormat="1">
      <c r="A171" s="30"/>
      <c r="B171" s="560" t="e">
        <f ca="1">"Terbilang : ( "&amp;L172&amp;" Rupiah )"</f>
        <v>#NAME?</v>
      </c>
      <c r="C171" s="561"/>
      <c r="D171" s="561"/>
      <c r="E171" s="561"/>
      <c r="F171" s="561"/>
      <c r="G171" s="561"/>
      <c r="H171" s="561"/>
      <c r="I171" s="561"/>
      <c r="J171" s="561"/>
      <c r="K171" s="562"/>
      <c r="L171" s="44"/>
      <c r="R171" s="58"/>
      <c r="S171" s="58"/>
      <c r="T171" s="58"/>
    </row>
    <row r="172" spans="1:20" s="36" customFormat="1">
      <c r="A172" s="30"/>
      <c r="B172" s="563"/>
      <c r="C172" s="564"/>
      <c r="D172" s="564"/>
      <c r="E172" s="564"/>
      <c r="F172" s="564"/>
      <c r="G172" s="564"/>
      <c r="H172" s="564"/>
      <c r="I172" s="564"/>
      <c r="J172" s="564"/>
      <c r="K172" s="56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4"/>
      <c r="I175" s="554"/>
      <c r="J175" s="555"/>
      <c r="K175" s="55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4"/>
      <c r="I176" s="554"/>
      <c r="J176" s="555"/>
      <c r="K176" s="55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4"/>
      <c r="I177" s="554"/>
      <c r="J177" s="555"/>
      <c r="K177" s="55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4"/>
      <c r="I182" s="554"/>
      <c r="J182" s="555"/>
      <c r="K182" s="55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SUMIFS(RAB!$F$14:$F$224,RAB!$C$14:$C$224,C224)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SUMIFS(RAB!$F$14:$F$224,RAB!$C$14:$C$224,C225)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SUMIFS(RAB!$F$14:$F$224,RAB!$C$14:$C$224,C226)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SUMIFS(RAB!$F$14:$F$224,RAB!$C$14:$C$224,C227)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SUMIFS(RAB!$F$14:$F$224,RAB!$C$14:$C$224,C228)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SUMIFS(RAB!$F$14:$F$224,RAB!$C$14:$C$224,C229)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SUMIFS(RAB!$F$14:$F$224,RAB!$C$14:$C$224,C230)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SUMIFS(RAB!$F$14:$F$224,RAB!$C$14:$C$224,C231)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SUMIFS(RAB!$F$14:$F$224,RAB!$C$14:$C$224,C232)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SUMIFS(RAB!$F$14:$F$224,RAB!$C$14:$C$224,C233)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SUMIFS(RAB!$F$14:$F$224,RAB!$C$14:$C$224,C234)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SUMIFS(RAB!$F$14:$F$224,RAB!$C$14:$C$224,C235)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SUMIFS(RAB!$F$14:$F$224,RAB!$C$14:$C$224,C236)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SUMIFS(RAB!$F$14:$F$224,RAB!$C$14:$C$224,C237)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SUMIFS(RAB!$F$14:$F$224,RAB!$C$14:$C$224,C238)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SUMIFS(RAB!$F$14:$F$224,RAB!$C$14:$C$224,C239)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SUMIFS(RAB!$F$14:$F$224,RAB!$C$14:$C$224,C240)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SUMIFS(RAB!$F$14:$F$224,RAB!$C$14:$C$224,C241)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SUMIFS(RAB!$F$14:$F$224,RAB!$C$14:$C$224,C242)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SUMIFS(RAB!$F$14:$F$224,RAB!$C$14:$C$224,C243)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SUMIFS(RAB!$F$14:$F$224,RAB!$C$14:$C$224,C244)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SUMIFS(RAB!$F$14:$F$224,RAB!$C$14:$C$224,C245)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SUMIFS(RAB!$F$14:$F$224,RAB!$C$14:$C$224,C246)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SUMIFS(RAB!$F$14:$F$224,RAB!$C$14:$C$224,C247)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SUMIFS(RAB!$F$14:$F$224,RAB!$C$14:$C$224,C248)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SUMIFS(RAB!$F$14:$F$224,RAB!$C$14:$C$224,C249)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SUMIFS(RAB!$F$14:$F$224,RAB!$C$14:$C$224,C250)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SUMIFS(RAB!$F$14:$F$224,RAB!$C$14:$C$224,C251)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SUMIFS(RAB!$F$14:$F$224,RAB!$C$14:$C$224,C252)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SUMIFS(RAB!$F$14:$F$224,RAB!$C$14:$C$224,C253)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SUMIFS(RAB!$F$14:$F$224,RAB!$C$14:$C$224,C254)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SUMIFS(RAB!$F$14:$F$224,RAB!$C$14:$C$224,C255)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SUMIFS(RAB!$F$14:$F$224,RAB!$C$14:$C$224,C256)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SUMIFS(RAB!$F$14:$F$224,RAB!$C$14:$C$224,C257)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SUMIFS(RAB!$F$14:$F$224,RAB!$C$14:$C$224,C258)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SUMIFS(RAB!$F$14:$F$224,RAB!$C$14:$C$224,C259)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SUMIFS(RAB!$F$14:$F$224,RAB!$C$14:$C$224,C260)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SUMIFS(RAB!$F$14:$F$224,RAB!$C$14:$C$224,C261)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SUMIFS(RAB!$F$14:$F$224,RAB!$C$14:$C$224,C262)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SUMIFS(RAB!$F$14:$F$224,RAB!$C$14:$C$224,C263)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SUMIFS(RAB!$F$14:$F$224,RAB!$C$14:$C$224,C264)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SUMIFS(RAB!$F$14:$F$224,RAB!$C$14:$C$224,C265)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SUMIFS(RAB!$F$14:$F$224,RAB!$C$14:$C$224,C266)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SUMIFS(RAB!$F$14:$F$224,RAB!$C$14:$C$224,C267)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SUMIFS(RAB!$F$14:$F$224,RAB!$C$14:$C$224,C268)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SUMIFS(RAB!$F$14:$F$224,RAB!$C$14:$C$224,C269)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SUMIFS(RAB!$F$14:$F$224,RAB!$C$14:$C$224,C270)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SUMIFS(RAB!$F$14:$F$224,RAB!$C$14:$C$224,C271)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SUMIFS(RAB!$F$14:$F$224,RAB!$C$14:$C$224,C272)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SUMIFS(RAB!$F$14:$F$224,RAB!$C$14:$C$224,C273)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SUMIFS(RAB!$F$14:$F$224,RAB!$C$14:$C$224,C274)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SUMIFS(RAB!$F$14:$F$224,RAB!$C$14:$C$224,C275)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SUMIFS(RAB!$F$14:$F$224,RAB!$C$14:$C$224,C276)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SUMIFS(RAB!$F$14:$F$224,RAB!$C$14:$C$224,C277)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SUMIFS(RAB!$F$14:$F$224,RAB!$C$14:$C$224,C278)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SUMIFS(RAB!$F$14:$F$224,RAB!$C$14:$C$224,C279)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SUMIFS(RAB!$F$14:$F$224,RAB!$C$14:$C$224,C280)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SUMIFS(RAB!$F$14:$F$224,RAB!$C$14:$C$224,C281)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SUMIFS(RAB!$F$14:$F$224,RAB!$C$14:$C$224,C282)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SUMIFS(RAB!$F$14:$F$224,RAB!$C$14:$C$224,C283)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SUMIFS(RAB!$F$14:$F$224,RAB!$C$14:$C$224,C284)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SUMIFS(RAB!$F$14:$F$224,RAB!$C$14:$C$224,C285)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SUMIFS(RAB!$F$14:$F$224,RAB!$C$14:$C$224,C286)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SUMIFS(RAB!$F$14:$F$224,RAB!$C$14:$C$224,C287)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SUMIFS(RAB!$F$14:$F$224,RAB!$C$14:$C$224,C288)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SUMIFS(RAB!$F$14:$F$224,RAB!$C$14:$C$224,C289)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SUMIFS(RAB!$F$14:$F$224,RAB!$C$14:$C$224,C290)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SUMIFS(RAB!$F$14:$F$224,RAB!$C$14:$C$224,C291)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SUMIFS(RAB!$F$14:$F$224,RAB!$C$14:$C$224,C292)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SUMIFS(RAB!$F$14:$F$224,RAB!$C$14:$C$224,C293)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SUMIFS(RAB!$F$14:$F$224,RAB!$C$14:$C$224,C294)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SUMIFS(RAB!$F$14:$F$224,RAB!$C$14:$C$224,C295)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SUMIFS(RAB!$F$14:$F$224,RAB!$C$14:$C$224,C296)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SUMIFS(RAB!$F$14:$F$224,RAB!$C$14:$C$224,C297)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SUMIFS(RAB!$F$14:$F$224,RAB!$C$14:$C$224,C298)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SUMIFS(RAB!$F$14:$F$224,RAB!$C$14:$C$224,C299)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SUMIFS(RAB!$F$14:$F$224,RAB!$C$14:$C$224,C300)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SUMIFS(RAB!$F$14:$F$224,RAB!$C$14:$C$224,C301)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SUMIFS(RAB!$F$14:$F$224,RAB!$C$14:$C$224,C302)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SUMIFS(RAB!$F$14:$F$224,RAB!$C$14:$C$224,C303)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SUMIFS(RAB!$F$14:$F$224,RAB!$C$14:$C$224,C304)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SUMIFS(RAB!$F$14:$F$224,RAB!$C$14:$C$224,C305)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SUMIFS(RAB!$F$14:$F$224,RAB!$C$14:$C$224,C306)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SUMIFS(RAB!$F$14:$F$224,RAB!$C$14:$C$224,C307)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SUMIFS(RAB!$F$14:$F$224,RAB!$C$14:$C$224,C308)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SUMIFS(RAB!$F$14:$F$224,RAB!$C$14:$C$224,C309)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SUMIFS(RAB!$F$14:$F$224,RAB!$C$14:$C$224,C310)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SUMIFS(RAB!$F$14:$F$224,RAB!$C$14:$C$224,C311)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SUMIFS(RAB!$F$14:$F$224,RAB!$C$14:$C$224,C312)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SUMIFS(RAB!$F$14:$F$224,RAB!$C$14:$C$224,C313)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SUMIFS(RAB!$F$14:$F$224,RAB!$C$14:$C$224,C314)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SUMIFS(RAB!$F$14:$F$224,RAB!$C$14:$C$224,C315)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SUMIFS(RAB!$F$14:$F$224,RAB!$C$14:$C$224,C316)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SUMIFS(RAB!$F$14:$F$224,RAB!$C$14:$C$224,C317)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SUMIFS(RAB!$F$14:$F$224,RAB!$C$14:$C$224,C318)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SUMIFS(RAB!$F$14:$F$224,RAB!$C$14:$C$224,C319)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SUMIFS(RAB!$F$14:$F$224,RAB!$C$14:$C$224,C320)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SUMIFS(RAB!$F$14:$F$224,RAB!$C$14:$C$224,C321)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SUMIFS(RAB!$F$14:$F$224,RAB!$C$14:$C$224,C322)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SUMIFS(RAB!$F$14:$F$224,RAB!$C$14:$C$224,C323)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SUMIFS(RAB!$F$14:$F$224,RAB!$C$14:$C$224,C324)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SUMIFS(RAB!$F$14:$F$224,RAB!$C$14:$C$224,C325)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SUMIFS(RAB!$F$14:$F$224,RAB!$C$14:$C$224,C326)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SUMIFS(RAB!$F$14:$F$224,RAB!$C$14:$C$224,C327)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SUMIFS(RAB!$F$14:$F$224,RAB!$C$14:$C$224,C328)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SUMIFS(RAB!$F$14:$F$224,RAB!$C$14:$C$224,C329)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SUMIFS(RAB!$F$14:$F$224,RAB!$C$14:$C$224,C330)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SUMIFS(RAB!$F$14:$F$224,RAB!$C$14:$C$224,C331)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SUMIFS(RAB!$F$14:$F$224,RAB!$C$14:$C$224,C332)</f>
        <v>9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SUMIFS(RAB!$F$14:$F$224,RAB!$C$14:$C$224,C333)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SUMIFS(RAB!$F$14:$F$224,RAB!$C$14:$C$224,C334)</f>
        <v>76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SUMIFS(RAB!$F$14:$F$224,RAB!$C$14:$C$224,C335)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SUMIFS(RAB!$F$14:$F$224,RAB!$C$14:$C$224,C336)</f>
        <v>24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SUMIFS(RAB!$F$14:$F$224,RAB!$C$14:$C$224,C337)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SUMIFS(RAB!$F$14:$F$224,RAB!$C$14:$C$224,C338)</f>
        <v>5729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SUMIFS(RAB!$F$14:$F$224,RAB!$C$14:$C$224,C339)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SUMIFS(RAB!$F$14:$F$224,RAB!$C$14:$C$224,C340)</f>
        <v>6</v>
      </c>
      <c r="E340" s="24">
        <f t="shared" ca="1" si="22"/>
        <v>1</v>
      </c>
      <c r="F340" s="24">
        <f ca="1">IF(D340=0,0,SUM($E$223:E340))</f>
        <v>9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SUMIFS(RAB!$F$14:$F$224,RAB!$C$14:$C$224,C341)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SUMIFS(RAB!$F$14:$F$224,RAB!$C$14:$C$224,C342)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SUMIFS(RAB!$F$14:$F$224,RAB!$C$14:$C$224,C343)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SUMIFS(RAB!$F$14:$F$224,RAB!$C$14:$C$224,C344)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SUMIFS(RAB!$F$14:$F$224,RAB!$C$14:$C$224,C345)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SUMIFS(RAB!$F$14:$F$224,RAB!$C$14:$C$224,C346)</f>
        <v>3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SUMIFS(RAB!$F$14:$F$224,RAB!$C$14:$C$224,C347)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SUMIFS(RAB!$F$14:$F$224,RAB!$C$14:$C$224,C348)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SUMIFS(RAB!$F$14:$F$224,RAB!$C$14:$C$224,C349)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SUMIFS(RAB!$F$14:$F$224,RAB!$C$14:$C$224,C350)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SUMIFS(RAB!$F$14:$F$224,RAB!$C$14:$C$224,C351)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SUMIFS(RAB!$F$14:$F$224,RAB!$C$14:$C$224,C352)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SUMIFS(RAB!$F$14:$F$224,RAB!$C$14:$C$224,C353)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SUMIFS(RAB!$F$14:$F$224,RAB!$C$14:$C$224,C354)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SUMIFS(RAB!$F$14:$F$224,RAB!$C$14:$C$224,C355)</f>
        <v>35</v>
      </c>
      <c r="E355" s="24">
        <f t="shared" ca="1" si="23"/>
        <v>1</v>
      </c>
      <c r="F355" s="24">
        <f ca="1">IF(D355=0,0,SUM($E$223:E355))</f>
        <v>11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SUMIFS(RAB!$F$14:$F$224,RAB!$C$14:$C$224,C356)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SUMIFS(RAB!$F$14:$F$224,RAB!$C$14:$C$224,C357)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SUMIFS(RAB!$F$14:$F$224,RAB!$C$14:$C$224,C358)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SUMIFS(RAB!$F$14:$F$224,RAB!$C$14:$C$224,C359)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SUMIFS(RAB!$F$14:$F$224,RAB!$C$14:$C$224,C360)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SUMIFS(RAB!$F$14:$F$224,RAB!$C$14:$C$224,C361)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SUMIFS(RAB!$F$14:$F$224,RAB!$C$14:$C$224,C362)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SUMIFS(RAB!$F$14:$F$224,RAB!$C$14:$C$224,C363)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SUMIFS(RAB!$F$14:$F$224,RAB!$C$14:$C$224,C364)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SUMIFS(RAB!$F$14:$F$224,RAB!$C$14:$C$224,C365)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SUMIFS(RAB!$F$14:$F$224,RAB!$C$14:$C$224,C366)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SUMIFS(RAB!$F$14:$F$224,RAB!$C$14:$C$224,C367)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SUMIFS(RAB!$F$14:$F$224,RAB!$C$14:$C$224,C368)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SUMIFS(RAB!$F$14:$F$224,RAB!$C$14:$C$224,C369)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SUMIFS(RAB!$F$14:$F$224,RAB!$C$14:$C$224,C370)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SUMIFS(RAB!$F$14:$F$224,RAB!$C$14:$C$224,C371)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SUMIFS(RAB!$F$14:$F$224,RAB!$C$14:$C$224,C372)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SUMIFS(RAB!$F$14:$F$224,RAB!$C$14:$C$224,C373)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7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0" t="s">
        <v>41</v>
      </c>
      <c r="C2" s="57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1" t="s">
        <v>23</v>
      </c>
      <c r="C4" s="572" t="s">
        <v>1012</v>
      </c>
      <c r="D4" s="572" t="s">
        <v>42</v>
      </c>
      <c r="E4" s="571" t="s">
        <v>43</v>
      </c>
      <c r="F4" s="108" t="s">
        <v>1612</v>
      </c>
      <c r="G4" s="108" t="s">
        <v>1611</v>
      </c>
      <c r="H4" s="56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1"/>
      <c r="C5" s="572"/>
      <c r="D5" s="572"/>
      <c r="E5" s="571"/>
      <c r="F5" s="93"/>
      <c r="G5" s="93"/>
      <c r="H5" s="569"/>
      <c r="I5" s="193" t="s">
        <v>1611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1555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1556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1557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1558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1559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1560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1561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1562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1563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1564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1565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1566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1567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1568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1569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1570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1571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1572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1573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1574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1575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1576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1577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1578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1579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1580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1581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1582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1583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1584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1585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1586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1587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1588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1589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1590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1592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1593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1594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1595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1596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1597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1598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1599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1600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1601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1602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1603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1604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1605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1606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1607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1608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1609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1610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1">
        <v>2740</v>
      </c>
      <c r="G1433" s="49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70" zoomScaleNormal="70" zoomScaleSheetLayoutView="85" workbookViewId="0">
      <selection activeCell="O24" sqref="O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604" t="s">
        <v>1454</v>
      </c>
      <c r="C2" s="604"/>
      <c r="D2" s="604"/>
      <c r="E2" s="60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9" t="s">
        <v>1535</v>
      </c>
      <c r="C4" s="610"/>
      <c r="D4" s="610"/>
      <c r="E4" s="611"/>
      <c r="F4" s="446"/>
      <c r="G4" s="446"/>
      <c r="H4" s="447"/>
      <c r="I4" s="573" t="s">
        <v>1536</v>
      </c>
      <c r="J4" s="574"/>
      <c r="K4" s="574"/>
      <c r="L4" s="575"/>
    </row>
    <row r="5" spans="1:12" ht="34.5" customHeight="1">
      <c r="A5" s="204"/>
      <c r="B5" s="449" t="s">
        <v>1379</v>
      </c>
      <c r="C5" s="277" t="s">
        <v>9</v>
      </c>
      <c r="D5" s="605" t="str">
        <f>DATA!D14</f>
        <v>AGR H MUSTAIN</v>
      </c>
      <c r="E5" s="606"/>
      <c r="F5" s="208"/>
      <c r="G5" s="208"/>
      <c r="I5" s="450" t="s">
        <v>1379</v>
      </c>
      <c r="J5" s="277" t="s">
        <v>9</v>
      </c>
      <c r="K5" s="576" t="str">
        <f>D5</f>
        <v>AGR H MUSTAIN</v>
      </c>
      <c r="L5" s="577"/>
    </row>
    <row r="6" spans="1:12" ht="31.5" customHeight="1">
      <c r="A6" s="204"/>
      <c r="B6" s="449" t="s">
        <v>1532</v>
      </c>
      <c r="C6" s="277" t="s">
        <v>9</v>
      </c>
      <c r="D6" s="614">
        <f>DATA!D17*1000</f>
        <v>0</v>
      </c>
      <c r="E6" s="615"/>
      <c r="F6" s="208"/>
      <c r="G6" s="208"/>
      <c r="I6" s="450" t="s">
        <v>1533</v>
      </c>
      <c r="J6" s="277" t="s">
        <v>9</v>
      </c>
      <c r="K6" s="578">
        <f>DATA!D20*1000</f>
        <v>105000</v>
      </c>
      <c r="L6" s="579"/>
    </row>
    <row r="7" spans="1:12" ht="30.75" customHeight="1">
      <c r="A7" s="204"/>
      <c r="B7" s="449" t="s">
        <v>1441</v>
      </c>
      <c r="C7" s="277" t="s">
        <v>9</v>
      </c>
      <c r="D7" s="612">
        <f>DATA!D18</f>
        <v>1</v>
      </c>
      <c r="E7" s="613"/>
      <c r="F7" s="448" t="s">
        <v>1453</v>
      </c>
      <c r="I7" s="450" t="s">
        <v>1441</v>
      </c>
      <c r="J7" s="277" t="s">
        <v>9</v>
      </c>
      <c r="K7" s="580">
        <f>DATA!D21</f>
        <v>3</v>
      </c>
      <c r="L7" s="581"/>
    </row>
    <row r="8" spans="1:12" ht="51" customHeight="1">
      <c r="A8" s="204"/>
      <c r="B8" s="449" t="s">
        <v>1442</v>
      </c>
      <c r="C8" s="277" t="s">
        <v>9</v>
      </c>
      <c r="D8" s="612">
        <f>DATA!D19</f>
        <v>220</v>
      </c>
      <c r="E8" s="613"/>
      <c r="F8" s="448" t="s">
        <v>1453</v>
      </c>
      <c r="G8" s="443">
        <v>220</v>
      </c>
      <c r="I8" s="450" t="s">
        <v>1442</v>
      </c>
      <c r="J8" s="277" t="s">
        <v>9</v>
      </c>
      <c r="K8" s="580">
        <f>DATA!D22</f>
        <v>380</v>
      </c>
      <c r="L8" s="581"/>
    </row>
    <row r="9" spans="1:12" ht="30" customHeight="1" thickBot="1">
      <c r="A9" s="204"/>
      <c r="B9" s="455" t="s">
        <v>1544</v>
      </c>
      <c r="C9" s="445" t="s">
        <v>9</v>
      </c>
      <c r="D9" s="607">
        <f>IF(D7=1,D6/(380/3^0.5),(D6/(380*3^0.5)))</f>
        <v>0</v>
      </c>
      <c r="E9" s="608"/>
      <c r="F9" s="207"/>
      <c r="G9" s="444">
        <v>380</v>
      </c>
      <c r="I9" s="456" t="s">
        <v>1544</v>
      </c>
      <c r="J9" s="445" t="s">
        <v>9</v>
      </c>
      <c r="K9" s="584">
        <f>IF(K7=1,K6/(380/3^0.5),(K6/(380*3^0.5)))</f>
        <v>159.53099543397556</v>
      </c>
      <c r="L9" s="585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616" t="s">
        <v>1620</v>
      </c>
      <c r="E12" s="617"/>
      <c r="F12" s="208"/>
      <c r="G12" s="208"/>
      <c r="I12" s="472" t="s">
        <v>1537</v>
      </c>
      <c r="J12" s="473" t="s">
        <v>9</v>
      </c>
      <c r="K12" s="616" t="s">
        <v>1620</v>
      </c>
      <c r="L12" s="617"/>
    </row>
    <row r="13" spans="1:12" ht="31.5" customHeight="1">
      <c r="A13" s="204"/>
      <c r="B13" s="480" t="s">
        <v>1380</v>
      </c>
      <c r="C13" s="460" t="s">
        <v>9</v>
      </c>
      <c r="D13" s="582" t="s">
        <v>1621</v>
      </c>
      <c r="E13" s="583"/>
      <c r="F13" s="208"/>
      <c r="G13" s="208"/>
      <c r="I13" s="474" t="s">
        <v>1380</v>
      </c>
      <c r="J13" s="460" t="s">
        <v>9</v>
      </c>
      <c r="K13" s="582" t="s">
        <v>1621</v>
      </c>
      <c r="L13" s="583"/>
    </row>
    <row r="14" spans="1:12" ht="30.75" customHeight="1">
      <c r="A14" s="204"/>
      <c r="B14" s="480" t="s">
        <v>1538</v>
      </c>
      <c r="C14" s="460" t="s">
        <v>9</v>
      </c>
      <c r="D14" s="586"/>
      <c r="E14" s="587"/>
      <c r="F14" s="448" t="s">
        <v>1453</v>
      </c>
      <c r="G14" s="452">
        <v>50</v>
      </c>
      <c r="I14" s="474" t="s">
        <v>1538</v>
      </c>
      <c r="J14" s="460" t="s">
        <v>9</v>
      </c>
      <c r="K14" s="588">
        <v>50</v>
      </c>
      <c r="L14" s="589"/>
    </row>
    <row r="15" spans="1:12" ht="57" customHeight="1">
      <c r="A15" s="204"/>
      <c r="B15" s="480" t="s">
        <v>1441</v>
      </c>
      <c r="C15" s="460" t="s">
        <v>9</v>
      </c>
      <c r="D15" s="466"/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1</v>
      </c>
      <c r="L15" s="475"/>
    </row>
    <row r="16" spans="1:12" ht="44.25" customHeight="1">
      <c r="A16" s="204"/>
      <c r="B16" s="480" t="s">
        <v>1548</v>
      </c>
      <c r="C16" s="460"/>
      <c r="D16" s="590">
        <f>50</f>
        <v>50</v>
      </c>
      <c r="E16" s="591"/>
      <c r="F16" s="448"/>
      <c r="G16" s="452">
        <v>160</v>
      </c>
      <c r="I16" s="474" t="s">
        <v>1540</v>
      </c>
      <c r="J16" s="460" t="s">
        <v>9</v>
      </c>
      <c r="K16" s="594">
        <f>K9</f>
        <v>159.53099543397556</v>
      </c>
      <c r="L16" s="595"/>
    </row>
    <row r="17" spans="1:12" ht="34.5" customHeight="1">
      <c r="A17" s="204"/>
      <c r="B17" s="480" t="s">
        <v>1541</v>
      </c>
      <c r="C17" s="460" t="s">
        <v>9</v>
      </c>
      <c r="D17" s="592">
        <f>IF(D15=1,D14/(20/3^0.5),(D14/(20*3^0.5)))</f>
        <v>0</v>
      </c>
      <c r="E17" s="593"/>
      <c r="F17" s="448" t="s">
        <v>1453</v>
      </c>
      <c r="G17" s="453">
        <v>200</v>
      </c>
      <c r="I17" s="474" t="s">
        <v>1541</v>
      </c>
      <c r="J17" s="460" t="s">
        <v>9</v>
      </c>
      <c r="K17" s="598">
        <f>IF(K15=1,K14/(20/3^0.5),(K14/(20*3^0.5)))</f>
        <v>4.3301270189221928</v>
      </c>
      <c r="L17" s="599"/>
    </row>
    <row r="18" spans="1:12" ht="34.5" customHeight="1">
      <c r="A18" s="204"/>
      <c r="B18" s="480" t="s">
        <v>1542</v>
      </c>
      <c r="C18" s="460" t="s">
        <v>9</v>
      </c>
      <c r="D18" s="592">
        <f>IF(D15=1,D14/(380/3^0.5),(D14/(380*3^0.5)))*1000</f>
        <v>0</v>
      </c>
      <c r="E18" s="593"/>
      <c r="F18" s="448" t="s">
        <v>1453</v>
      </c>
      <c r="G18" s="453">
        <v>250</v>
      </c>
      <c r="I18" s="474" t="s">
        <v>1542</v>
      </c>
      <c r="J18" s="460" t="s">
        <v>9</v>
      </c>
      <c r="K18" s="598">
        <f>IF(K15=1,K14/(380/3^0.5),(K14/(380*3^0.5)))*1000</f>
        <v>227.90142204853646</v>
      </c>
      <c r="L18" s="599"/>
    </row>
    <row r="19" spans="1:12" ht="30" customHeight="1">
      <c r="A19" s="204"/>
      <c r="B19" s="481" t="s">
        <v>1534</v>
      </c>
      <c r="C19" s="459" t="s">
        <v>9</v>
      </c>
      <c r="D19" s="592">
        <f>IF(D15=1,D14/(380/3^0.5),(D14/(380*3^0.5)))</f>
        <v>0</v>
      </c>
      <c r="E19" s="593"/>
      <c r="F19" s="207"/>
      <c r="G19" s="444"/>
      <c r="I19" s="476" t="s">
        <v>1534</v>
      </c>
      <c r="J19" s="459" t="s">
        <v>9</v>
      </c>
      <c r="K19" s="598">
        <f>IF(K15=1,K14/(380/3^0.5),(K14/(380*3^0.5)))</f>
        <v>0.22790142204853647</v>
      </c>
      <c r="L19" s="599"/>
    </row>
    <row r="20" spans="1:12" ht="30" customHeight="1" thickBot="1">
      <c r="A20" s="204"/>
      <c r="B20" s="482" t="s">
        <v>1543</v>
      </c>
      <c r="C20" s="478" t="s">
        <v>9</v>
      </c>
      <c r="D20" s="618" t="e">
        <f>D16/D18</f>
        <v>#DIV/0!</v>
      </c>
      <c r="E20" s="619"/>
      <c r="F20" s="207"/>
      <c r="G20" s="444"/>
      <c r="I20" s="477" t="s">
        <v>1534</v>
      </c>
      <c r="J20" s="478" t="s">
        <v>9</v>
      </c>
      <c r="K20" s="596">
        <f>K16/K18</f>
        <v>0.70000000000000018</v>
      </c>
      <c r="L20" s="597"/>
    </row>
    <row r="21" spans="1:12" ht="9.75" customHeight="1">
      <c r="A21" s="204"/>
      <c r="B21" s="467" t="s">
        <v>1543</v>
      </c>
      <c r="C21" s="468" t="s">
        <v>9</v>
      </c>
      <c r="D21" s="603">
        <v>1</v>
      </c>
      <c r="E21" s="603"/>
      <c r="F21" s="469"/>
      <c r="G21" s="470"/>
      <c r="H21" s="471"/>
      <c r="I21" s="467" t="s">
        <v>1534</v>
      </c>
      <c r="J21" s="468" t="s">
        <v>9</v>
      </c>
      <c r="K21" s="603">
        <v>1</v>
      </c>
      <c r="L21" s="603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600"/>
      <c r="C24" s="601"/>
      <c r="D24" s="601"/>
      <c r="E24" s="602"/>
      <c r="I24" s="600"/>
      <c r="J24" s="601"/>
      <c r="K24" s="601"/>
      <c r="L24" s="602"/>
    </row>
    <row r="26" spans="1:12">
      <c r="D26" s="462"/>
    </row>
    <row r="27" spans="1:12">
      <c r="D27" s="46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11" zoomScale="85" zoomScaleNormal="85" workbookViewId="0">
      <selection activeCell="M22" sqref="M22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20"/>
      <c r="C1" s="620"/>
      <c r="D1" s="62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4">
        <v>1084.1250458865841</v>
      </c>
      <c r="F5" s="489" t="s">
        <v>1614</v>
      </c>
      <c r="K5" s="48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RAB!K230</f>
        <v>458414196.65065002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9168283.9330130015</v>
      </c>
    </row>
    <row r="12" spans="2:11" ht="9" customHeight="1">
      <c r="B12" s="621"/>
      <c r="C12" s="621"/>
      <c r="D12" s="621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1648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1622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105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I16" sqref="I16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8" t="s">
        <v>1357</v>
      </c>
      <c r="C3" s="628"/>
      <c r="D3" s="628"/>
      <c r="E3" s="628"/>
      <c r="F3" s="305" t="str">
        <f>DATA!D14</f>
        <v>AGR H MUSTAIN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2" t="s">
        <v>1349</v>
      </c>
      <c r="C5" s="622" t="s">
        <v>1358</v>
      </c>
      <c r="D5" s="627" t="s">
        <v>1359</v>
      </c>
      <c r="E5" s="627" t="s">
        <v>1360</v>
      </c>
      <c r="F5" s="622" t="s">
        <v>1361</v>
      </c>
      <c r="G5" s="622"/>
      <c r="H5" s="622"/>
      <c r="I5" s="622"/>
      <c r="J5" s="622"/>
      <c r="K5" s="622" t="s">
        <v>1362</v>
      </c>
      <c r="L5" s="622"/>
      <c r="M5" s="307"/>
      <c r="N5" s="625" t="s">
        <v>1363</v>
      </c>
      <c r="O5" s="627" t="s">
        <v>1364</v>
      </c>
      <c r="P5" s="627" t="s">
        <v>1365</v>
      </c>
      <c r="Q5" s="627" t="s">
        <v>1366</v>
      </c>
      <c r="R5" s="308"/>
      <c r="S5" s="309"/>
      <c r="T5" s="623" t="s">
        <v>1367</v>
      </c>
      <c r="U5" s="310"/>
    </row>
    <row r="6" spans="1:21" ht="20.100000000000001" customHeight="1">
      <c r="B6" s="622"/>
      <c r="C6" s="622"/>
      <c r="D6" s="622"/>
      <c r="E6" s="62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6"/>
      <c r="O6" s="622"/>
      <c r="P6" s="622"/>
      <c r="Q6" s="622"/>
      <c r="R6" s="308"/>
      <c r="S6" s="309"/>
      <c r="T6" s="622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458.41419665065001</v>
      </c>
      <c r="G7" s="318">
        <f ca="1">DATA!$D$11/1000000</f>
        <v>9.1682839330130008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504.82868066014254</v>
      </c>
      <c r="K7" s="319">
        <f>DATA!D9/1000000</f>
        <v>81.375</v>
      </c>
      <c r="L7" s="316">
        <f>((D7*DATA!$D$23)/1000000)+((E7*DATA!$D$24)/1000000)</f>
        <v>48.541919999999998</v>
      </c>
      <c r="M7" s="316">
        <f>K7+L7</f>
        <v>129.91692</v>
      </c>
      <c r="N7" s="316">
        <f ca="1">M7-J7</f>
        <v>-374.91176066014253</v>
      </c>
      <c r="O7" s="314">
        <v>1</v>
      </c>
      <c r="P7" s="316">
        <f ca="1">O7*N7</f>
        <v>-374.91176066014253</v>
      </c>
      <c r="Q7" s="316">
        <f ca="1">P7</f>
        <v>-374.91176066014253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9.1682839330130008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65.037584047732224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7.7752959522677685</v>
      </c>
      <c r="O8" s="315">
        <f>1/(1+'[93]Asumsi I'!$C$3)^(KKF!A8)</f>
        <v>0.89285714285714279</v>
      </c>
      <c r="P8" s="316">
        <f ca="1">O8*N8</f>
        <v>6.9422285288105074</v>
      </c>
      <c r="Q8" s="316">
        <f ca="1">Q7+P8</f>
        <v>-367.96953213133202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9.1682839330130008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65.037584047732224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7.7752959522677685</v>
      </c>
      <c r="O9" s="322">
        <f>1/(1+'[93]Asumsi I'!$C$3)^(KKF!A9)</f>
        <v>0.79719387755102034</v>
      </c>
      <c r="P9" s="316">
        <f t="shared" ref="P9:P32" ca="1" si="7">O9*N9</f>
        <v>6.1984183292950954</v>
      </c>
      <c r="Q9" s="316">
        <f ca="1">Q8+P9</f>
        <v>-361.77111380203689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9.1682839330130008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65.037584047732224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7.7752959522677685</v>
      </c>
      <c r="O10" s="315">
        <f>1/(1+'[93]Asumsi I'!$C$3)^(KKF!A10)</f>
        <v>0.71178024781341087</v>
      </c>
      <c r="P10" s="316">
        <f t="shared" ca="1" si="7"/>
        <v>5.5343020797277624</v>
      </c>
      <c r="Q10" s="316">
        <f t="shared" ref="Q10:Q30" ca="1" si="9">Q9+P10</f>
        <v>-356.23681172230914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9.1682839330130008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65.037584047732224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7.7752959522677685</v>
      </c>
      <c r="O11" s="315">
        <f>1/(1+'[93]Asumsi I'!$C$3)^(KKF!A11)</f>
        <v>0.63551807840483121</v>
      </c>
      <c r="P11" s="316">
        <f t="shared" ca="1" si="7"/>
        <v>4.9413411426140748</v>
      </c>
      <c r="Q11" s="316">
        <f t="shared" ca="1" si="9"/>
        <v>-351.29547057969506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9.1682839330130008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65.037584047732224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7.7752959522677685</v>
      </c>
      <c r="O12" s="315">
        <f>1/(1+'[93]Asumsi I'!$C$3)^(KKF!A12)</f>
        <v>0.56742685571859919</v>
      </c>
      <c r="P12" s="316">
        <f t="shared" ca="1" si="7"/>
        <v>4.4119117344768517</v>
      </c>
      <c r="Q12" s="316">
        <f t="shared" ca="1" si="9"/>
        <v>-346.8835588452182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9.1682839330130008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65.037584047732224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7.7752959522677685</v>
      </c>
      <c r="O13" s="315">
        <f>1/(1+'[93]Asumsi I'!$C$3)^(KKF!A13)</f>
        <v>0.50663112117732068</v>
      </c>
      <c r="P13" s="316">
        <f t="shared" ca="1" si="7"/>
        <v>3.9392069057829029</v>
      </c>
      <c r="Q13" s="316">
        <f t="shared" ca="1" si="9"/>
        <v>-342.94435193943531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9.1682839330130008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65.037584047732224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7.7752959522677685</v>
      </c>
      <c r="O14" s="315">
        <f>1/(1+'[93]Asumsi I'!$C$3)^(KKF!A14)</f>
        <v>0.45234921533689343</v>
      </c>
      <c r="P14" s="316">
        <f t="shared" ca="1" si="7"/>
        <v>3.5171490230204485</v>
      </c>
      <c r="Q14" s="316">
        <f t="shared" ca="1" si="9"/>
        <v>-339.42720291641484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9.1682839330130008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65.037584047732224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7.7752959522677685</v>
      </c>
      <c r="O15" s="315">
        <f>1/(1+'[93]Asumsi I'!$C$3)^(KKF!A15)</f>
        <v>0.4038832279793691</v>
      </c>
      <c r="P15" s="316">
        <f t="shared" ca="1" si="7"/>
        <v>3.1403116276968288</v>
      </c>
      <c r="Q15" s="316">
        <f t="shared" ca="1" si="9"/>
        <v>-336.28689128871804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9.1682839330130008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65.037584047732224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7.7752959522677685</v>
      </c>
      <c r="O16" s="315">
        <f>1/(1+'[93]Asumsi I'!$C$3)^(KKF!A16)</f>
        <v>0.36061002498157957</v>
      </c>
      <c r="P16" s="316">
        <f t="shared" ca="1" si="7"/>
        <v>2.8038496675864546</v>
      </c>
      <c r="Q16" s="316">
        <f t="shared" ca="1" si="9"/>
        <v>-333.48304162113158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9.1682839330130008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65.037584047732224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7.7752959522677685</v>
      </c>
      <c r="O17" s="315">
        <f>1/(1+'[93]Asumsi I'!$C$3)^(KKF!A17)</f>
        <v>0.32197323659069599</v>
      </c>
      <c r="P17" s="316">
        <f t="shared" ca="1" si="7"/>
        <v>2.503437203202191</v>
      </c>
      <c r="Q17" s="316">
        <f t="shared" ca="1" si="9"/>
        <v>-330.97960441792941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9.1682839330130008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65.037584047732224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7.7752959522677685</v>
      </c>
      <c r="O18" s="315">
        <f>1/(1+'[93]Asumsi I'!$C$3)^(KKF!A18)</f>
        <v>0.28747610409883567</v>
      </c>
      <c r="P18" s="316">
        <f t="shared" ca="1" si="7"/>
        <v>2.2352117885733844</v>
      </c>
      <c r="Q18" s="316">
        <f t="shared" ca="1" si="9"/>
        <v>-328.74439262935601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9.1682839330130008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65.037584047732224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7.7752959522677685</v>
      </c>
      <c r="O19" s="315">
        <f>1/(1+'[93]Asumsi I'!$C$3)^(KKF!A19)</f>
        <v>0.25667509294538904</v>
      </c>
      <c r="P19" s="316">
        <f t="shared" ca="1" si="7"/>
        <v>1.9957248112262367</v>
      </c>
      <c r="Q19" s="316">
        <f t="shared" ca="1" si="9"/>
        <v>-326.74866781812977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9.1682839330130008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65.037584047732224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7.7752959522677685</v>
      </c>
      <c r="O20" s="315">
        <f>1/(1+'[93]Asumsi I'!$C$3)^(KKF!A20)</f>
        <v>0.22917419012981158</v>
      </c>
      <c r="P20" s="316">
        <f t="shared" ca="1" si="7"/>
        <v>1.781897152880568</v>
      </c>
      <c r="Q20" s="316">
        <f t="shared" ca="1" si="9"/>
        <v>-324.96677066524921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9.1682839330130008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65.037584047732224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7.7752959522677685</v>
      </c>
      <c r="O21" s="315">
        <f>1/(1+'[93]Asumsi I'!$C$3)^(KKF!A21)</f>
        <v>0.20461981261590317</v>
      </c>
      <c r="P21" s="316">
        <f t="shared" ca="1" si="7"/>
        <v>1.5909796007862211</v>
      </c>
      <c r="Q21" s="316">
        <f t="shared" ca="1" si="9"/>
        <v>-323.37579106446299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9.1682839330130008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65.037584047732224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7.7752959522677685</v>
      </c>
      <c r="O22" s="315">
        <f>1/(1+'[93]Asumsi I'!$C$3)^(KKF!A22)</f>
        <v>0.18269626126419927</v>
      </c>
      <c r="P22" s="316">
        <f t="shared" ca="1" si="7"/>
        <v>1.4205175007019832</v>
      </c>
      <c r="Q22" s="316">
        <f t="shared" ca="1" si="9"/>
        <v>-321.95527356376101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9.1682839330130008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65.037584047732224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7.7752959522677685</v>
      </c>
      <c r="O23" s="315">
        <f>1/(1+'[93]Asumsi I'!$C$3)^(KKF!A23)</f>
        <v>0.16312166184303503</v>
      </c>
      <c r="P23" s="316">
        <f t="shared" ca="1" si="7"/>
        <v>1.268319197055342</v>
      </c>
      <c r="Q23" s="316">
        <f t="shared" ca="1" si="9"/>
        <v>-320.68695436670566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9.1682839330130008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65.037584047732224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7.7752959522677685</v>
      </c>
      <c r="O24" s="315">
        <f>1/(1+'[93]Asumsi I'!$C$3)^(KKF!A24)</f>
        <v>0.14564434093128129</v>
      </c>
      <c r="P24" s="316">
        <f t="shared" ca="1" si="7"/>
        <v>1.1324278545136983</v>
      </c>
      <c r="Q24" s="316">
        <f t="shared" ca="1" si="9"/>
        <v>-319.55452651219196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9.1682839330130008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65.037584047732224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7.7752959522677685</v>
      </c>
      <c r="O25" s="315">
        <f>1/(1+'[93]Asumsi I'!$C$3)^(KKF!A25)</f>
        <v>0.13003959011721541</v>
      </c>
      <c r="P25" s="316">
        <f t="shared" ca="1" si="7"/>
        <v>1.0110962986729448</v>
      </c>
      <c r="Q25" s="316">
        <f t="shared" ca="1" si="9"/>
        <v>-318.543430213519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9.1682839330130008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65.037584047732224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7.7752959522677685</v>
      </c>
      <c r="O26" s="315">
        <f>1/(1+'[93]Asumsi I'!$C$3)^(KKF!A26)</f>
        <v>0.1161067768903709</v>
      </c>
      <c r="P26" s="316">
        <f t="shared" ca="1" si="7"/>
        <v>0.90276455238655773</v>
      </c>
      <c r="Q26" s="316">
        <f t="shared" ca="1" si="9"/>
        <v>-317.64066566113246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9.1682839330130008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65.037584047732224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7.7752959522677685</v>
      </c>
      <c r="O27" s="315">
        <f>1/(1+'[93]Asumsi I'!$C$3)^(KKF!A27)</f>
        <v>0.1036667650806883</v>
      </c>
      <c r="P27" s="316">
        <f t="shared" ca="1" si="7"/>
        <v>0.80603977891656942</v>
      </c>
      <c r="Q27" s="316">
        <f t="shared" ca="1" si="9"/>
        <v>-316.8346258822159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9.1682839330130008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65.037584047732224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7.7752959522677685</v>
      </c>
      <c r="O28" s="315">
        <f>1/(1+'[93]Asumsi I'!$C$3)^(KKF!A28)</f>
        <v>9.2559611679185971E-2</v>
      </c>
      <c r="P28" s="316">
        <f t="shared" ca="1" si="7"/>
        <v>0.71967837403265111</v>
      </c>
      <c r="Q28" s="316">
        <f t="shared" ca="1" si="9"/>
        <v>-316.11494750818326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9.1682839330130008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65.037584047732224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7.7752959522677685</v>
      </c>
      <c r="O29" s="315">
        <f>1/(1+'[93]Asumsi I'!$C$3)^(KKF!A29)</f>
        <v>8.2642510427844609E-2</v>
      </c>
      <c r="P29" s="316">
        <f t="shared" ca="1" si="7"/>
        <v>0.64256997681486705</v>
      </c>
      <c r="Q29" s="316">
        <f t="shared" ca="1" si="9"/>
        <v>-315.47237753136841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9.1682839330130008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65.037584047732224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7.7752959522677685</v>
      </c>
      <c r="O30" s="315">
        <f>1/(1+'[93]Asumsi I'!$C$3)^(KKF!A30)</f>
        <v>7.3787955739146982E-2</v>
      </c>
      <c r="P30" s="316">
        <f t="shared" ca="1" si="7"/>
        <v>0.57372319358470281</v>
      </c>
      <c r="Q30" s="316">
        <f t="shared" ca="1" si="9"/>
        <v>-314.89865433778368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9.1682839330130008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65.037584047732224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7.7752959522677685</v>
      </c>
      <c r="O31" s="315">
        <f>1/(1+'[93]Asumsi I'!$C$3)^(KKF!A31)</f>
        <v>6.5882103338524081E-2</v>
      </c>
      <c r="P31" s="316">
        <f t="shared" ca="1" si="7"/>
        <v>0.51225285141491317</v>
      </c>
      <c r="Q31" s="316">
        <f ca="1">Q30+P31</f>
        <v>-314.38640148636875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9.1682839330130008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65.037584047732224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7.7752959522677685</v>
      </c>
      <c r="O32" s="315">
        <f>1/(1+'[93]Asumsi I'!$C$3)^(KKF!A32)</f>
        <v>5.8823306552253637E-2</v>
      </c>
      <c r="P32" s="316">
        <f t="shared" ca="1" si="7"/>
        <v>0.45736861733474382</v>
      </c>
      <c r="Q32" s="316">
        <f ca="1">Q31+P32</f>
        <v>-313.92903286903402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4" t="s">
        <v>1374</v>
      </c>
      <c r="G33" s="624"/>
      <c r="H33" s="624"/>
      <c r="I33" s="324"/>
      <c r="J33" s="325">
        <f ca="1">SUM(J7:J32)</f>
        <v>2130.7682818534486</v>
      </c>
      <c r="K33" s="624" t="s">
        <v>1375</v>
      </c>
      <c r="L33" s="624"/>
      <c r="M33" s="325">
        <f>SUM(M7:M32)</f>
        <v>1950.2389199999991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64.92726241666756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0.91527499100164189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-280.2937793473518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-4.5234419943053772E-2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45"/>
  <sheetViews>
    <sheetView showGridLines="0" zoomScale="70" zoomScaleNormal="70" zoomScaleSheetLayoutView="70" workbookViewId="0">
      <pane ySplit="13" topLeftCell="A197" activePane="bottomLeft" state="frozen"/>
      <selection activeCell="H1093" sqref="H1093"/>
      <selection pane="bottomLeft" activeCell="C201" sqref="C201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7" t="s">
        <v>1036</v>
      </c>
      <c r="P3" s="647"/>
      <c r="Q3" s="346"/>
      <c r="T3" s="344"/>
      <c r="U3" s="345" t="s">
        <v>1041</v>
      </c>
      <c r="V3" s="344"/>
    </row>
    <row r="4" spans="1:22" ht="18.75">
      <c r="B4" s="648" t="s">
        <v>1023</v>
      </c>
      <c r="C4" s="648"/>
      <c r="D4" s="648"/>
      <c r="E4" s="648"/>
      <c r="F4" s="648"/>
      <c r="G4" s="648"/>
      <c r="H4" s="648"/>
      <c r="I4" s="648"/>
      <c r="J4" s="648"/>
      <c r="K4" s="648"/>
      <c r="O4" s="647"/>
      <c r="P4" s="64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1" t="str">
        <f>DATA!D14</f>
        <v>AGR H MUSTAIN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1650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50" t="s">
        <v>0</v>
      </c>
      <c r="C11" s="652" t="s">
        <v>1</v>
      </c>
      <c r="D11" s="641" t="s">
        <v>42</v>
      </c>
      <c r="E11" s="641" t="s">
        <v>43</v>
      </c>
      <c r="F11" s="641" t="s">
        <v>2</v>
      </c>
      <c r="G11" s="655" t="s">
        <v>41</v>
      </c>
      <c r="H11" s="641" t="s">
        <v>3</v>
      </c>
      <c r="I11" s="641"/>
      <c r="J11" s="641"/>
      <c r="K11" s="642"/>
      <c r="O11" s="351"/>
      <c r="P11" s="352"/>
      <c r="Q11" s="351"/>
      <c r="S11" s="353"/>
      <c r="T11" s="354"/>
      <c r="U11" s="354"/>
      <c r="V11" s="354"/>
    </row>
    <row r="12" spans="1:22">
      <c r="B12" s="651"/>
      <c r="C12" s="653"/>
      <c r="D12" s="645"/>
      <c r="E12" s="645"/>
      <c r="F12" s="645"/>
      <c r="G12" s="656"/>
      <c r="H12" s="643" t="s">
        <v>46</v>
      </c>
      <c r="I12" s="643" t="s">
        <v>5</v>
      </c>
      <c r="J12" s="645" t="s">
        <v>47</v>
      </c>
      <c r="K12" s="646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51"/>
      <c r="C13" s="654"/>
      <c r="D13" s="645"/>
      <c r="E13" s="645"/>
      <c r="F13" s="645"/>
      <c r="G13" s="657"/>
      <c r="H13" s="644"/>
      <c r="I13" s="644"/>
      <c r="J13" s="645"/>
      <c r="K13" s="646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5" ca="1" si="8">IF(OR(D16="MDU",D16="MDU-KD"),(IF($O$3="RAB NON MDU","PLN KD",G16*F16)),0)</f>
        <v>0</v>
      </c>
      <c r="I16" s="361">
        <f t="shared" ref="I16:I35" ca="1" si="9">IF(D16="HDW",G16*F16,0)</f>
        <v>0</v>
      </c>
      <c r="J16" s="361">
        <f t="shared" ref="J16:J35" ca="1" si="10">IF(D16="JASA",G16*F16,0)</f>
        <v>0</v>
      </c>
      <c r="K16" s="362">
        <f t="shared" ref="K16:K35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502">
        <v>1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8"/>
        <v>0</v>
      </c>
      <c r="I17" s="361">
        <f t="shared" ca="1" si="9"/>
        <v>6074400</v>
      </c>
      <c r="J17" s="361">
        <f t="shared" ca="1" si="10"/>
        <v>0</v>
      </c>
      <c r="K17" s="362">
        <f t="shared" ca="1" si="11"/>
        <v>6074400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2">
        <v>22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19" ca="1" si="12">IF(OR(D18="MDU",D18="MDU-KD"),(IF($O$3="RAB NON MDU","PLN KD",G18*F18)),0)</f>
        <v>0</v>
      </c>
      <c r="I18" s="361">
        <f t="shared" ref="I18:I19" ca="1" si="13">IF(D18="HDW",G18*F18,0)</f>
        <v>127600000</v>
      </c>
      <c r="J18" s="361">
        <f t="shared" ref="J18:J19" ca="1" si="14">IF(D18="JASA",G18*F18,0)</f>
        <v>0</v>
      </c>
      <c r="K18" s="362">
        <f t="shared" ref="K18:K19" ca="1" si="15">SUM(H18:J18)</f>
        <v>127600000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3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2">
        <f>F18+F17</f>
        <v>23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12"/>
        <v>0</v>
      </c>
      <c r="I19" s="361">
        <f t="shared" ca="1" si="13"/>
        <v>0</v>
      </c>
      <c r="J19" s="361">
        <f t="shared" ca="1" si="14"/>
        <v>231533.33333333337</v>
      </c>
      <c r="K19" s="362">
        <f t="shared" ca="1" si="15"/>
        <v>231533.33333333337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4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502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200000</v>
      </c>
      <c r="J20" s="361">
        <f t="shared" ca="1" si="10"/>
        <v>0</v>
      </c>
      <c r="K20" s="362">
        <f t="shared" ca="1" si="11"/>
        <v>200000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/>
      <c r="C21" s="357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 t="e">
        <f>IF(AND(C22=0,#REF!=0,#REF!=0),"BLANKS",1)</f>
        <v>#REF!</v>
      </c>
      <c r="B22" s="371" t="s">
        <v>1456</v>
      </c>
      <c r="C22" s="372" t="s">
        <v>1627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5"/>
      <c r="C23" s="496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3" t="s">
        <v>1035</v>
      </c>
      <c r="C24" s="504" t="s">
        <v>1623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4">
        <v>22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3">
        <v>1</v>
      </c>
      <c r="C25" s="109" t="s">
        <v>1567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F24*1</f>
        <v>22</v>
      </c>
      <c r="G25" s="360">
        <f ca="1">IF(ISERROR(OFFSET('HARGA SATUAN'!$I$6,MATCH(RAB!C25,'HARGA SATUAN'!$C$7:$C$1492,0),0)),0,OFFSET('HARGA SATUAN'!$I$6,MATCH(RAB!C25,'HARGA SATUAN'!$C$7:$C$1492,0),0))</f>
        <v>235900</v>
      </c>
      <c r="H25" s="361">
        <f t="shared" ca="1" si="8"/>
        <v>5189800</v>
      </c>
      <c r="I25" s="361">
        <f t="shared" ca="1" si="9"/>
        <v>0</v>
      </c>
      <c r="J25" s="361">
        <f t="shared" ca="1" si="10"/>
        <v>0</v>
      </c>
      <c r="K25" s="362">
        <f t="shared" ca="1" si="11"/>
        <v>5189800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3">
        <v>2</v>
      </c>
      <c r="C26" s="109" t="s">
        <v>1567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F24*2</f>
        <v>44</v>
      </c>
      <c r="G26" s="360">
        <f ca="1">IF(ISERROR(OFFSET('HARGA SATUAN'!$I$6,MATCH(RAB!C26,'HARGA SATUAN'!$C$7:$C$1492,0),0)),0,OFFSET('HARGA SATUAN'!$I$6,MATCH(RAB!C26,'HARGA SATUAN'!$C$7:$C$1492,0),0))</f>
        <v>235900</v>
      </c>
      <c r="H26" s="361">
        <f t="shared" ca="1" si="8"/>
        <v>10379600</v>
      </c>
      <c r="I26" s="361">
        <f t="shared" ca="1" si="9"/>
        <v>0</v>
      </c>
      <c r="J26" s="361">
        <f t="shared" ca="1" si="10"/>
        <v>0</v>
      </c>
      <c r="K26" s="362">
        <f t="shared" ca="1" si="11"/>
        <v>10379600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3">
        <v>3</v>
      </c>
      <c r="C27" s="504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F24*3</f>
        <v>66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8"/>
        <v>0</v>
      </c>
      <c r="I27" s="361">
        <f t="shared" ca="1" si="9"/>
        <v>1749000</v>
      </c>
      <c r="J27" s="361">
        <f t="shared" ca="1" si="10"/>
        <v>0</v>
      </c>
      <c r="K27" s="362">
        <f t="shared" ca="1" si="11"/>
        <v>1749000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3">
        <v>4</v>
      </c>
      <c r="C28" s="504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F24*2</f>
        <v>44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8"/>
        <v>0</v>
      </c>
      <c r="I28" s="361">
        <f t="shared" ca="1" si="9"/>
        <v>349272</v>
      </c>
      <c r="J28" s="361">
        <f t="shared" ca="1" si="10"/>
        <v>0</v>
      </c>
      <c r="K28" s="362">
        <f t="shared" ca="1" si="11"/>
        <v>349272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3">
        <v>5</v>
      </c>
      <c r="C29" s="504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F24*1</f>
        <v>22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8"/>
        <v>0</v>
      </c>
      <c r="I29" s="361">
        <f t="shared" ca="1" si="9"/>
        <v>739200</v>
      </c>
      <c r="J29" s="361">
        <f t="shared" ca="1" si="10"/>
        <v>0</v>
      </c>
      <c r="K29" s="362">
        <f t="shared" ca="1" si="11"/>
        <v>739200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3">
        <v>6</v>
      </c>
      <c r="C30" s="504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F24*2</f>
        <v>44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8"/>
        <v>0</v>
      </c>
      <c r="I30" s="361">
        <f t="shared" ca="1" si="9"/>
        <v>1980000</v>
      </c>
      <c r="J30" s="361">
        <f t="shared" ca="1" si="10"/>
        <v>0</v>
      </c>
      <c r="K30" s="362">
        <f t="shared" ca="1" si="11"/>
        <v>1980000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3">
        <v>7</v>
      </c>
      <c r="C31" s="504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F24*1</f>
        <v>22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8"/>
        <v>0</v>
      </c>
      <c r="I31" s="361">
        <f t="shared" ca="1" si="9"/>
        <v>2090000</v>
      </c>
      <c r="J31" s="361">
        <f t="shared" ca="1" si="10"/>
        <v>0</v>
      </c>
      <c r="K31" s="362">
        <f t="shared" ca="1" si="11"/>
        <v>2090000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3">
        <v>8</v>
      </c>
      <c r="C32" s="504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F24*1</f>
        <v>22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8"/>
        <v>0</v>
      </c>
      <c r="I32" s="361">
        <f t="shared" ca="1" si="9"/>
        <v>8371000</v>
      </c>
      <c r="J32" s="361">
        <f t="shared" ca="1" si="10"/>
        <v>0</v>
      </c>
      <c r="K32" s="362">
        <f t="shared" ca="1" si="11"/>
        <v>8371000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3">
        <v>9</v>
      </c>
      <c r="C33" s="504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F24*4</f>
        <v>88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8"/>
        <v>0</v>
      </c>
      <c r="I33" s="361">
        <f t="shared" ca="1" si="9"/>
        <v>1003200</v>
      </c>
      <c r="J33" s="361">
        <f t="shared" ca="1" si="10"/>
        <v>0</v>
      </c>
      <c r="K33" s="362">
        <f t="shared" ca="1" si="11"/>
        <v>1003200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3">
        <v>10</v>
      </c>
      <c r="C34" s="504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F24*1</f>
        <v>22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8"/>
        <v>0</v>
      </c>
      <c r="I34" s="361">
        <f t="shared" ca="1" si="9"/>
        <v>1269180</v>
      </c>
      <c r="J34" s="361">
        <f t="shared" ca="1" si="10"/>
        <v>0</v>
      </c>
      <c r="K34" s="362">
        <f t="shared" ca="1" si="11"/>
        <v>1269180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3">
        <v>11</v>
      </c>
      <c r="C35" s="504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F24*1</f>
        <v>22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8"/>
        <v>0</v>
      </c>
      <c r="I35" s="361">
        <f t="shared" ca="1" si="9"/>
        <v>616000</v>
      </c>
      <c r="J35" s="361">
        <f t="shared" ca="1" si="10"/>
        <v>0</v>
      </c>
      <c r="K35" s="362">
        <f t="shared" ca="1" si="11"/>
        <v>616000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3">
        <v>12</v>
      </c>
      <c r="C36" s="504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84">
        <f>6.2*F24</f>
        <v>136.4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ref="H36:H39" ca="1" si="16">IF(OR(D36="MDU",D36="MDU-KD"),(IF($O$3="RAB NON MDU","PLN KD",G36*F36)),0)</f>
        <v>0</v>
      </c>
      <c r="I36" s="361">
        <f t="shared" ref="I36:I39" ca="1" si="17">IF(D36="HDW",G36*F36,0)</f>
        <v>1166220</v>
      </c>
      <c r="J36" s="361">
        <f t="shared" ref="J36:J39" ca="1" si="18">IF(D36="JASA",G36*F36,0)</f>
        <v>0</v>
      </c>
      <c r="K36" s="362">
        <f t="shared" ref="K36:K39" ca="1" si="19">SUM(H36:J36)</f>
        <v>1166220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3">
        <v>13</v>
      </c>
      <c r="C37" s="504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4">
        <f>F24*5</f>
        <v>110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6"/>
        <v>0</v>
      </c>
      <c r="I37" s="361">
        <f t="shared" ca="1" si="17"/>
        <v>275000</v>
      </c>
      <c r="J37" s="361">
        <f t="shared" ca="1" si="18"/>
        <v>0</v>
      </c>
      <c r="K37" s="362">
        <f t="shared" ca="1" si="19"/>
        <v>275000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3">
        <v>14</v>
      </c>
      <c r="C38" s="504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84">
        <f>F24*1</f>
        <v>22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6"/>
        <v>0</v>
      </c>
      <c r="I38" s="361">
        <f t="shared" ca="1" si="17"/>
        <v>0</v>
      </c>
      <c r="J38" s="361">
        <f t="shared" ca="1" si="18"/>
        <v>2442000</v>
      </c>
      <c r="K38" s="362">
        <f t="shared" ca="1" si="19"/>
        <v>2442000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499"/>
      <c r="C39" s="500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84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6"/>
        <v>0</v>
      </c>
      <c r="I39" s="361">
        <f t="shared" ca="1" si="17"/>
        <v>0</v>
      </c>
      <c r="J39" s="361">
        <f t="shared" ca="1" si="18"/>
        <v>0</v>
      </c>
      <c r="K39" s="362">
        <f t="shared" ca="1" si="19"/>
        <v>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3" t="s">
        <v>1035</v>
      </c>
      <c r="C40" s="504" t="s">
        <v>1624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2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ref="H40:H51" ca="1" si="20">IF(OR(D40="MDU",D40="MDU-KD"),(IF($O$3="RAB NON MDU","PLN KD",G40*F40)),0)</f>
        <v>0</v>
      </c>
      <c r="I40" s="361">
        <f t="shared" ref="I40:I51" ca="1" si="21">IF(D40="HDW",G40*F40,0)</f>
        <v>0</v>
      </c>
      <c r="J40" s="361">
        <f t="shared" ref="J40:J51" ca="1" si="22">IF(D40="JASA",G40*F40,0)</f>
        <v>0</v>
      </c>
      <c r="K40" s="362">
        <f t="shared" ref="K40:K51" ca="1" si="23">SUM(H40:J40)</f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3">
        <v>1</v>
      </c>
      <c r="C41" s="109" t="s">
        <v>1568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02">
        <f>F40*3</f>
        <v>6</v>
      </c>
      <c r="G41" s="360">
        <f ca="1">IF(ISERROR(OFFSET('HARGA SATUAN'!$I$6,MATCH(RAB!C41,'HARGA SATUAN'!$C$7:$C$1492,0),0)),0,OFFSET('HARGA SATUAN'!$I$6,MATCH(RAB!C41,'HARGA SATUAN'!$C$7:$C$1492,0),0))</f>
        <v>430000</v>
      </c>
      <c r="H41" s="361">
        <f t="shared" ca="1" si="20"/>
        <v>2580000</v>
      </c>
      <c r="I41" s="361">
        <f t="shared" ca="1" si="21"/>
        <v>0</v>
      </c>
      <c r="J41" s="361">
        <f t="shared" ca="1" si="22"/>
        <v>0</v>
      </c>
      <c r="K41" s="362">
        <f t="shared" ca="1" si="23"/>
        <v>2580000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3">
        <v>2</v>
      </c>
      <c r="C42" s="504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02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20"/>
        <v>0</v>
      </c>
      <c r="I42" s="361">
        <f t="shared" ca="1" si="21"/>
        <v>15578</v>
      </c>
      <c r="J42" s="361">
        <f t="shared" ca="1" si="22"/>
        <v>0</v>
      </c>
      <c r="K42" s="362">
        <f t="shared" ca="1" si="23"/>
        <v>15578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3">
        <v>3</v>
      </c>
      <c r="C43" s="504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2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20"/>
        <v>0</v>
      </c>
      <c r="I43" s="361">
        <f t="shared" ca="1" si="21"/>
        <v>160000</v>
      </c>
      <c r="J43" s="361">
        <f t="shared" ca="1" si="22"/>
        <v>0</v>
      </c>
      <c r="K43" s="362">
        <f t="shared" ca="1" si="23"/>
        <v>160000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3">
        <v>4</v>
      </c>
      <c r="C44" s="504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2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20"/>
        <v>0</v>
      </c>
      <c r="I44" s="361">
        <f t="shared" ca="1" si="21"/>
        <v>53000</v>
      </c>
      <c r="J44" s="361">
        <f t="shared" ca="1" si="22"/>
        <v>0</v>
      </c>
      <c r="K44" s="362">
        <f t="shared" ca="1" si="23"/>
        <v>53000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3">
        <v>5</v>
      </c>
      <c r="C45" s="504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2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20"/>
        <v>0</v>
      </c>
      <c r="I45" s="361">
        <f t="shared" ca="1" si="21"/>
        <v>63504</v>
      </c>
      <c r="J45" s="361">
        <f t="shared" ca="1" si="22"/>
        <v>0</v>
      </c>
      <c r="K45" s="362">
        <f t="shared" ca="1" si="23"/>
        <v>63504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3">
        <v>6</v>
      </c>
      <c r="C46" s="504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2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20"/>
        <v>0</v>
      </c>
      <c r="I46" s="361">
        <f t="shared" ca="1" si="21"/>
        <v>360000</v>
      </c>
      <c r="J46" s="361">
        <f t="shared" ca="1" si="22"/>
        <v>0</v>
      </c>
      <c r="K46" s="362">
        <f t="shared" ca="1" si="23"/>
        <v>360000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3">
        <v>7</v>
      </c>
      <c r="C47" s="504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2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20"/>
        <v>0</v>
      </c>
      <c r="I47" s="361">
        <f t="shared" ca="1" si="21"/>
        <v>31000</v>
      </c>
      <c r="J47" s="361">
        <f t="shared" ca="1" si="22"/>
        <v>0</v>
      </c>
      <c r="K47" s="362">
        <f t="shared" ca="1" si="23"/>
        <v>31000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3">
        <v>8</v>
      </c>
      <c r="C48" s="504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2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20"/>
        <v>0</v>
      </c>
      <c r="I48" s="361">
        <f t="shared" ca="1" si="21"/>
        <v>1522000</v>
      </c>
      <c r="J48" s="361">
        <f t="shared" ca="1" si="22"/>
        <v>0</v>
      </c>
      <c r="K48" s="362">
        <f t="shared" ca="1" si="23"/>
        <v>1522000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3">
        <v>9</v>
      </c>
      <c r="C49" s="504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2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20"/>
        <v>0</v>
      </c>
      <c r="I49" s="361">
        <f t="shared" ca="1" si="21"/>
        <v>91200</v>
      </c>
      <c r="J49" s="361">
        <f t="shared" ca="1" si="22"/>
        <v>0</v>
      </c>
      <c r="K49" s="362">
        <f t="shared" ca="1" si="23"/>
        <v>91200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3">
        <v>10</v>
      </c>
      <c r="C50" s="504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2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20"/>
        <v>0</v>
      </c>
      <c r="I50" s="361">
        <f t="shared" ca="1" si="21"/>
        <v>118400</v>
      </c>
      <c r="J50" s="361">
        <f t="shared" ca="1" si="22"/>
        <v>0</v>
      </c>
      <c r="K50" s="362">
        <f t="shared" ca="1" si="23"/>
        <v>118400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3">
        <v>11</v>
      </c>
      <c r="C51" s="504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2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20"/>
        <v>0</v>
      </c>
      <c r="I51" s="361">
        <f t="shared" ca="1" si="21"/>
        <v>55630</v>
      </c>
      <c r="J51" s="361">
        <f t="shared" ca="1" si="22"/>
        <v>0</v>
      </c>
      <c r="K51" s="362">
        <f t="shared" ca="1" si="23"/>
        <v>55630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3">
        <v>12</v>
      </c>
      <c r="C52" s="504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2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59" ca="1" si="24">IF(OR(D52="MDU",D52="MDU-KD"),(IF($O$3="RAB NON MDU","PLN KD",G52*F52)),0)</f>
        <v>0</v>
      </c>
      <c r="I52" s="361">
        <f t="shared" ref="I52:I59" ca="1" si="25">IF(D52="HDW",G52*F52,0)</f>
        <v>143616</v>
      </c>
      <c r="J52" s="361">
        <f t="shared" ref="J52:J59" ca="1" si="26">IF(D52="JASA",G52*F52,0)</f>
        <v>0</v>
      </c>
      <c r="K52" s="362">
        <f t="shared" ref="K52:K59" ca="1" si="27">SUM(H52:J52)</f>
        <v>143616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3">
        <v>13</v>
      </c>
      <c r="C53" s="504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2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4"/>
        <v>0</v>
      </c>
      <c r="I53" s="361">
        <f t="shared" ca="1" si="25"/>
        <v>127000</v>
      </c>
      <c r="J53" s="361">
        <f t="shared" ca="1" si="26"/>
        <v>0</v>
      </c>
      <c r="K53" s="362">
        <f t="shared" ca="1" si="27"/>
        <v>127000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3">
        <v>14</v>
      </c>
      <c r="C54" s="504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2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4"/>
        <v>0</v>
      </c>
      <c r="I54" s="361">
        <f t="shared" ca="1" si="25"/>
        <v>115380</v>
      </c>
      <c r="J54" s="361">
        <f t="shared" ca="1" si="26"/>
        <v>0</v>
      </c>
      <c r="K54" s="362">
        <f t="shared" ca="1" si="27"/>
        <v>115380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3">
        <v>15</v>
      </c>
      <c r="C55" s="504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2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4"/>
        <v>0</v>
      </c>
      <c r="I55" s="361">
        <f t="shared" ca="1" si="25"/>
        <v>96000</v>
      </c>
      <c r="J55" s="361">
        <f t="shared" ca="1" si="26"/>
        <v>0</v>
      </c>
      <c r="K55" s="362">
        <f t="shared" ca="1" si="27"/>
        <v>96000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3">
        <v>16</v>
      </c>
      <c r="C56" s="504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2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4"/>
        <v>0</v>
      </c>
      <c r="I56" s="361">
        <f t="shared" ca="1" si="25"/>
        <v>67003.733333333337</v>
      </c>
      <c r="J56" s="361">
        <f t="shared" ca="1" si="26"/>
        <v>0</v>
      </c>
      <c r="K56" s="362">
        <f t="shared" ca="1" si="27"/>
        <v>67003.733333333337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503">
        <v>17</v>
      </c>
      <c r="C57" s="504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2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4"/>
        <v>0</v>
      </c>
      <c r="I57" s="361">
        <f t="shared" ca="1" si="25"/>
        <v>55000</v>
      </c>
      <c r="J57" s="361">
        <f t="shared" ca="1" si="26"/>
        <v>0</v>
      </c>
      <c r="K57" s="362">
        <f t="shared" ca="1" si="27"/>
        <v>55000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65" customFormat="1">
      <c r="A58" s="336"/>
      <c r="B58" s="503">
        <v>18</v>
      </c>
      <c r="C58" s="504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2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4"/>
        <v>0</v>
      </c>
      <c r="I58" s="361">
        <f t="shared" ca="1" si="25"/>
        <v>0</v>
      </c>
      <c r="J58" s="361">
        <f t="shared" ca="1" si="26"/>
        <v>269400</v>
      </c>
      <c r="K58" s="362">
        <f t="shared" ca="1" si="27"/>
        <v>269400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373"/>
      <c r="C59" s="374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84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4"/>
        <v>0</v>
      </c>
      <c r="I59" s="361">
        <f t="shared" ca="1" si="25"/>
        <v>0</v>
      </c>
      <c r="J59" s="361">
        <f t="shared" ca="1" si="26"/>
        <v>0</v>
      </c>
      <c r="K59" s="362">
        <f t="shared" ca="1" si="27"/>
        <v>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21" t="s">
        <v>1035</v>
      </c>
      <c r="C60" s="522" t="s">
        <v>1640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484">
        <v>2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ref="H60:H89" ca="1" si="28">IF(OR(D60="MDU",D60="MDU-KD"),(IF($O$3="RAB NON MDU","PLN KD",G60*F60)),0)</f>
        <v>0</v>
      </c>
      <c r="I60" s="361">
        <f t="shared" ref="I60:I89" ca="1" si="29">IF(D60="HDW",G60*F60,0)</f>
        <v>0</v>
      </c>
      <c r="J60" s="361">
        <f t="shared" ref="J60:J89" ca="1" si="30">IF(D60="JASA",G60*F60,0)</f>
        <v>0</v>
      </c>
      <c r="K60" s="362">
        <f t="shared" ref="K60:K89" ca="1" si="31">SUM(H60:J60)</f>
        <v>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21">
        <v>1</v>
      </c>
      <c r="C61" s="109" t="s">
        <v>1567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84">
        <f>F60*1</f>
        <v>2</v>
      </c>
      <c r="G61" s="360">
        <f ca="1">IF(ISERROR(OFFSET('HARGA SATUAN'!$I$6,MATCH(RAB!C61,'HARGA SATUAN'!$C$7:$C$1492,0),0)),0,OFFSET('HARGA SATUAN'!$I$6,MATCH(RAB!C61,'HARGA SATUAN'!$C$7:$C$1492,0),0))</f>
        <v>235900</v>
      </c>
      <c r="H61" s="361">
        <f t="shared" ca="1" si="28"/>
        <v>471800</v>
      </c>
      <c r="I61" s="361">
        <f t="shared" ca="1" si="29"/>
        <v>0</v>
      </c>
      <c r="J61" s="361">
        <f t="shared" ca="1" si="30"/>
        <v>0</v>
      </c>
      <c r="K61" s="362">
        <f t="shared" ca="1" si="31"/>
        <v>471800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21">
        <v>2</v>
      </c>
      <c r="C62" s="109" t="s">
        <v>1567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84">
        <f>F60*2</f>
        <v>4</v>
      </c>
      <c r="G62" s="360">
        <f ca="1">IF(ISERROR(OFFSET('HARGA SATUAN'!$I$6,MATCH(RAB!C62,'HARGA SATUAN'!$C$7:$C$1492,0),0)),0,OFFSET('HARGA SATUAN'!$I$6,MATCH(RAB!C62,'HARGA SATUAN'!$C$7:$C$1492,0),0))</f>
        <v>235900</v>
      </c>
      <c r="H62" s="361">
        <f t="shared" ca="1" si="28"/>
        <v>943600</v>
      </c>
      <c r="I62" s="361">
        <f t="shared" ca="1" si="29"/>
        <v>0</v>
      </c>
      <c r="J62" s="361">
        <f t="shared" ca="1" si="30"/>
        <v>0</v>
      </c>
      <c r="K62" s="362">
        <f t="shared" ca="1" si="31"/>
        <v>943600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21">
        <v>3</v>
      </c>
      <c r="C63" s="109" t="s">
        <v>1568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Set</v>
      </c>
      <c r="F63" s="525">
        <f>F60*6</f>
        <v>12</v>
      </c>
      <c r="G63" s="360">
        <f ca="1">IF(ISERROR(OFFSET('HARGA SATUAN'!$I$6,MATCH(RAB!C63,'HARGA SATUAN'!$C$7:$C$1492,0),0)),0,OFFSET('HARGA SATUAN'!$I$6,MATCH(RAB!C63,'HARGA SATUAN'!$C$7:$C$1492,0),0))</f>
        <v>430000</v>
      </c>
      <c r="H63" s="361">
        <f t="shared" ca="1" si="28"/>
        <v>5160000</v>
      </c>
      <c r="I63" s="361">
        <f t="shared" ca="1" si="29"/>
        <v>0</v>
      </c>
      <c r="J63" s="361">
        <f t="shared" ca="1" si="30"/>
        <v>0</v>
      </c>
      <c r="K63" s="362">
        <f t="shared" ca="1" si="31"/>
        <v>5160000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521">
        <v>4</v>
      </c>
      <c r="C64" s="522" t="s">
        <v>152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484">
        <f>F60*2</f>
        <v>4</v>
      </c>
      <c r="G64" s="360">
        <f ca="1">IF(ISERROR(OFFSET('HARGA SATUAN'!$I$6,MATCH(RAB!C64,'HARGA SATUAN'!$C$7:$C$1492,0),0)),0,OFFSET('HARGA SATUAN'!$I$6,MATCH(RAB!C64,'HARGA SATUAN'!$C$7:$C$1492,0),0))</f>
        <v>7789</v>
      </c>
      <c r="H64" s="361">
        <f t="shared" ca="1" si="28"/>
        <v>0</v>
      </c>
      <c r="I64" s="361">
        <f t="shared" ca="1" si="29"/>
        <v>31156</v>
      </c>
      <c r="J64" s="361">
        <f t="shared" ca="1" si="30"/>
        <v>0</v>
      </c>
      <c r="K64" s="362">
        <f t="shared" ca="1" si="31"/>
        <v>31156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523">
        <v>5</v>
      </c>
      <c r="C65" s="524" t="s">
        <v>157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26">
        <f>F60*2</f>
        <v>4</v>
      </c>
      <c r="G65" s="360">
        <f ca="1">IF(ISERROR(OFFSET('HARGA SATUAN'!$I$6,MATCH(RAB!C65,'HARGA SATUAN'!$C$7:$C$1492,0),0)),0,OFFSET('HARGA SATUAN'!$I$6,MATCH(RAB!C65,'HARGA SATUAN'!$C$7:$C$1492,0),0))</f>
        <v>40000</v>
      </c>
      <c r="H65" s="361">
        <f t="shared" ca="1" si="28"/>
        <v>0</v>
      </c>
      <c r="I65" s="361">
        <f t="shared" ca="1" si="29"/>
        <v>160000</v>
      </c>
      <c r="J65" s="361">
        <f t="shared" ca="1" si="30"/>
        <v>0</v>
      </c>
      <c r="K65" s="362">
        <f t="shared" ca="1" si="31"/>
        <v>160000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523">
        <v>6</v>
      </c>
      <c r="C66" s="524" t="s">
        <v>28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26">
        <f>F60*3</f>
        <v>6</v>
      </c>
      <c r="G66" s="360">
        <f ca="1">IF(ISERROR(OFFSET('HARGA SATUAN'!$I$6,MATCH(RAB!C66,'HARGA SATUAN'!$C$7:$C$1492,0),0)),0,OFFSET('HARGA SATUAN'!$I$6,MATCH(RAB!C66,'HARGA SATUAN'!$C$7:$C$1492,0),0))</f>
        <v>26500</v>
      </c>
      <c r="H66" s="361">
        <f t="shared" ca="1" si="28"/>
        <v>0</v>
      </c>
      <c r="I66" s="361">
        <f t="shared" ca="1" si="29"/>
        <v>159000</v>
      </c>
      <c r="J66" s="361">
        <f t="shared" ca="1" si="30"/>
        <v>0</v>
      </c>
      <c r="K66" s="362">
        <f t="shared" ca="1" si="31"/>
        <v>159000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523">
        <v>7</v>
      </c>
      <c r="C67" s="524" t="s">
        <v>163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26">
        <f>F60*4</f>
        <v>8</v>
      </c>
      <c r="G67" s="360">
        <f ca="1">IF(ISERROR(OFFSET('HARGA SATUAN'!$I$6,MATCH(RAB!C67,'HARGA SATUAN'!$C$7:$C$1492,0),0)),0,OFFSET('HARGA SATUAN'!$I$6,MATCH(RAB!C67,'HARGA SATUAN'!$C$7:$C$1492,0),0))</f>
        <v>7938</v>
      </c>
      <c r="H67" s="361">
        <f t="shared" ca="1" si="28"/>
        <v>0</v>
      </c>
      <c r="I67" s="361">
        <f t="shared" ca="1" si="29"/>
        <v>63504</v>
      </c>
      <c r="J67" s="361">
        <f t="shared" ca="1" si="30"/>
        <v>0</v>
      </c>
      <c r="K67" s="362">
        <f t="shared" ca="1" si="31"/>
        <v>63504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523">
        <v>8</v>
      </c>
      <c r="C68" s="524" t="s">
        <v>173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26">
        <f>F60*4</f>
        <v>8</v>
      </c>
      <c r="G68" s="360">
        <f ca="1">IF(ISERROR(OFFSET('HARGA SATUAN'!$I$6,MATCH(RAB!C68,'HARGA SATUAN'!$C$7:$C$1492,0),0)),0,OFFSET('HARGA SATUAN'!$I$6,MATCH(RAB!C68,'HARGA SATUAN'!$C$7:$C$1492,0),0))</f>
        <v>45000</v>
      </c>
      <c r="H68" s="361">
        <f t="shared" ca="1" si="28"/>
        <v>0</v>
      </c>
      <c r="I68" s="361">
        <f t="shared" ca="1" si="29"/>
        <v>360000</v>
      </c>
      <c r="J68" s="361">
        <f t="shared" ca="1" si="30"/>
        <v>0</v>
      </c>
      <c r="K68" s="362">
        <f t="shared" ca="1" si="31"/>
        <v>360000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523">
        <v>9</v>
      </c>
      <c r="C69" s="524" t="s">
        <v>178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26">
        <f>F60*1</f>
        <v>2</v>
      </c>
      <c r="G69" s="360">
        <f ca="1">IF(ISERROR(OFFSET('HARGA SATUAN'!$I$6,MATCH(RAB!C69,'HARGA SATUAN'!$C$7:$C$1492,0),0)),0,OFFSET('HARGA SATUAN'!$I$6,MATCH(RAB!C69,'HARGA SATUAN'!$C$7:$C$1492,0),0))</f>
        <v>95000</v>
      </c>
      <c r="H69" s="361">
        <f t="shared" ca="1" si="28"/>
        <v>0</v>
      </c>
      <c r="I69" s="361">
        <f t="shared" ca="1" si="29"/>
        <v>190000</v>
      </c>
      <c r="J69" s="361">
        <f t="shared" ca="1" si="30"/>
        <v>0</v>
      </c>
      <c r="K69" s="362">
        <f t="shared" ca="1" si="31"/>
        <v>190000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523">
        <v>10</v>
      </c>
      <c r="C70" s="524" t="s">
        <v>179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26">
        <f>F60*2</f>
        <v>4</v>
      </c>
      <c r="G70" s="360">
        <f ca="1">IF(ISERROR(OFFSET('HARGA SATUAN'!$I$6,MATCH(RAB!C70,'HARGA SATUAN'!$C$7:$C$1492,0),0)),0,OFFSET('HARGA SATUAN'!$I$6,MATCH(RAB!C70,'HARGA SATUAN'!$C$7:$C$1492,0),0))</f>
        <v>15500</v>
      </c>
      <c r="H70" s="361">
        <f t="shared" ca="1" si="28"/>
        <v>0</v>
      </c>
      <c r="I70" s="361">
        <f t="shared" ca="1" si="29"/>
        <v>62000</v>
      </c>
      <c r="J70" s="361">
        <f t="shared" ca="1" si="30"/>
        <v>0</v>
      </c>
      <c r="K70" s="362">
        <f t="shared" ca="1" si="31"/>
        <v>62000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523">
        <v>11</v>
      </c>
      <c r="C71" s="524" t="s">
        <v>181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26">
        <f>F60*4</f>
        <v>8</v>
      </c>
      <c r="G71" s="360">
        <f ca="1">IF(ISERROR(OFFSET('HARGA SATUAN'!$I$6,MATCH(RAB!C71,'HARGA SATUAN'!$C$7:$C$1492,0),0)),0,OFFSET('HARGA SATUAN'!$I$6,MATCH(RAB!C71,'HARGA SATUAN'!$C$7:$C$1492,0),0))</f>
        <v>28100</v>
      </c>
      <c r="H71" s="361">
        <f t="shared" ca="1" si="28"/>
        <v>0</v>
      </c>
      <c r="I71" s="361">
        <f t="shared" ca="1" si="29"/>
        <v>224800</v>
      </c>
      <c r="J71" s="361">
        <f t="shared" ca="1" si="30"/>
        <v>0</v>
      </c>
      <c r="K71" s="362">
        <f t="shared" ca="1" si="31"/>
        <v>224800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523">
        <v>12</v>
      </c>
      <c r="C72" s="524" t="s">
        <v>593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26">
        <f>F60*2</f>
        <v>4</v>
      </c>
      <c r="G72" s="360">
        <f ca="1">IF(ISERROR(OFFSET('HARGA SATUAN'!$I$6,MATCH(RAB!C72,'HARGA SATUAN'!$C$7:$C$1492,0),0)),0,OFFSET('HARGA SATUAN'!$I$6,MATCH(RAB!C72,'HARGA SATUAN'!$C$7:$C$1492,0),0))</f>
        <v>380500</v>
      </c>
      <c r="H72" s="361">
        <f t="shared" ca="1" si="28"/>
        <v>0</v>
      </c>
      <c r="I72" s="361">
        <f t="shared" ca="1" si="29"/>
        <v>1522000</v>
      </c>
      <c r="J72" s="361">
        <f t="shared" ca="1" si="30"/>
        <v>0</v>
      </c>
      <c r="K72" s="362">
        <f t="shared" ca="1" si="31"/>
        <v>1522000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523">
        <v>13</v>
      </c>
      <c r="C73" s="524" t="s">
        <v>217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26">
        <f>F60*3</f>
        <v>6</v>
      </c>
      <c r="G73" s="360">
        <f ca="1">IF(ISERROR(OFFSET('HARGA SATUAN'!$I$6,MATCH(RAB!C73,'HARGA SATUAN'!$C$7:$C$1492,0),0)),0,OFFSET('HARGA SATUAN'!$I$6,MATCH(RAB!C73,'HARGA SATUAN'!$C$7:$C$1492,0),0))</f>
        <v>11400</v>
      </c>
      <c r="H73" s="361">
        <f t="shared" ca="1" si="28"/>
        <v>0</v>
      </c>
      <c r="I73" s="361">
        <f t="shared" ca="1" si="29"/>
        <v>68400</v>
      </c>
      <c r="J73" s="361">
        <f t="shared" ca="1" si="30"/>
        <v>0</v>
      </c>
      <c r="K73" s="362">
        <f t="shared" ca="1" si="31"/>
        <v>68400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523">
        <v>14</v>
      </c>
      <c r="C74" s="524" t="s">
        <v>218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26">
        <f>F60*4</f>
        <v>8</v>
      </c>
      <c r="G74" s="360">
        <f ca="1">IF(ISERROR(OFFSET('HARGA SATUAN'!$I$6,MATCH(RAB!C74,'HARGA SATUAN'!$C$7:$C$1492,0),0)),0,OFFSET('HARGA SATUAN'!$I$6,MATCH(RAB!C74,'HARGA SATUAN'!$C$7:$C$1492,0),0))</f>
        <v>29600</v>
      </c>
      <c r="H74" s="361">
        <f t="shared" ca="1" si="28"/>
        <v>0</v>
      </c>
      <c r="I74" s="361">
        <f t="shared" ca="1" si="29"/>
        <v>236800</v>
      </c>
      <c r="J74" s="361">
        <f t="shared" ca="1" si="30"/>
        <v>0</v>
      </c>
      <c r="K74" s="362">
        <f t="shared" ca="1" si="31"/>
        <v>236800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523">
        <v>15</v>
      </c>
      <c r="C75" s="524" t="s">
        <v>223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26">
        <f>F60*3</f>
        <v>6</v>
      </c>
      <c r="G75" s="360">
        <f ca="1">IF(ISERROR(OFFSET('HARGA SATUAN'!$I$6,MATCH(RAB!C75,'HARGA SATUAN'!$C$7:$C$1492,0),0)),0,OFFSET('HARGA SATUAN'!$I$6,MATCH(RAB!C75,'HARGA SATUAN'!$C$7:$C$1492,0),0))</f>
        <v>27815</v>
      </c>
      <c r="H75" s="361">
        <f t="shared" ca="1" si="28"/>
        <v>0</v>
      </c>
      <c r="I75" s="361">
        <f t="shared" ca="1" si="29"/>
        <v>166890</v>
      </c>
      <c r="J75" s="361">
        <f t="shared" ca="1" si="30"/>
        <v>0</v>
      </c>
      <c r="K75" s="362">
        <f t="shared" ca="1" si="31"/>
        <v>166890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523">
        <v>16</v>
      </c>
      <c r="C76" s="524" t="s">
        <v>25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26">
        <f>F60*9</f>
        <v>18</v>
      </c>
      <c r="G76" s="360">
        <f ca="1">IF(ISERROR(OFFSET('HARGA SATUAN'!$I$6,MATCH(RAB!C76,'HARGA SATUAN'!$C$7:$C$1492,0),0)),0,OFFSET('HARGA SATUAN'!$I$6,MATCH(RAB!C76,'HARGA SATUAN'!$C$7:$C$1492,0),0))</f>
        <v>23936</v>
      </c>
      <c r="H76" s="361">
        <f t="shared" ca="1" si="28"/>
        <v>0</v>
      </c>
      <c r="I76" s="361">
        <f t="shared" ca="1" si="29"/>
        <v>430848</v>
      </c>
      <c r="J76" s="361">
        <f t="shared" ca="1" si="30"/>
        <v>0</v>
      </c>
      <c r="K76" s="362">
        <f t="shared" ca="1" si="31"/>
        <v>430848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523">
        <v>17</v>
      </c>
      <c r="C77" s="524" t="s">
        <v>37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26">
        <f>F60*1</f>
        <v>2</v>
      </c>
      <c r="G77" s="360">
        <f ca="1">IF(ISERROR(OFFSET('HARGA SATUAN'!$I$6,MATCH(RAB!C77,'HARGA SATUAN'!$C$7:$C$1492,0),0)),0,OFFSET('HARGA SATUAN'!$I$6,MATCH(RAB!C77,'HARGA SATUAN'!$C$7:$C$1492,0),0))</f>
        <v>63500</v>
      </c>
      <c r="H77" s="361">
        <f t="shared" ca="1" si="28"/>
        <v>0</v>
      </c>
      <c r="I77" s="361">
        <f t="shared" ca="1" si="29"/>
        <v>127000</v>
      </c>
      <c r="J77" s="361">
        <f t="shared" ca="1" si="30"/>
        <v>0</v>
      </c>
      <c r="K77" s="362">
        <f t="shared" ca="1" si="31"/>
        <v>127000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523">
        <v>18</v>
      </c>
      <c r="C78" s="524" t="s">
        <v>27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26">
        <f>F60*8</f>
        <v>16</v>
      </c>
      <c r="G78" s="360">
        <f ca="1">IF(ISERROR(OFFSET('HARGA SATUAN'!$I$6,MATCH(RAB!C78,'HARGA SATUAN'!$C$7:$C$1492,0),0)),0,OFFSET('HARGA SATUAN'!$I$6,MATCH(RAB!C78,'HARGA SATUAN'!$C$7:$C$1492,0),0))</f>
        <v>16000</v>
      </c>
      <c r="H78" s="361">
        <f t="shared" ca="1" si="28"/>
        <v>0</v>
      </c>
      <c r="I78" s="361">
        <f t="shared" ca="1" si="29"/>
        <v>256000</v>
      </c>
      <c r="J78" s="361">
        <f t="shared" ca="1" si="30"/>
        <v>0</v>
      </c>
      <c r="K78" s="362">
        <f t="shared" ca="1" si="31"/>
        <v>256000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523">
        <v>19</v>
      </c>
      <c r="C79" s="524" t="s">
        <v>265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26">
        <f>F60*2</f>
        <v>4</v>
      </c>
      <c r="G79" s="360">
        <f ca="1">IF(ISERROR(OFFSET('HARGA SATUAN'!$I$6,MATCH(RAB!C79,'HARGA SATUAN'!$C$7:$C$1492,0),0)),0,OFFSET('HARGA SATUAN'!$I$6,MATCH(RAB!C79,'HARGA SATUAN'!$C$7:$C$1492,0),0))</f>
        <v>33501.866666666669</v>
      </c>
      <c r="H79" s="361">
        <f t="shared" ca="1" si="28"/>
        <v>0</v>
      </c>
      <c r="I79" s="361">
        <f t="shared" ca="1" si="29"/>
        <v>134007.46666666667</v>
      </c>
      <c r="J79" s="361">
        <f t="shared" ca="1" si="30"/>
        <v>0</v>
      </c>
      <c r="K79" s="362">
        <f t="shared" ca="1" si="31"/>
        <v>134007.46666666667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523">
        <v>20</v>
      </c>
      <c r="C80" s="524" t="s">
        <v>38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Mtr</v>
      </c>
      <c r="F80" s="526">
        <f>5.4*F60</f>
        <v>10.8</v>
      </c>
      <c r="G80" s="360">
        <f ca="1">IF(ISERROR(OFFSET('HARGA SATUAN'!$I$6,MATCH(RAB!C80,'HARGA SATUAN'!$C$7:$C$1492,0),0)),0,OFFSET('HARGA SATUAN'!$I$6,MATCH(RAB!C80,'HARGA SATUAN'!$C$7:$C$1492,0),0))</f>
        <v>8550</v>
      </c>
      <c r="H80" s="361">
        <f t="shared" ca="1" si="28"/>
        <v>0</v>
      </c>
      <c r="I80" s="361">
        <f t="shared" ca="1" si="29"/>
        <v>92340</v>
      </c>
      <c r="J80" s="361">
        <f t="shared" ca="1" si="30"/>
        <v>0</v>
      </c>
      <c r="K80" s="362">
        <f t="shared" ca="1" si="31"/>
        <v>92340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523">
        <v>21</v>
      </c>
      <c r="C81" s="524" t="s">
        <v>26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26">
        <f>F60*13</f>
        <v>26</v>
      </c>
      <c r="G81" s="360">
        <f ca="1">IF(ISERROR(OFFSET('HARGA SATUAN'!$I$6,MATCH(RAB!C81,'HARGA SATUAN'!$C$7:$C$1492,0),0)),0,OFFSET('HARGA SATUAN'!$I$6,MATCH(RAB!C81,'HARGA SATUAN'!$C$7:$C$1492,0),0))</f>
        <v>2500</v>
      </c>
      <c r="H81" s="361">
        <f t="shared" ca="1" si="28"/>
        <v>0</v>
      </c>
      <c r="I81" s="361">
        <f t="shared" ca="1" si="29"/>
        <v>65000</v>
      </c>
      <c r="J81" s="361">
        <f t="shared" ca="1" si="30"/>
        <v>0</v>
      </c>
      <c r="K81" s="362">
        <f t="shared" ca="1" si="31"/>
        <v>65000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523">
        <v>22</v>
      </c>
      <c r="C82" s="522" t="s">
        <v>708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26">
        <f>F60*1</f>
        <v>2</v>
      </c>
      <c r="G82" s="360">
        <f ca="1">IF(ISERROR(OFFSET('HARGA SATUAN'!$I$6,MATCH(RAB!C82,'HARGA SATUAN'!$C$7:$C$1492,0),0)),0,OFFSET('HARGA SATUAN'!$I$6,MATCH(RAB!C82,'HARGA SATUAN'!$C$7:$C$1492,0),0))</f>
        <v>254900</v>
      </c>
      <c r="H82" s="361">
        <f t="shared" ca="1" si="28"/>
        <v>0</v>
      </c>
      <c r="I82" s="361">
        <f t="shared" ca="1" si="29"/>
        <v>0</v>
      </c>
      <c r="J82" s="361">
        <f t="shared" ca="1" si="30"/>
        <v>509800</v>
      </c>
      <c r="K82" s="362">
        <f t="shared" ca="1" si="31"/>
        <v>509800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373"/>
      <c r="C83" s="374"/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484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28"/>
        <v>0</v>
      </c>
      <c r="I83" s="361">
        <f t="shared" ca="1" si="29"/>
        <v>0</v>
      </c>
      <c r="J83" s="361">
        <f t="shared" ca="1" si="30"/>
        <v>0</v>
      </c>
      <c r="K83" s="362">
        <f t="shared" ca="1" si="31"/>
        <v>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521" t="s">
        <v>1035</v>
      </c>
      <c r="C84" s="524" t="s">
        <v>1641</v>
      </c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526">
        <v>1</v>
      </c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28"/>
        <v>0</v>
      </c>
      <c r="I84" s="361">
        <f t="shared" ca="1" si="29"/>
        <v>0</v>
      </c>
      <c r="J84" s="361">
        <f t="shared" ca="1" si="30"/>
        <v>0</v>
      </c>
      <c r="K84" s="362">
        <f t="shared" ca="1" si="31"/>
        <v>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523">
        <v>1</v>
      </c>
      <c r="C85" s="109" t="s">
        <v>1567</v>
      </c>
      <c r="D85" s="358" t="str">
        <f ca="1">IF(ISERROR(OFFSET('HARGA SATUAN'!$D$6,MATCH(RAB!C85,'HARGA SATUAN'!$C$7:$C$1492,0),0)),"",OFFSET('HARGA SATUAN'!$D$6,MATCH(RAB!C85,'HARGA SATUAN'!$C$7:$C$1492,0),0))</f>
        <v>MDU-KD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26">
        <f>F84*1</f>
        <v>1</v>
      </c>
      <c r="G85" s="360">
        <f ca="1">IF(ISERROR(OFFSET('HARGA SATUAN'!$I$6,MATCH(RAB!C85,'HARGA SATUAN'!$C$7:$C$1492,0),0)),0,OFFSET('HARGA SATUAN'!$I$6,MATCH(RAB!C85,'HARGA SATUAN'!$C$7:$C$1492,0),0))</f>
        <v>235900</v>
      </c>
      <c r="H85" s="361">
        <f t="shared" ca="1" si="28"/>
        <v>235900</v>
      </c>
      <c r="I85" s="361">
        <f t="shared" ca="1" si="29"/>
        <v>0</v>
      </c>
      <c r="J85" s="361">
        <f t="shared" ca="1" si="30"/>
        <v>0</v>
      </c>
      <c r="K85" s="362">
        <f t="shared" ca="1" si="31"/>
        <v>235900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523">
        <v>2</v>
      </c>
      <c r="C86" s="109" t="s">
        <v>1567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26">
        <f>F84*1</f>
        <v>1</v>
      </c>
      <c r="G86" s="360">
        <f ca="1">IF(ISERROR(OFFSET('HARGA SATUAN'!$I$6,MATCH(RAB!C86,'HARGA SATUAN'!$C$7:$C$1492,0),0)),0,OFFSET('HARGA SATUAN'!$I$6,MATCH(RAB!C86,'HARGA SATUAN'!$C$7:$C$1492,0),0))</f>
        <v>235900</v>
      </c>
      <c r="H86" s="361">
        <f t="shared" ca="1" si="28"/>
        <v>235900</v>
      </c>
      <c r="I86" s="361">
        <f t="shared" ca="1" si="29"/>
        <v>0</v>
      </c>
      <c r="J86" s="361">
        <f t="shared" ca="1" si="30"/>
        <v>0</v>
      </c>
      <c r="K86" s="362">
        <f t="shared" ca="1" si="31"/>
        <v>235900</v>
      </c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523">
        <v>3</v>
      </c>
      <c r="C87" s="109" t="s">
        <v>1568</v>
      </c>
      <c r="D87" s="358" t="str">
        <f ca="1">IF(ISERROR(OFFSET('HARGA SATUAN'!$D$6,MATCH(RAB!C87,'HARGA SATUAN'!$C$7:$C$1492,0),0)),"",OFFSET('HARGA SATUAN'!$D$6,MATCH(RAB!C87,'HARGA SATUAN'!$C$7:$C$1492,0),0))</f>
        <v>MDU-KD</v>
      </c>
      <c r="E87" s="359" t="str">
        <f ca="1">IF(B87="+","Unit",IF(ISERROR(OFFSET('HARGA SATUAN'!$E$6,MATCH(RAB!C87,'HARGA SATUAN'!$C$7:$C$1492,0),0)),"",OFFSET('HARGA SATUAN'!$E$6,MATCH(RAB!C87,'HARGA SATUAN'!$C$7:$C$1492,0),0)))</f>
        <v>Set</v>
      </c>
      <c r="F87" s="526">
        <f>F84*6</f>
        <v>6</v>
      </c>
      <c r="G87" s="360">
        <f ca="1">IF(ISERROR(OFFSET('HARGA SATUAN'!$I$6,MATCH(RAB!C87,'HARGA SATUAN'!$C$7:$C$1492,0),0)),0,OFFSET('HARGA SATUAN'!$I$6,MATCH(RAB!C87,'HARGA SATUAN'!$C$7:$C$1492,0),0))</f>
        <v>430000</v>
      </c>
      <c r="H87" s="361">
        <f t="shared" ca="1" si="28"/>
        <v>2580000</v>
      </c>
      <c r="I87" s="361">
        <f t="shared" ca="1" si="29"/>
        <v>0</v>
      </c>
      <c r="J87" s="361">
        <f t="shared" ca="1" si="30"/>
        <v>0</v>
      </c>
      <c r="K87" s="362">
        <f t="shared" ca="1" si="31"/>
        <v>2580000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523">
        <v>4</v>
      </c>
      <c r="C88" s="524" t="s">
        <v>152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Mtr</v>
      </c>
      <c r="F88" s="526">
        <f>F84*2</f>
        <v>2</v>
      </c>
      <c r="G88" s="360">
        <f ca="1">IF(ISERROR(OFFSET('HARGA SATUAN'!$I$6,MATCH(RAB!C88,'HARGA SATUAN'!$C$7:$C$1492,0),0)),0,OFFSET('HARGA SATUAN'!$I$6,MATCH(RAB!C88,'HARGA SATUAN'!$C$7:$C$1492,0),0))</f>
        <v>7789</v>
      </c>
      <c r="H88" s="361">
        <f t="shared" ca="1" si="28"/>
        <v>0</v>
      </c>
      <c r="I88" s="361">
        <f t="shared" ca="1" si="29"/>
        <v>15578</v>
      </c>
      <c r="J88" s="361">
        <f t="shared" ca="1" si="30"/>
        <v>0</v>
      </c>
      <c r="K88" s="362">
        <f t="shared" ca="1" si="31"/>
        <v>15578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523">
        <v>5</v>
      </c>
      <c r="C89" s="524" t="s">
        <v>157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26">
        <f>F84*4</f>
        <v>4</v>
      </c>
      <c r="G89" s="360">
        <f ca="1">IF(ISERROR(OFFSET('HARGA SATUAN'!$I$6,MATCH(RAB!C89,'HARGA SATUAN'!$C$7:$C$1492,0),0)),0,OFFSET('HARGA SATUAN'!$I$6,MATCH(RAB!C89,'HARGA SATUAN'!$C$7:$C$1492,0),0))</f>
        <v>40000</v>
      </c>
      <c r="H89" s="361">
        <f t="shared" ca="1" si="28"/>
        <v>0</v>
      </c>
      <c r="I89" s="361">
        <f t="shared" ca="1" si="29"/>
        <v>160000</v>
      </c>
      <c r="J89" s="361">
        <f t="shared" ca="1" si="30"/>
        <v>0</v>
      </c>
      <c r="K89" s="362">
        <f t="shared" ca="1" si="31"/>
        <v>160000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523">
        <v>6</v>
      </c>
      <c r="C90" s="524" t="s">
        <v>163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26">
        <f>F84*8</f>
        <v>8</v>
      </c>
      <c r="G90" s="360">
        <f ca="1">IF(ISERROR(OFFSET('HARGA SATUAN'!$I$6,MATCH(RAB!C90,'HARGA SATUAN'!$C$7:$C$1492,0),0)),0,OFFSET('HARGA SATUAN'!$I$6,MATCH(RAB!C90,'HARGA SATUAN'!$C$7:$C$1492,0),0))</f>
        <v>7938</v>
      </c>
      <c r="H90" s="361">
        <f t="shared" ref="H90:H107" ca="1" si="32">IF(OR(D90="MDU",D90="MDU-KD"),(IF($O$3="RAB NON MDU","PLN KD",G90*F90)),0)</f>
        <v>0</v>
      </c>
      <c r="I90" s="361">
        <f t="shared" ref="I90:I107" ca="1" si="33">IF(D90="HDW",G90*F90,0)</f>
        <v>63504</v>
      </c>
      <c r="J90" s="361">
        <f t="shared" ref="J90:J107" ca="1" si="34">IF(D90="JASA",G90*F90,0)</f>
        <v>0</v>
      </c>
      <c r="K90" s="362">
        <f t="shared" ref="K90:K107" ca="1" si="35">SUM(H90:J90)</f>
        <v>63504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523">
        <v>7</v>
      </c>
      <c r="C91" s="524" t="s">
        <v>28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26">
        <f>F84*1</f>
        <v>1</v>
      </c>
      <c r="G91" s="360">
        <f ca="1">IF(ISERROR(OFFSET('HARGA SATUAN'!$I$6,MATCH(RAB!C91,'HARGA SATUAN'!$C$7:$C$1492,0),0)),0,OFFSET('HARGA SATUAN'!$I$6,MATCH(RAB!C91,'HARGA SATUAN'!$C$7:$C$1492,0),0))</f>
        <v>26500</v>
      </c>
      <c r="H91" s="361">
        <f t="shared" ca="1" si="32"/>
        <v>0</v>
      </c>
      <c r="I91" s="361">
        <f t="shared" ca="1" si="33"/>
        <v>26500</v>
      </c>
      <c r="J91" s="361">
        <f t="shared" ca="1" si="34"/>
        <v>0</v>
      </c>
      <c r="K91" s="362">
        <f t="shared" ca="1" si="35"/>
        <v>26500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523">
        <v>8</v>
      </c>
      <c r="C92" s="524" t="s">
        <v>173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26">
        <f>F84*8</f>
        <v>8</v>
      </c>
      <c r="G92" s="360">
        <f ca="1">IF(ISERROR(OFFSET('HARGA SATUAN'!$I$6,MATCH(RAB!C92,'HARGA SATUAN'!$C$7:$C$1492,0),0)),0,OFFSET('HARGA SATUAN'!$I$6,MATCH(RAB!C92,'HARGA SATUAN'!$C$7:$C$1492,0),0))</f>
        <v>45000</v>
      </c>
      <c r="H92" s="361">
        <f t="shared" ca="1" si="32"/>
        <v>0</v>
      </c>
      <c r="I92" s="361">
        <f t="shared" ca="1" si="33"/>
        <v>360000</v>
      </c>
      <c r="J92" s="361">
        <f t="shared" ca="1" si="34"/>
        <v>0</v>
      </c>
      <c r="K92" s="362">
        <f t="shared" ca="1" si="35"/>
        <v>360000</v>
      </c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523">
        <v>9</v>
      </c>
      <c r="C93" s="524" t="s">
        <v>179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26">
        <f>F84*2</f>
        <v>2</v>
      </c>
      <c r="G93" s="360">
        <f ca="1">IF(ISERROR(OFFSET('HARGA SATUAN'!$I$6,MATCH(RAB!C93,'HARGA SATUAN'!$C$7:$C$1492,0),0)),0,OFFSET('HARGA SATUAN'!$I$6,MATCH(RAB!C93,'HARGA SATUAN'!$C$7:$C$1492,0),0))</f>
        <v>15500</v>
      </c>
      <c r="H93" s="361">
        <f t="shared" ca="1" si="32"/>
        <v>0</v>
      </c>
      <c r="I93" s="361">
        <f t="shared" ca="1" si="33"/>
        <v>31000</v>
      </c>
      <c r="J93" s="361">
        <f t="shared" ca="1" si="34"/>
        <v>0</v>
      </c>
      <c r="K93" s="362">
        <f t="shared" ca="1" si="35"/>
        <v>31000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523">
        <v>10</v>
      </c>
      <c r="C94" s="524" t="s">
        <v>181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26">
        <f>F84*4</f>
        <v>4</v>
      </c>
      <c r="G94" s="360">
        <f ca="1">IF(ISERROR(OFFSET('HARGA SATUAN'!$I$6,MATCH(RAB!C94,'HARGA SATUAN'!$C$7:$C$1492,0),0)),0,OFFSET('HARGA SATUAN'!$I$6,MATCH(RAB!C94,'HARGA SATUAN'!$C$7:$C$1492,0),0))</f>
        <v>28100</v>
      </c>
      <c r="H94" s="361">
        <f t="shared" ca="1" si="32"/>
        <v>0</v>
      </c>
      <c r="I94" s="361">
        <f t="shared" ca="1" si="33"/>
        <v>112400</v>
      </c>
      <c r="J94" s="361">
        <f t="shared" ca="1" si="34"/>
        <v>0</v>
      </c>
      <c r="K94" s="362">
        <f t="shared" ca="1" si="35"/>
        <v>112400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523">
        <v>11</v>
      </c>
      <c r="C95" s="524" t="s">
        <v>593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26">
        <f>F84*4</f>
        <v>4</v>
      </c>
      <c r="G95" s="360">
        <f ca="1">IF(ISERROR(OFFSET('HARGA SATUAN'!$I$6,MATCH(RAB!C95,'HARGA SATUAN'!$C$7:$C$1492,0),0)),0,OFFSET('HARGA SATUAN'!$I$6,MATCH(RAB!C95,'HARGA SATUAN'!$C$7:$C$1492,0),0))</f>
        <v>380500</v>
      </c>
      <c r="H95" s="361">
        <f t="shared" ca="1" si="32"/>
        <v>0</v>
      </c>
      <c r="I95" s="361">
        <f t="shared" ca="1" si="33"/>
        <v>1522000</v>
      </c>
      <c r="J95" s="361">
        <f t="shared" ca="1" si="34"/>
        <v>0</v>
      </c>
      <c r="K95" s="362">
        <f t="shared" ca="1" si="35"/>
        <v>1522000</v>
      </c>
      <c r="L95" s="342"/>
      <c r="M95" s="342"/>
      <c r="N95" s="369"/>
      <c r="O95" s="344"/>
      <c r="P95" s="344"/>
      <c r="Q95" s="398"/>
      <c r="R95" s="344"/>
      <c r="S95" s="398"/>
      <c r="T95" s="399"/>
      <c r="U95" s="399"/>
      <c r="V95" s="399"/>
    </row>
    <row r="96" spans="1:22" s="365" customFormat="1">
      <c r="A96" s="336"/>
      <c r="B96" s="523">
        <v>12</v>
      </c>
      <c r="C96" s="524" t="s">
        <v>218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526">
        <f>F84*4</f>
        <v>4</v>
      </c>
      <c r="G96" s="360">
        <f ca="1">IF(ISERROR(OFFSET('HARGA SATUAN'!$I$6,MATCH(RAB!C96,'HARGA SATUAN'!$C$7:$C$1492,0),0)),0,OFFSET('HARGA SATUAN'!$I$6,MATCH(RAB!C96,'HARGA SATUAN'!$C$7:$C$1492,0),0))</f>
        <v>29600</v>
      </c>
      <c r="H96" s="361">
        <f t="shared" ca="1" si="32"/>
        <v>0</v>
      </c>
      <c r="I96" s="361">
        <f t="shared" ca="1" si="33"/>
        <v>118400</v>
      </c>
      <c r="J96" s="361">
        <f t="shared" ca="1" si="34"/>
        <v>0</v>
      </c>
      <c r="K96" s="362">
        <f t="shared" ca="1" si="35"/>
        <v>118400</v>
      </c>
      <c r="L96" s="342"/>
      <c r="M96" s="342"/>
      <c r="N96" s="369"/>
      <c r="O96" s="344"/>
      <c r="P96" s="344"/>
      <c r="Q96" s="398"/>
      <c r="R96" s="344"/>
      <c r="S96" s="398"/>
      <c r="T96" s="399"/>
      <c r="U96" s="399"/>
      <c r="V96" s="399"/>
    </row>
    <row r="97" spans="1:22" s="365" customFormat="1">
      <c r="A97" s="336"/>
      <c r="B97" s="523">
        <v>13</v>
      </c>
      <c r="C97" s="524" t="s">
        <v>217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526">
        <f>F84*9</f>
        <v>9</v>
      </c>
      <c r="G97" s="360">
        <f ca="1">IF(ISERROR(OFFSET('HARGA SATUAN'!$I$6,MATCH(RAB!C97,'HARGA SATUAN'!$C$7:$C$1492,0),0)),0,OFFSET('HARGA SATUAN'!$I$6,MATCH(RAB!C97,'HARGA SATUAN'!$C$7:$C$1492,0),0))</f>
        <v>11400</v>
      </c>
      <c r="H97" s="361">
        <f t="shared" ca="1" si="32"/>
        <v>0</v>
      </c>
      <c r="I97" s="361">
        <f t="shared" ca="1" si="33"/>
        <v>102600</v>
      </c>
      <c r="J97" s="361">
        <f t="shared" ca="1" si="34"/>
        <v>0</v>
      </c>
      <c r="K97" s="362">
        <f t="shared" ca="1" si="35"/>
        <v>102600</v>
      </c>
      <c r="L97" s="342"/>
      <c r="M97" s="342"/>
      <c r="N97" s="369"/>
      <c r="O97" s="344"/>
      <c r="P97" s="344"/>
      <c r="Q97" s="398"/>
      <c r="R97" s="344"/>
      <c r="S97" s="398"/>
      <c r="T97" s="399"/>
      <c r="U97" s="399"/>
      <c r="V97" s="399"/>
    </row>
    <row r="98" spans="1:22" s="365" customFormat="1">
      <c r="A98" s="336"/>
      <c r="B98" s="523">
        <v>14</v>
      </c>
      <c r="C98" s="524" t="s">
        <v>223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26">
        <f>F84*2</f>
        <v>2</v>
      </c>
      <c r="G98" s="360">
        <f ca="1">IF(ISERROR(OFFSET('HARGA SATUAN'!$I$6,MATCH(RAB!C98,'HARGA SATUAN'!$C$7:$C$1492,0),0)),0,OFFSET('HARGA SATUAN'!$I$6,MATCH(RAB!C98,'HARGA SATUAN'!$C$7:$C$1492,0),0))</f>
        <v>27815</v>
      </c>
      <c r="H98" s="361">
        <f t="shared" ca="1" si="32"/>
        <v>0</v>
      </c>
      <c r="I98" s="361">
        <f t="shared" ca="1" si="33"/>
        <v>55630</v>
      </c>
      <c r="J98" s="361">
        <f t="shared" ca="1" si="34"/>
        <v>0</v>
      </c>
      <c r="K98" s="362">
        <f t="shared" ca="1" si="35"/>
        <v>55630</v>
      </c>
      <c r="L98" s="342"/>
      <c r="M98" s="342"/>
      <c r="N98" s="369"/>
      <c r="O98" s="344"/>
      <c r="P98" s="344"/>
      <c r="Q98" s="398"/>
      <c r="R98" s="344"/>
      <c r="S98" s="398"/>
      <c r="T98" s="399"/>
      <c r="U98" s="399"/>
      <c r="V98" s="399"/>
    </row>
    <row r="99" spans="1:22" s="365" customFormat="1">
      <c r="A99" s="336"/>
      <c r="B99" s="523">
        <v>15</v>
      </c>
      <c r="C99" s="524" t="s">
        <v>25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26">
        <f>F84*6</f>
        <v>6</v>
      </c>
      <c r="G99" s="360">
        <f ca="1">IF(ISERROR(OFFSET('HARGA SATUAN'!$I$6,MATCH(RAB!C99,'HARGA SATUAN'!$C$7:$C$1492,0),0)),0,OFFSET('HARGA SATUAN'!$I$6,MATCH(RAB!C99,'HARGA SATUAN'!$C$7:$C$1492,0),0))</f>
        <v>23936</v>
      </c>
      <c r="H99" s="361">
        <f t="shared" ca="1" si="32"/>
        <v>0</v>
      </c>
      <c r="I99" s="361">
        <f t="shared" ca="1" si="33"/>
        <v>143616</v>
      </c>
      <c r="J99" s="361">
        <f t="shared" ca="1" si="34"/>
        <v>0</v>
      </c>
      <c r="K99" s="362">
        <f t="shared" ca="1" si="35"/>
        <v>143616</v>
      </c>
      <c r="L99" s="342"/>
      <c r="M99" s="342"/>
      <c r="N99" s="369"/>
      <c r="O99" s="344"/>
      <c r="P99" s="344"/>
      <c r="Q99" s="398"/>
      <c r="R99" s="344"/>
      <c r="S99" s="398"/>
      <c r="T99" s="399"/>
      <c r="U99" s="399"/>
      <c r="V99" s="399"/>
    </row>
    <row r="100" spans="1:22" s="365" customFormat="1">
      <c r="A100" s="336"/>
      <c r="B100" s="523">
        <v>16</v>
      </c>
      <c r="C100" s="524" t="s">
        <v>37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26">
        <f>F84*3</f>
        <v>3</v>
      </c>
      <c r="G100" s="360">
        <f ca="1">IF(ISERROR(OFFSET('HARGA SATUAN'!$I$6,MATCH(RAB!C100,'HARGA SATUAN'!$C$7:$C$1492,0),0)),0,OFFSET('HARGA SATUAN'!$I$6,MATCH(RAB!C100,'HARGA SATUAN'!$C$7:$C$1492,0),0))</f>
        <v>63500</v>
      </c>
      <c r="H100" s="361">
        <f t="shared" ca="1" si="32"/>
        <v>0</v>
      </c>
      <c r="I100" s="361">
        <f t="shared" ca="1" si="33"/>
        <v>190500</v>
      </c>
      <c r="J100" s="361">
        <f t="shared" ca="1" si="34"/>
        <v>0</v>
      </c>
      <c r="K100" s="362">
        <f t="shared" ca="1" si="35"/>
        <v>190500</v>
      </c>
      <c r="L100" s="342"/>
      <c r="M100" s="342"/>
      <c r="N100" s="369"/>
      <c r="O100" s="344"/>
      <c r="P100" s="344"/>
      <c r="Q100" s="398"/>
      <c r="R100" s="344"/>
      <c r="S100" s="398"/>
      <c r="T100" s="399"/>
      <c r="U100" s="399"/>
      <c r="V100" s="399"/>
    </row>
    <row r="101" spans="1:22" s="365" customFormat="1">
      <c r="A101" s="336"/>
      <c r="B101" s="523">
        <v>17</v>
      </c>
      <c r="C101" s="524" t="s">
        <v>247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26">
        <f>F84*3</f>
        <v>3</v>
      </c>
      <c r="G101" s="360">
        <f ca="1">IF(ISERROR(OFFSET('HARGA SATUAN'!$I$6,MATCH(RAB!C101,'HARGA SATUAN'!$C$7:$C$1492,0),0)),0,OFFSET('HARGA SATUAN'!$I$6,MATCH(RAB!C101,'HARGA SATUAN'!$C$7:$C$1492,0),0))</f>
        <v>57690</v>
      </c>
      <c r="H101" s="361">
        <f t="shared" ca="1" si="32"/>
        <v>0</v>
      </c>
      <c r="I101" s="361">
        <f t="shared" ca="1" si="33"/>
        <v>173070</v>
      </c>
      <c r="J101" s="361">
        <f t="shared" ca="1" si="34"/>
        <v>0</v>
      </c>
      <c r="K101" s="362">
        <f t="shared" ca="1" si="35"/>
        <v>173070</v>
      </c>
      <c r="L101" s="342"/>
      <c r="M101" s="342"/>
      <c r="N101" s="369"/>
      <c r="O101" s="344"/>
      <c r="P101" s="344"/>
      <c r="Q101" s="398"/>
      <c r="R101" s="344"/>
      <c r="S101" s="398"/>
      <c r="T101" s="399"/>
      <c r="U101" s="399"/>
      <c r="V101" s="399"/>
    </row>
    <row r="102" spans="1:22" s="365" customFormat="1">
      <c r="A102" s="336"/>
      <c r="B102" s="523">
        <v>18</v>
      </c>
      <c r="C102" s="524" t="s">
        <v>27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526">
        <f>F84*6</f>
        <v>6</v>
      </c>
      <c r="G102" s="360">
        <f ca="1">IF(ISERROR(OFFSET('HARGA SATUAN'!$I$6,MATCH(RAB!C102,'HARGA SATUAN'!$C$7:$C$1492,0),0)),0,OFFSET('HARGA SATUAN'!$I$6,MATCH(RAB!C102,'HARGA SATUAN'!$C$7:$C$1492,0),0))</f>
        <v>16000</v>
      </c>
      <c r="H102" s="361">
        <f t="shared" ca="1" si="32"/>
        <v>0</v>
      </c>
      <c r="I102" s="361">
        <f t="shared" ca="1" si="33"/>
        <v>96000</v>
      </c>
      <c r="J102" s="361">
        <f t="shared" ca="1" si="34"/>
        <v>0</v>
      </c>
      <c r="K102" s="362">
        <f t="shared" ca="1" si="35"/>
        <v>96000</v>
      </c>
      <c r="L102" s="342"/>
      <c r="M102" s="342"/>
      <c r="N102" s="369"/>
      <c r="O102" s="344"/>
      <c r="P102" s="344"/>
      <c r="Q102" s="398"/>
      <c r="R102" s="344"/>
      <c r="S102" s="398"/>
      <c r="T102" s="399"/>
      <c r="U102" s="399"/>
      <c r="V102" s="399"/>
    </row>
    <row r="103" spans="1:22" s="365" customFormat="1">
      <c r="A103" s="336"/>
      <c r="B103" s="523">
        <v>19</v>
      </c>
      <c r="C103" s="524" t="s">
        <v>265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526">
        <f>F84*2</f>
        <v>2</v>
      </c>
      <c r="G103" s="360">
        <f ca="1">IF(ISERROR(OFFSET('HARGA SATUAN'!$I$6,MATCH(RAB!C103,'HARGA SATUAN'!$C$7:$C$1492,0),0)),0,OFFSET('HARGA SATUAN'!$I$6,MATCH(RAB!C103,'HARGA SATUAN'!$C$7:$C$1492,0),0))</f>
        <v>33501.866666666669</v>
      </c>
      <c r="H103" s="361">
        <f t="shared" ca="1" si="32"/>
        <v>0</v>
      </c>
      <c r="I103" s="361">
        <f t="shared" ca="1" si="33"/>
        <v>67003.733333333337</v>
      </c>
      <c r="J103" s="361">
        <f t="shared" ca="1" si="34"/>
        <v>0</v>
      </c>
      <c r="K103" s="362">
        <f t="shared" ca="1" si="35"/>
        <v>67003.733333333337</v>
      </c>
      <c r="L103" s="342"/>
      <c r="M103" s="342"/>
      <c r="N103" s="369"/>
      <c r="O103" s="344"/>
      <c r="P103" s="344"/>
      <c r="Q103" s="398"/>
      <c r="R103" s="344"/>
      <c r="S103" s="398"/>
      <c r="T103" s="399"/>
      <c r="U103" s="399"/>
      <c r="V103" s="399"/>
    </row>
    <row r="104" spans="1:22" s="365" customFormat="1">
      <c r="A104" s="336"/>
      <c r="B104" s="523">
        <v>20</v>
      </c>
      <c r="C104" s="524" t="s">
        <v>38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Mtr</v>
      </c>
      <c r="F104" s="526">
        <f>3.6*F84</f>
        <v>3.6</v>
      </c>
      <c r="G104" s="360">
        <f ca="1">IF(ISERROR(OFFSET('HARGA SATUAN'!$I$6,MATCH(RAB!C104,'HARGA SATUAN'!$C$7:$C$1492,0),0)),0,OFFSET('HARGA SATUAN'!$I$6,MATCH(RAB!C104,'HARGA SATUAN'!$C$7:$C$1492,0),0))</f>
        <v>8550</v>
      </c>
      <c r="H104" s="361">
        <f t="shared" ca="1" si="32"/>
        <v>0</v>
      </c>
      <c r="I104" s="361">
        <f t="shared" ca="1" si="33"/>
        <v>30780</v>
      </c>
      <c r="J104" s="361">
        <f t="shared" ca="1" si="34"/>
        <v>0</v>
      </c>
      <c r="K104" s="362">
        <f t="shared" ca="1" si="35"/>
        <v>30780</v>
      </c>
      <c r="L104" s="342"/>
      <c r="M104" s="342"/>
      <c r="N104" s="369"/>
      <c r="O104" s="344"/>
      <c r="P104" s="344"/>
      <c r="Q104" s="398"/>
      <c r="R104" s="344"/>
      <c r="S104" s="398"/>
      <c r="T104" s="399"/>
      <c r="U104" s="399"/>
      <c r="V104" s="399"/>
    </row>
    <row r="105" spans="1:22" s="365" customFormat="1">
      <c r="A105" s="336"/>
      <c r="B105" s="523">
        <v>21</v>
      </c>
      <c r="C105" s="524" t="s">
        <v>26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26">
        <f>F84*22</f>
        <v>22</v>
      </c>
      <c r="G105" s="360">
        <f ca="1">IF(ISERROR(OFFSET('HARGA SATUAN'!$I$6,MATCH(RAB!C105,'HARGA SATUAN'!$C$7:$C$1492,0),0)),0,OFFSET('HARGA SATUAN'!$I$6,MATCH(RAB!C105,'HARGA SATUAN'!$C$7:$C$1492,0),0))</f>
        <v>2500</v>
      </c>
      <c r="H105" s="361">
        <f t="shared" ca="1" si="32"/>
        <v>0</v>
      </c>
      <c r="I105" s="361">
        <f t="shared" ca="1" si="33"/>
        <v>55000</v>
      </c>
      <c r="J105" s="361">
        <f t="shared" ca="1" si="34"/>
        <v>0</v>
      </c>
      <c r="K105" s="362">
        <f t="shared" ca="1" si="35"/>
        <v>55000</v>
      </c>
      <c r="L105" s="342"/>
      <c r="M105" s="342"/>
      <c r="N105" s="369"/>
      <c r="O105" s="344"/>
      <c r="P105" s="344"/>
      <c r="Q105" s="398"/>
      <c r="R105" s="344"/>
      <c r="S105" s="398"/>
      <c r="T105" s="399"/>
      <c r="U105" s="399"/>
      <c r="V105" s="399"/>
    </row>
    <row r="106" spans="1:22" s="365" customFormat="1">
      <c r="A106" s="336"/>
      <c r="B106" s="523">
        <v>22</v>
      </c>
      <c r="C106" s="522" t="s">
        <v>709</v>
      </c>
      <c r="D106" s="358" t="str">
        <f ca="1">IF(ISERROR(OFFSET('HARGA SATUAN'!$D$6,MATCH(RAB!C106,'HARGA SATUAN'!$C$7:$C$1492,0),0)),"",OFFSET('HARGA SATUAN'!$D$6,MATCH(RAB!C106,'HARGA SATUAN'!$C$7:$C$1492,0),0))</f>
        <v>JASA</v>
      </c>
      <c r="E106" s="359" t="str">
        <f ca="1">IF(B106="+","Unit",IF(ISERROR(OFFSET('HARGA SATUAN'!$E$6,MATCH(RAB!C106,'HARGA SATUAN'!$C$7:$C$1492,0),0)),"",OFFSET('HARGA SATUAN'!$E$6,MATCH(RAB!C106,'HARGA SATUAN'!$C$7:$C$1492,0),0)))</f>
        <v>Unit</v>
      </c>
      <c r="F106" s="526">
        <f>F84*1</f>
        <v>1</v>
      </c>
      <c r="G106" s="360">
        <f ca="1">IF(ISERROR(OFFSET('HARGA SATUAN'!$I$6,MATCH(RAB!C106,'HARGA SATUAN'!$C$7:$C$1492,0),0)),0,OFFSET('HARGA SATUAN'!$I$6,MATCH(RAB!C106,'HARGA SATUAN'!$C$7:$C$1492,0),0))</f>
        <v>197500</v>
      </c>
      <c r="H106" s="361">
        <f t="shared" ca="1" si="32"/>
        <v>0</v>
      </c>
      <c r="I106" s="361">
        <f t="shared" ca="1" si="33"/>
        <v>0</v>
      </c>
      <c r="J106" s="361">
        <f t="shared" ca="1" si="34"/>
        <v>197500</v>
      </c>
      <c r="K106" s="362">
        <f t="shared" ca="1" si="35"/>
        <v>197500</v>
      </c>
      <c r="L106" s="342"/>
      <c r="M106" s="342"/>
      <c r="N106" s="369"/>
      <c r="O106" s="344"/>
      <c r="P106" s="344"/>
      <c r="Q106" s="398"/>
      <c r="R106" s="344"/>
      <c r="S106" s="398"/>
      <c r="T106" s="399"/>
      <c r="U106" s="399"/>
      <c r="V106" s="399"/>
    </row>
    <row r="107" spans="1:22" s="365" customFormat="1">
      <c r="A107" s="336"/>
      <c r="B107" s="373"/>
      <c r="C107" s="374"/>
      <c r="D107" s="358" t="str">
        <f ca="1">IF(ISERROR(OFFSET('HARGA SATUAN'!$D$6,MATCH(RAB!C107,'HARGA SATUAN'!$C$7:$C$1492,0),0)),"",OFFSET('HARGA SATUAN'!$D$6,MATCH(RAB!C107,'HARGA SATUAN'!$C$7:$C$1492,0),0))</f>
        <v/>
      </c>
      <c r="E107" s="359" t="str">
        <f ca="1">IF(B107="+","Unit",IF(ISERROR(OFFSET('HARGA SATUAN'!$E$6,MATCH(RAB!C107,'HARGA SATUAN'!$C$7:$C$1492,0),0)),"",OFFSET('HARGA SATUAN'!$E$6,MATCH(RAB!C107,'HARGA SATUAN'!$C$7:$C$1492,0),0)))</f>
        <v/>
      </c>
      <c r="F107" s="484"/>
      <c r="G107" s="360">
        <f ca="1">IF(ISERROR(OFFSET('HARGA SATUAN'!$I$6,MATCH(RAB!C107,'HARGA SATUAN'!$C$7:$C$1492,0),0)),0,OFFSET('HARGA SATUAN'!$I$6,MATCH(RAB!C107,'HARGA SATUAN'!$C$7:$C$1492,0),0))</f>
        <v>0</v>
      </c>
      <c r="H107" s="361">
        <f t="shared" ca="1" si="32"/>
        <v>0</v>
      </c>
      <c r="I107" s="361">
        <f t="shared" ca="1" si="33"/>
        <v>0</v>
      </c>
      <c r="J107" s="361">
        <f t="shared" ca="1" si="34"/>
        <v>0</v>
      </c>
      <c r="K107" s="362">
        <f t="shared" ca="1" si="35"/>
        <v>0</v>
      </c>
      <c r="L107" s="342"/>
      <c r="M107" s="342"/>
      <c r="N107" s="369"/>
      <c r="O107" s="344"/>
      <c r="P107" s="344"/>
      <c r="Q107" s="398"/>
      <c r="R107" s="344"/>
      <c r="S107" s="398"/>
      <c r="T107" s="399"/>
      <c r="U107" s="399"/>
      <c r="V107" s="399"/>
    </row>
    <row r="108" spans="1:22" s="365" customFormat="1">
      <c r="A108" s="336"/>
      <c r="B108" s="503" t="s">
        <v>1035</v>
      </c>
      <c r="C108" s="504" t="s">
        <v>1625</v>
      </c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484">
        <v>22</v>
      </c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ref="H108:H133" ca="1" si="36">IF(OR(D108="MDU",D108="MDU-KD"),(IF($O$3="RAB NON MDU","PLN KD",G108*F108)),0)</f>
        <v>0</v>
      </c>
      <c r="I108" s="361">
        <f t="shared" ref="I108:I133" ca="1" si="37">IF(D108="HDW",G108*F108,0)</f>
        <v>0</v>
      </c>
      <c r="J108" s="361">
        <f t="shared" ref="J108:J133" ca="1" si="38">IF(D108="JASA",G108*F108,0)</f>
        <v>0</v>
      </c>
      <c r="K108" s="362">
        <f t="shared" ref="K108:K133" ca="1" si="39">SUM(H108:J108)</f>
        <v>0</v>
      </c>
      <c r="L108" s="342"/>
      <c r="M108" s="342"/>
      <c r="N108" s="369"/>
      <c r="O108" s="344"/>
      <c r="P108" s="344"/>
      <c r="Q108" s="398"/>
      <c r="R108" s="344"/>
      <c r="S108" s="398"/>
      <c r="T108" s="399"/>
      <c r="U108" s="399"/>
      <c r="V108" s="399"/>
    </row>
    <row r="109" spans="1:22" s="365" customFormat="1">
      <c r="A109" s="336"/>
      <c r="B109" s="503">
        <v>1</v>
      </c>
      <c r="C109" s="504" t="s">
        <v>30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84">
        <f>F108*1</f>
        <v>22</v>
      </c>
      <c r="G109" s="360">
        <f ca="1">IF(ISERROR(OFFSET('HARGA SATUAN'!$I$6,MATCH(RAB!C109,'HARGA SATUAN'!$C$7:$C$1492,0),0)),0,OFFSET('HARGA SATUAN'!$I$6,MATCH(RAB!C109,'HARGA SATUAN'!$C$7:$C$1492,0),0))</f>
        <v>47459</v>
      </c>
      <c r="H109" s="361">
        <f t="shared" ca="1" si="36"/>
        <v>0</v>
      </c>
      <c r="I109" s="361">
        <f t="shared" ca="1" si="37"/>
        <v>1044098</v>
      </c>
      <c r="J109" s="361">
        <f t="shared" ca="1" si="38"/>
        <v>0</v>
      </c>
      <c r="K109" s="362">
        <f t="shared" ca="1" si="39"/>
        <v>1044098</v>
      </c>
      <c r="L109" s="342"/>
      <c r="M109" s="342"/>
      <c r="N109" s="369"/>
      <c r="O109" s="344"/>
      <c r="P109" s="344"/>
      <c r="Q109" s="398"/>
      <c r="R109" s="344"/>
      <c r="S109" s="398"/>
      <c r="T109" s="399"/>
      <c r="U109" s="399"/>
      <c r="V109" s="399"/>
    </row>
    <row r="110" spans="1:22" s="365" customFormat="1">
      <c r="A110" s="336"/>
      <c r="B110" s="503">
        <v>2</v>
      </c>
      <c r="C110" s="504" t="s">
        <v>32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Mtr</v>
      </c>
      <c r="F110" s="484">
        <f>F108*0.8</f>
        <v>17.600000000000001</v>
      </c>
      <c r="G110" s="360">
        <f ca="1">IF(ISERROR(OFFSET('HARGA SATUAN'!$I$6,MATCH(RAB!C110,'HARGA SATUAN'!$C$7:$C$1492,0),0)),0,OFFSET('HARGA SATUAN'!$I$6,MATCH(RAB!C110,'HARGA SATUAN'!$C$7:$C$1492,0),0))</f>
        <v>30000</v>
      </c>
      <c r="H110" s="361">
        <f t="shared" ca="1" si="36"/>
        <v>0</v>
      </c>
      <c r="I110" s="361">
        <f t="shared" ca="1" si="37"/>
        <v>528000</v>
      </c>
      <c r="J110" s="361">
        <f t="shared" ca="1" si="38"/>
        <v>0</v>
      </c>
      <c r="K110" s="362">
        <f t="shared" ca="1" si="39"/>
        <v>528000</v>
      </c>
      <c r="L110" s="342"/>
      <c r="M110" s="342"/>
      <c r="N110" s="369"/>
      <c r="O110" s="344"/>
      <c r="P110" s="344"/>
      <c r="Q110" s="398"/>
      <c r="R110" s="344"/>
      <c r="S110" s="398"/>
      <c r="T110" s="399"/>
      <c r="U110" s="399"/>
      <c r="V110" s="399"/>
    </row>
    <row r="111" spans="1:22" s="365" customFormat="1">
      <c r="A111" s="336"/>
      <c r="B111" s="503">
        <v>3</v>
      </c>
      <c r="C111" s="504" t="s">
        <v>33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484">
        <f>F108*1</f>
        <v>22</v>
      </c>
      <c r="G111" s="360">
        <f ca="1">IF(ISERROR(OFFSET('HARGA SATUAN'!$I$6,MATCH(RAB!C111,'HARGA SATUAN'!$C$7:$C$1492,0),0)),0,OFFSET('HARGA SATUAN'!$I$6,MATCH(RAB!C111,'HARGA SATUAN'!$C$7:$C$1492,0),0))</f>
        <v>9500</v>
      </c>
      <c r="H111" s="361">
        <f t="shared" ca="1" si="36"/>
        <v>0</v>
      </c>
      <c r="I111" s="361">
        <f t="shared" ca="1" si="37"/>
        <v>209000</v>
      </c>
      <c r="J111" s="361">
        <f t="shared" ca="1" si="38"/>
        <v>0</v>
      </c>
      <c r="K111" s="362">
        <f t="shared" ca="1" si="39"/>
        <v>209000</v>
      </c>
      <c r="L111" s="342"/>
      <c r="M111" s="342"/>
      <c r="N111" s="369"/>
      <c r="O111" s="344"/>
      <c r="P111" s="344"/>
      <c r="Q111" s="398"/>
      <c r="R111" s="344"/>
      <c r="S111" s="398"/>
      <c r="T111" s="399"/>
      <c r="U111" s="399"/>
      <c r="V111" s="399"/>
    </row>
    <row r="112" spans="1:22" s="365" customFormat="1">
      <c r="A112" s="336"/>
      <c r="B112" s="503">
        <v>4</v>
      </c>
      <c r="C112" s="504" t="s">
        <v>737</v>
      </c>
      <c r="D112" s="358" t="str">
        <f ca="1">IF(ISERROR(OFFSET('HARGA SATUAN'!$D$6,MATCH(RAB!C112,'HARGA SATUAN'!$C$7:$C$1492,0),0)),"",OFFSET('HARGA SATUAN'!$D$6,MATCH(RAB!C112,'HARGA SATUAN'!$C$7:$C$1492,0),0))</f>
        <v>JASA</v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484">
        <f>F108*1</f>
        <v>22</v>
      </c>
      <c r="G112" s="360">
        <f ca="1">IF(ISERROR(OFFSET('HARGA SATUAN'!$I$6,MATCH(RAB!C112,'HARGA SATUAN'!$C$7:$C$1492,0),0)),0,OFFSET('HARGA SATUAN'!$I$6,MATCH(RAB!C112,'HARGA SATUAN'!$C$7:$C$1492,0),0))</f>
        <v>16200</v>
      </c>
      <c r="H112" s="361">
        <f t="shared" ca="1" si="36"/>
        <v>0</v>
      </c>
      <c r="I112" s="361">
        <f t="shared" ca="1" si="37"/>
        <v>0</v>
      </c>
      <c r="J112" s="361">
        <f t="shared" ca="1" si="38"/>
        <v>356400</v>
      </c>
      <c r="K112" s="362">
        <f t="shared" ca="1" si="39"/>
        <v>356400</v>
      </c>
      <c r="L112" s="342"/>
      <c r="M112" s="342"/>
      <c r="N112" s="369"/>
      <c r="O112" s="344"/>
      <c r="P112" s="344"/>
      <c r="Q112" s="398"/>
      <c r="R112" s="344"/>
      <c r="S112" s="398"/>
      <c r="T112" s="399"/>
      <c r="U112" s="399"/>
      <c r="V112" s="399"/>
    </row>
    <row r="113" spans="1:22" s="365" customFormat="1">
      <c r="A113" s="336"/>
      <c r="B113" s="373"/>
      <c r="C113" s="374"/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/>
      </c>
      <c r="F113" s="484"/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ca="1" si="36"/>
        <v>0</v>
      </c>
      <c r="I113" s="361">
        <f t="shared" ca="1" si="37"/>
        <v>0</v>
      </c>
      <c r="J113" s="361">
        <f t="shared" ca="1" si="38"/>
        <v>0</v>
      </c>
      <c r="K113" s="362">
        <f t="shared" ca="1" si="39"/>
        <v>0</v>
      </c>
      <c r="L113" s="342"/>
      <c r="M113" s="342"/>
      <c r="N113" s="369"/>
      <c r="O113" s="344"/>
      <c r="P113" s="344"/>
      <c r="Q113" s="398"/>
      <c r="R113" s="344"/>
      <c r="S113" s="398"/>
      <c r="T113" s="399"/>
      <c r="U113" s="399"/>
      <c r="V113" s="399"/>
    </row>
    <row r="114" spans="1:22" s="365" customFormat="1">
      <c r="A114" s="336"/>
      <c r="B114" s="521" t="s">
        <v>1035</v>
      </c>
      <c r="C114" s="522" t="s">
        <v>1642</v>
      </c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>Unit</v>
      </c>
      <c r="F114" s="484">
        <v>2</v>
      </c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ref="H114:H120" ca="1" si="40">IF(OR(D114="MDU",D114="MDU-KD"),(IF($O$3="RAB NON MDU","PLN KD",G114*F114)),0)</f>
        <v>0</v>
      </c>
      <c r="I114" s="361">
        <f t="shared" ref="I114:I120" ca="1" si="41">IF(D114="HDW",G114*F114,0)</f>
        <v>0</v>
      </c>
      <c r="J114" s="361">
        <f t="shared" ref="J114:J120" ca="1" si="42">IF(D114="JASA",G114*F114,0)</f>
        <v>0</v>
      </c>
      <c r="K114" s="362">
        <f t="shared" ref="K114:K120" ca="1" si="43">SUM(H114:J114)</f>
        <v>0</v>
      </c>
      <c r="L114" s="342"/>
      <c r="M114" s="342"/>
      <c r="N114" s="369"/>
      <c r="O114" s="344"/>
      <c r="P114" s="344"/>
      <c r="Q114" s="398"/>
      <c r="R114" s="344"/>
      <c r="S114" s="398"/>
      <c r="T114" s="399"/>
      <c r="U114" s="399"/>
      <c r="V114" s="399"/>
    </row>
    <row r="115" spans="1:22" s="365" customFormat="1">
      <c r="A115" s="336"/>
      <c r="B115" s="521">
        <v>1</v>
      </c>
      <c r="C115" s="522" t="s">
        <v>593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484">
        <f>F114*2</f>
        <v>4</v>
      </c>
      <c r="G115" s="360">
        <f ca="1">IF(ISERROR(OFFSET('HARGA SATUAN'!$I$6,MATCH(RAB!C115,'HARGA SATUAN'!$C$7:$C$1492,0),0)),0,OFFSET('HARGA SATUAN'!$I$6,MATCH(RAB!C115,'HARGA SATUAN'!$C$7:$C$1492,0),0))</f>
        <v>380500</v>
      </c>
      <c r="H115" s="361">
        <f t="shared" ca="1" si="40"/>
        <v>0</v>
      </c>
      <c r="I115" s="361">
        <f t="shared" ca="1" si="41"/>
        <v>1522000</v>
      </c>
      <c r="J115" s="361">
        <f t="shared" ca="1" si="42"/>
        <v>0</v>
      </c>
      <c r="K115" s="362">
        <f t="shared" ca="1" si="43"/>
        <v>1522000</v>
      </c>
      <c r="L115" s="342"/>
      <c r="M115" s="342"/>
      <c r="N115" s="369"/>
      <c r="O115" s="344"/>
      <c r="P115" s="344"/>
      <c r="Q115" s="398"/>
      <c r="R115" s="344"/>
      <c r="S115" s="398"/>
      <c r="T115" s="399"/>
      <c r="U115" s="399"/>
      <c r="V115" s="399"/>
    </row>
    <row r="116" spans="1:22" s="365" customFormat="1">
      <c r="A116" s="336"/>
      <c r="B116" s="521">
        <v>2</v>
      </c>
      <c r="C116" s="522" t="s">
        <v>28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484">
        <f>F114*2</f>
        <v>4</v>
      </c>
      <c r="G116" s="360">
        <f ca="1">IF(ISERROR(OFFSET('HARGA SATUAN'!$I$6,MATCH(RAB!C116,'HARGA SATUAN'!$C$7:$C$1492,0),0)),0,OFFSET('HARGA SATUAN'!$I$6,MATCH(RAB!C116,'HARGA SATUAN'!$C$7:$C$1492,0),0))</f>
        <v>26500</v>
      </c>
      <c r="H116" s="361">
        <f t="shared" ca="1" si="40"/>
        <v>0</v>
      </c>
      <c r="I116" s="361">
        <f t="shared" ca="1" si="41"/>
        <v>106000</v>
      </c>
      <c r="J116" s="361">
        <f t="shared" ca="1" si="42"/>
        <v>0</v>
      </c>
      <c r="K116" s="362">
        <f t="shared" ca="1" si="43"/>
        <v>106000</v>
      </c>
      <c r="L116" s="342"/>
      <c r="M116" s="342"/>
      <c r="N116" s="369"/>
      <c r="O116" s="344"/>
      <c r="P116" s="344"/>
      <c r="Q116" s="398"/>
      <c r="R116" s="344"/>
      <c r="S116" s="398"/>
      <c r="T116" s="399"/>
      <c r="U116" s="399"/>
      <c r="V116" s="399"/>
    </row>
    <row r="117" spans="1:22" s="365" customFormat="1">
      <c r="A117" s="336"/>
      <c r="B117" s="521">
        <v>3</v>
      </c>
      <c r="C117" s="522" t="s">
        <v>26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484">
        <f>F114*2</f>
        <v>4</v>
      </c>
      <c r="G117" s="360">
        <f ca="1">IF(ISERROR(OFFSET('HARGA SATUAN'!$I$6,MATCH(RAB!C117,'HARGA SATUAN'!$C$7:$C$1492,0),0)),0,OFFSET('HARGA SATUAN'!$I$6,MATCH(RAB!C117,'HARGA SATUAN'!$C$7:$C$1492,0),0))</f>
        <v>2500</v>
      </c>
      <c r="H117" s="361">
        <f t="shared" ca="1" si="40"/>
        <v>0</v>
      </c>
      <c r="I117" s="361">
        <f t="shared" ca="1" si="41"/>
        <v>10000</v>
      </c>
      <c r="J117" s="361">
        <f t="shared" ca="1" si="42"/>
        <v>0</v>
      </c>
      <c r="K117" s="362">
        <f t="shared" ca="1" si="43"/>
        <v>10000</v>
      </c>
      <c r="L117" s="342"/>
      <c r="M117" s="342"/>
      <c r="N117" s="369"/>
      <c r="O117" s="344"/>
      <c r="P117" s="344"/>
      <c r="Q117" s="398"/>
      <c r="R117" s="344"/>
      <c r="S117" s="398"/>
      <c r="T117" s="399"/>
      <c r="U117" s="399"/>
      <c r="V117" s="399"/>
    </row>
    <row r="118" spans="1:22" s="365" customFormat="1">
      <c r="A118" s="336"/>
      <c r="B118" s="521">
        <v>4</v>
      </c>
      <c r="C118" s="522" t="s">
        <v>157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84">
        <f>F114*2</f>
        <v>4</v>
      </c>
      <c r="G118" s="360">
        <f ca="1">IF(ISERROR(OFFSET('HARGA SATUAN'!$I$6,MATCH(RAB!C118,'HARGA SATUAN'!$C$7:$C$1492,0),0)),0,OFFSET('HARGA SATUAN'!$I$6,MATCH(RAB!C118,'HARGA SATUAN'!$C$7:$C$1492,0),0))</f>
        <v>40000</v>
      </c>
      <c r="H118" s="361">
        <f t="shared" ca="1" si="40"/>
        <v>0</v>
      </c>
      <c r="I118" s="361">
        <f t="shared" ca="1" si="41"/>
        <v>160000</v>
      </c>
      <c r="J118" s="361">
        <f t="shared" ca="1" si="42"/>
        <v>0</v>
      </c>
      <c r="K118" s="362">
        <f t="shared" ca="1" si="43"/>
        <v>160000</v>
      </c>
      <c r="L118" s="342"/>
      <c r="M118" s="342"/>
      <c r="N118" s="369"/>
      <c r="O118" s="344"/>
      <c r="P118" s="344"/>
      <c r="Q118" s="398"/>
      <c r="R118" s="344"/>
      <c r="S118" s="398"/>
      <c r="T118" s="399"/>
      <c r="U118" s="399"/>
      <c r="V118" s="399"/>
    </row>
    <row r="119" spans="1:22" s="365" customFormat="1">
      <c r="A119" s="336"/>
      <c r="B119" s="521">
        <v>5</v>
      </c>
      <c r="C119" s="522" t="s">
        <v>755</v>
      </c>
      <c r="D119" s="358" t="str">
        <f ca="1">IF(ISERROR(OFFSET('HARGA SATUAN'!$D$6,MATCH(RAB!C119,'HARGA SATUAN'!$C$7:$C$1492,0),0)),"",OFFSET('HARGA SATUAN'!$D$6,MATCH(RAB!C119,'HARGA SATUAN'!$C$7:$C$1492,0),0))</f>
        <v>JASA</v>
      </c>
      <c r="E119" s="359" t="str">
        <f ca="1">IF(B119="+","Unit",IF(ISERROR(OFFSET('HARGA SATUAN'!$E$6,MATCH(RAB!C119,'HARGA SATUAN'!$C$7:$C$1492,0),0)),"",OFFSET('HARGA SATUAN'!$E$6,MATCH(RAB!C119,'HARGA SATUAN'!$C$7:$C$1492,0),0)))</f>
        <v>Unit</v>
      </c>
      <c r="F119" s="484">
        <f>F114*1</f>
        <v>2</v>
      </c>
      <c r="G119" s="360">
        <f ca="1">IF(ISERROR(OFFSET('HARGA SATUAN'!$I$6,MATCH(RAB!C119,'HARGA SATUAN'!$C$7:$C$1492,0),0)),0,OFFSET('HARGA SATUAN'!$I$6,MATCH(RAB!C119,'HARGA SATUAN'!$C$7:$C$1492,0),0))</f>
        <v>69000</v>
      </c>
      <c r="H119" s="361">
        <f t="shared" ca="1" si="40"/>
        <v>0</v>
      </c>
      <c r="I119" s="361">
        <f t="shared" ca="1" si="41"/>
        <v>0</v>
      </c>
      <c r="J119" s="361">
        <f t="shared" ca="1" si="42"/>
        <v>138000</v>
      </c>
      <c r="K119" s="362">
        <f t="shared" ca="1" si="43"/>
        <v>138000</v>
      </c>
      <c r="L119" s="342"/>
      <c r="M119" s="342"/>
      <c r="N119" s="369"/>
      <c r="O119" s="344"/>
      <c r="P119" s="344"/>
      <c r="Q119" s="398"/>
      <c r="R119" s="344"/>
      <c r="S119" s="398"/>
      <c r="T119" s="399"/>
      <c r="U119" s="399"/>
      <c r="V119" s="399"/>
    </row>
    <row r="120" spans="1:22" s="365" customFormat="1">
      <c r="A120" s="336"/>
      <c r="B120" s="373"/>
      <c r="C120" s="374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484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40"/>
        <v>0</v>
      </c>
      <c r="I120" s="361">
        <f t="shared" ca="1" si="41"/>
        <v>0</v>
      </c>
      <c r="J120" s="361">
        <f t="shared" ca="1" si="42"/>
        <v>0</v>
      </c>
      <c r="K120" s="362">
        <f t="shared" ca="1" si="43"/>
        <v>0</v>
      </c>
      <c r="L120" s="342"/>
      <c r="M120" s="342"/>
      <c r="N120" s="369"/>
      <c r="O120" s="344"/>
      <c r="P120" s="344"/>
      <c r="Q120" s="398"/>
      <c r="R120" s="344"/>
      <c r="S120" s="398"/>
      <c r="T120" s="399"/>
      <c r="U120" s="399"/>
      <c r="V120" s="399"/>
    </row>
    <row r="121" spans="1:22" s="365" customFormat="1">
      <c r="A121" s="336"/>
      <c r="B121" s="373"/>
      <c r="C121" s="506" t="s">
        <v>1646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/>
      </c>
      <c r="F121" s="484"/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ref="H121:H129" ca="1" si="44">IF(OR(D121="MDU",D121="MDU-KD"),(IF($O$3="RAB NON MDU","PLN KD",G121*F121)),0)</f>
        <v>0</v>
      </c>
      <c r="I121" s="361">
        <f t="shared" ref="I121:I129" ca="1" si="45">IF(D121="HDW",G121*F121,0)</f>
        <v>0</v>
      </c>
      <c r="J121" s="361">
        <f t="shared" ref="J121:J129" ca="1" si="46">IF(D121="JASA",G121*F121,0)</f>
        <v>0</v>
      </c>
      <c r="K121" s="362">
        <f t="shared" ref="K121:K129" ca="1" si="47">SUM(H121:J121)</f>
        <v>0</v>
      </c>
      <c r="L121" s="342"/>
      <c r="M121" s="342"/>
      <c r="N121" s="369"/>
      <c r="O121" s="344"/>
      <c r="P121" s="344"/>
      <c r="Q121" s="398"/>
      <c r="R121" s="344"/>
      <c r="S121" s="398"/>
      <c r="T121" s="399"/>
      <c r="U121" s="399"/>
      <c r="V121" s="399"/>
    </row>
    <row r="122" spans="1:22" s="365" customFormat="1">
      <c r="A122" s="336"/>
      <c r="B122" s="373"/>
      <c r="C122" s="374"/>
      <c r="D122" s="358" t="str">
        <f ca="1">IF(ISERROR(OFFSET('HARGA SATUAN'!$D$6,MATCH(RAB!C122,'HARGA SATUAN'!$C$7:$C$1492,0),0)),"",OFFSET('HARGA SATUAN'!$D$6,MATCH(RAB!C122,'HARGA SATUAN'!$C$7:$C$1492,0),0))</f>
        <v/>
      </c>
      <c r="E122" s="359" t="str">
        <f ca="1">IF(B122="+","Unit",IF(ISERROR(OFFSET('HARGA SATUAN'!$E$6,MATCH(RAB!C122,'HARGA SATUAN'!$C$7:$C$1492,0),0)),"",OFFSET('HARGA SATUAN'!$E$6,MATCH(RAB!C122,'HARGA SATUAN'!$C$7:$C$1492,0),0)))</f>
        <v/>
      </c>
      <c r="F122" s="484"/>
      <c r="G122" s="360">
        <f ca="1">IF(ISERROR(OFFSET('HARGA SATUAN'!$I$6,MATCH(RAB!C122,'HARGA SATUAN'!$C$7:$C$1492,0),0)),0,OFFSET('HARGA SATUAN'!$I$6,MATCH(RAB!C122,'HARGA SATUAN'!$C$7:$C$1492,0),0))</f>
        <v>0</v>
      </c>
      <c r="H122" s="361">
        <f t="shared" ca="1" si="44"/>
        <v>0</v>
      </c>
      <c r="I122" s="361">
        <f t="shared" ca="1" si="45"/>
        <v>0</v>
      </c>
      <c r="J122" s="361">
        <f t="shared" ca="1" si="46"/>
        <v>0</v>
      </c>
      <c r="K122" s="362">
        <f t="shared" ca="1" si="47"/>
        <v>0</v>
      </c>
      <c r="L122" s="342"/>
      <c r="M122" s="342"/>
      <c r="N122" s="369"/>
      <c r="O122" s="344"/>
      <c r="P122" s="344"/>
      <c r="Q122" s="398"/>
      <c r="R122" s="344"/>
      <c r="S122" s="398"/>
      <c r="T122" s="399"/>
      <c r="U122" s="399"/>
      <c r="V122" s="399"/>
    </row>
    <row r="123" spans="1:22" s="365" customFormat="1">
      <c r="A123" s="336"/>
      <c r="B123" s="521" t="s">
        <v>1035</v>
      </c>
      <c r="C123" s="522" t="s">
        <v>1647</v>
      </c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>Unit</v>
      </c>
      <c r="F123" s="528">
        <v>6</v>
      </c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44"/>
        <v>0</v>
      </c>
      <c r="I123" s="361">
        <f t="shared" ca="1" si="45"/>
        <v>0</v>
      </c>
      <c r="J123" s="361">
        <f t="shared" ca="1" si="46"/>
        <v>0</v>
      </c>
      <c r="K123" s="362">
        <f t="shared" ca="1" si="47"/>
        <v>0</v>
      </c>
      <c r="L123" s="342"/>
      <c r="M123" s="342"/>
      <c r="N123" s="369"/>
      <c r="O123" s="344"/>
      <c r="P123" s="344"/>
      <c r="Q123" s="398"/>
      <c r="R123" s="344"/>
      <c r="S123" s="398"/>
      <c r="T123" s="399"/>
      <c r="U123" s="399"/>
      <c r="V123" s="399"/>
    </row>
    <row r="124" spans="1:22" s="365" customFormat="1">
      <c r="A124" s="336"/>
      <c r="B124" s="521">
        <v>1</v>
      </c>
      <c r="C124" s="522" t="s">
        <v>181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528">
        <f>F123*1</f>
        <v>6</v>
      </c>
      <c r="G124" s="360">
        <f ca="1">IF(ISERROR(OFFSET('HARGA SATUAN'!$I$6,MATCH(RAB!C124,'HARGA SATUAN'!$C$7:$C$1492,0),0)),0,OFFSET('HARGA SATUAN'!$I$6,MATCH(RAB!C124,'HARGA SATUAN'!$C$7:$C$1492,0),0))</f>
        <v>28100</v>
      </c>
      <c r="H124" s="361">
        <f t="shared" ca="1" si="44"/>
        <v>0</v>
      </c>
      <c r="I124" s="361">
        <f t="shared" ca="1" si="45"/>
        <v>168600</v>
      </c>
      <c r="J124" s="361">
        <f t="shared" ca="1" si="46"/>
        <v>0</v>
      </c>
      <c r="K124" s="362">
        <f t="shared" ca="1" si="47"/>
        <v>168600</v>
      </c>
      <c r="L124" s="342"/>
      <c r="M124" s="342"/>
      <c r="N124" s="369"/>
      <c r="O124" s="344"/>
      <c r="P124" s="344"/>
      <c r="Q124" s="398"/>
      <c r="R124" s="344"/>
      <c r="S124" s="398"/>
      <c r="T124" s="399"/>
      <c r="U124" s="399"/>
      <c r="V124" s="399"/>
    </row>
    <row r="125" spans="1:22" s="365" customFormat="1">
      <c r="A125" s="336"/>
      <c r="B125" s="521">
        <v>2</v>
      </c>
      <c r="C125" s="522" t="s">
        <v>67</v>
      </c>
      <c r="D125" s="358" t="str">
        <f ca="1">IF(ISERROR(OFFSET('HARGA SATUAN'!$D$6,MATCH(RAB!C125,'HARGA SATUAN'!$C$7:$C$1492,0),0)),"",OFFSET('HARGA SATUAN'!$D$6,MATCH(RAB!C125,'HARGA SATUAN'!$C$7:$C$1492,0),0))</f>
        <v>MDU-KD</v>
      </c>
      <c r="E125" s="359" t="str">
        <f ca="1">IF(B125="+","Unit",IF(ISERROR(OFFSET('HARGA SATUAN'!$E$6,MATCH(RAB!C125,'HARGA SATUAN'!$C$7:$C$1492,0),0)),"",OFFSET('HARGA SATUAN'!$E$6,MATCH(RAB!C125,'HARGA SATUAN'!$C$7:$C$1492,0),0)))</f>
        <v>Mtr</v>
      </c>
      <c r="F125" s="528">
        <f>F123*1</f>
        <v>6</v>
      </c>
      <c r="G125" s="360">
        <f ca="1">IF(ISERROR(OFFSET('HARGA SATUAN'!$I$6,MATCH(RAB!C125,'HARGA SATUAN'!$C$7:$C$1492,0),0)),0,OFFSET('HARGA SATUAN'!$I$6,MATCH(RAB!C125,'HARGA SATUAN'!$C$7:$C$1492,0),0))</f>
        <v>36900</v>
      </c>
      <c r="H125" s="361">
        <f t="shared" ca="1" si="44"/>
        <v>221400</v>
      </c>
      <c r="I125" s="361">
        <f t="shared" ca="1" si="45"/>
        <v>0</v>
      </c>
      <c r="J125" s="361">
        <f t="shared" ca="1" si="46"/>
        <v>0</v>
      </c>
      <c r="K125" s="362">
        <f t="shared" ca="1" si="47"/>
        <v>221400</v>
      </c>
      <c r="L125" s="342"/>
      <c r="M125" s="342"/>
      <c r="N125" s="369"/>
      <c r="O125" s="344"/>
      <c r="P125" s="344"/>
      <c r="Q125" s="398"/>
      <c r="R125" s="344"/>
      <c r="S125" s="398"/>
      <c r="T125" s="399"/>
      <c r="U125" s="399"/>
      <c r="V125" s="399"/>
    </row>
    <row r="126" spans="1:22" s="365" customFormat="1">
      <c r="A126" s="336"/>
      <c r="B126" s="521">
        <v>3</v>
      </c>
      <c r="C126" s="109" t="s">
        <v>559</v>
      </c>
      <c r="D126" s="358" t="str">
        <f ca="1">IF(ISERROR(OFFSET('HARGA SATUAN'!$D$6,MATCH(RAB!C126,'HARGA SATUAN'!$C$7:$C$1492,0),0)),"",OFFSET('HARGA SATUAN'!$D$6,MATCH(RAB!C126,'HARGA SATUAN'!$C$7:$C$1492,0),0))</f>
        <v>MDU-KD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528">
        <f>F123*1</f>
        <v>6</v>
      </c>
      <c r="G126" s="360">
        <f ca="1">IF(ISERROR(OFFSET('HARGA SATUAN'!$I$6,MATCH(RAB!C126,'HARGA SATUAN'!$C$7:$C$1492,0),0)),0,OFFSET('HARGA SATUAN'!$I$6,MATCH(RAB!C126,'HARGA SATUAN'!$C$7:$C$1492,0),0))</f>
        <v>725900</v>
      </c>
      <c r="H126" s="361">
        <f t="shared" ca="1" si="44"/>
        <v>4355400</v>
      </c>
      <c r="I126" s="361">
        <f t="shared" ca="1" si="45"/>
        <v>0</v>
      </c>
      <c r="J126" s="361">
        <f t="shared" ca="1" si="46"/>
        <v>0</v>
      </c>
      <c r="K126" s="362">
        <f t="shared" ca="1" si="47"/>
        <v>4355400</v>
      </c>
      <c r="L126" s="342"/>
      <c r="M126" s="342"/>
      <c r="N126" s="369"/>
      <c r="O126" s="344"/>
      <c r="P126" s="344"/>
      <c r="Q126" s="398"/>
      <c r="R126" s="344"/>
      <c r="S126" s="398"/>
      <c r="T126" s="399"/>
      <c r="U126" s="399"/>
      <c r="V126" s="399"/>
    </row>
    <row r="127" spans="1:22" s="365" customFormat="1">
      <c r="A127" s="336"/>
      <c r="B127" s="521">
        <v>4</v>
      </c>
      <c r="C127" s="522" t="s">
        <v>745</v>
      </c>
      <c r="D127" s="358" t="str">
        <f ca="1">IF(ISERROR(OFFSET('HARGA SATUAN'!$D$6,MATCH(RAB!C127,'HARGA SATUAN'!$C$7:$C$1492,0),0)),"",OFFSET('HARGA SATUAN'!$D$6,MATCH(RAB!C127,'HARGA SATUAN'!$C$7:$C$1492,0),0))</f>
        <v>JASA</v>
      </c>
      <c r="E127" s="359" t="str">
        <f ca="1">IF(B127="+","Unit",IF(ISERROR(OFFSET('HARGA SATUAN'!$E$6,MATCH(RAB!C127,'HARGA SATUAN'!$C$7:$C$1492,0),0)),"",OFFSET('HARGA SATUAN'!$E$6,MATCH(RAB!C127,'HARGA SATUAN'!$C$7:$C$1492,0),0)))</f>
        <v>Unit</v>
      </c>
      <c r="F127" s="528">
        <f>F123*1</f>
        <v>6</v>
      </c>
      <c r="G127" s="360">
        <f ca="1">IF(ISERROR(OFFSET('HARGA SATUAN'!$I$6,MATCH(RAB!C127,'HARGA SATUAN'!$C$7:$C$1492,0),0)),0,OFFSET('HARGA SATUAN'!$I$6,MATCH(RAB!C127,'HARGA SATUAN'!$C$7:$C$1492,0),0))</f>
        <v>58400</v>
      </c>
      <c r="H127" s="361">
        <f t="shared" ca="1" si="44"/>
        <v>0</v>
      </c>
      <c r="I127" s="361">
        <f t="shared" ca="1" si="45"/>
        <v>0</v>
      </c>
      <c r="J127" s="361">
        <f t="shared" ca="1" si="46"/>
        <v>350400</v>
      </c>
      <c r="K127" s="362">
        <f t="shared" ca="1" si="47"/>
        <v>350400</v>
      </c>
      <c r="L127" s="342"/>
      <c r="M127" s="342"/>
      <c r="N127" s="369"/>
      <c r="O127" s="344"/>
      <c r="P127" s="344"/>
      <c r="Q127" s="398"/>
      <c r="R127" s="344"/>
      <c r="S127" s="398"/>
      <c r="T127" s="399"/>
      <c r="U127" s="399"/>
      <c r="V127" s="399"/>
    </row>
    <row r="128" spans="1:22" s="365" customFormat="1">
      <c r="A128" s="336"/>
      <c r="B128" s="373"/>
      <c r="C128" s="374"/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/>
      </c>
      <c r="F128" s="484"/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ca="1" si="44"/>
        <v>0</v>
      </c>
      <c r="I128" s="361">
        <f t="shared" ca="1" si="45"/>
        <v>0</v>
      </c>
      <c r="J128" s="361">
        <f t="shared" ca="1" si="46"/>
        <v>0</v>
      </c>
      <c r="K128" s="362">
        <f t="shared" ca="1" si="47"/>
        <v>0</v>
      </c>
      <c r="L128" s="342"/>
      <c r="M128" s="342"/>
      <c r="N128" s="369"/>
      <c r="O128" s="344"/>
      <c r="P128" s="344"/>
      <c r="Q128" s="398"/>
      <c r="R128" s="344"/>
      <c r="S128" s="398"/>
      <c r="T128" s="399"/>
      <c r="U128" s="399"/>
      <c r="V128" s="399"/>
    </row>
    <row r="129" spans="1:22" s="365" customFormat="1">
      <c r="A129" s="336"/>
      <c r="B129" s="373"/>
      <c r="C129" s="506" t="s">
        <v>1626</v>
      </c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484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44"/>
        <v>0</v>
      </c>
      <c r="I129" s="361">
        <f t="shared" ca="1" si="45"/>
        <v>0</v>
      </c>
      <c r="J129" s="361">
        <f t="shared" ca="1" si="46"/>
        <v>0</v>
      </c>
      <c r="K129" s="362">
        <f t="shared" ca="1" si="47"/>
        <v>0</v>
      </c>
      <c r="L129" s="342"/>
      <c r="M129" s="342"/>
      <c r="N129" s="369"/>
      <c r="O129" s="344"/>
      <c r="P129" s="344"/>
      <c r="Q129" s="398"/>
      <c r="R129" s="344"/>
      <c r="S129" s="398"/>
      <c r="T129" s="399"/>
      <c r="U129" s="399"/>
      <c r="V129" s="399"/>
    </row>
    <row r="130" spans="1:22" s="365" customFormat="1">
      <c r="A130" s="336"/>
      <c r="B130" s="373">
        <v>1</v>
      </c>
      <c r="C130" s="109" t="s">
        <v>65</v>
      </c>
      <c r="D130" s="358" t="str">
        <f ca="1">IF(ISERROR(OFFSET('HARGA SATUAN'!$D$6,MATCH(RAB!C130,'HARGA SATUAN'!$C$7:$C$1492,0),0)),"",OFFSET('HARGA SATUAN'!$D$6,MATCH(RAB!C130,'HARGA SATUAN'!$C$7:$C$1492,0),0))</f>
        <v>MDU-KD</v>
      </c>
      <c r="E130" s="359" t="str">
        <f ca="1">IF(B130="+","Unit",IF(ISERROR(OFFSET('HARGA SATUAN'!$E$6,MATCH(RAB!C130,'HARGA SATUAN'!$C$7:$C$1492,0),0)),"",OFFSET('HARGA SATUAN'!$E$6,MATCH(RAB!C130,'HARGA SATUAN'!$C$7:$C$1492,0),0)))</f>
        <v>Mtr</v>
      </c>
      <c r="F130" s="484">
        <f>260*22</f>
        <v>5720</v>
      </c>
      <c r="G130" s="360">
        <f ca="1">IF(ISERROR(OFFSET('HARGA SATUAN'!$I$6,MATCH(RAB!C130,'HARGA SATUAN'!$C$7:$C$1492,0),0)),0,OFFSET('HARGA SATUAN'!$I$6,MATCH(RAB!C130,'HARGA SATUAN'!$C$7:$C$1492,0),0))</f>
        <v>14200</v>
      </c>
      <c r="H130" s="361">
        <f t="shared" ca="1" si="36"/>
        <v>81224000</v>
      </c>
      <c r="I130" s="361">
        <f t="shared" ca="1" si="37"/>
        <v>0</v>
      </c>
      <c r="J130" s="361">
        <f t="shared" ca="1" si="38"/>
        <v>0</v>
      </c>
      <c r="K130" s="362">
        <f t="shared" ca="1" si="39"/>
        <v>81224000</v>
      </c>
      <c r="L130" s="342"/>
      <c r="M130" s="342"/>
      <c r="N130" s="369"/>
      <c r="O130" s="344"/>
      <c r="P130" s="344"/>
      <c r="Q130" s="398"/>
      <c r="R130" s="344"/>
      <c r="S130" s="398"/>
      <c r="T130" s="399"/>
      <c r="U130" s="399"/>
      <c r="V130" s="399"/>
    </row>
    <row r="131" spans="1:22" s="365" customFormat="1">
      <c r="A131" s="336"/>
      <c r="B131" s="373">
        <v>2</v>
      </c>
      <c r="C131" s="109" t="s">
        <v>301</v>
      </c>
      <c r="D131" s="358" t="str">
        <f ca="1">IF(ISERROR(OFFSET('HARGA SATUAN'!$D$6,MATCH(RAB!C131,'HARGA SATUAN'!$C$7:$C$1492,0),0)),"",OFFSET('HARGA SATUAN'!$D$6,MATCH(RAB!C131,'HARGA SATUAN'!$C$7:$C$1492,0),0))</f>
        <v>JASA</v>
      </c>
      <c r="E131" s="359" t="str">
        <f ca="1">IF(B131="+","Unit",IF(ISERROR(OFFSET('HARGA SATUAN'!$E$6,MATCH(RAB!C131,'HARGA SATUAN'!$C$7:$C$1492,0),0)),"",OFFSET('HARGA SATUAN'!$E$6,MATCH(RAB!C131,'HARGA SATUAN'!$C$7:$C$1492,0),0)))</f>
        <v>Per 50 m</v>
      </c>
      <c r="F131" s="484">
        <f>F130/200</f>
        <v>28.6</v>
      </c>
      <c r="G131" s="360">
        <f ca="1">IF(ISERROR(OFFSET('HARGA SATUAN'!$I$6,MATCH(RAB!C131,'HARGA SATUAN'!$C$7:$C$1492,0),0)),0,OFFSET('HARGA SATUAN'!$I$6,MATCH(RAB!C131,'HARGA SATUAN'!$C$7:$C$1492,0),0))</f>
        <v>300100</v>
      </c>
      <c r="H131" s="361">
        <f t="shared" ca="1" si="36"/>
        <v>0</v>
      </c>
      <c r="I131" s="361">
        <f t="shared" ca="1" si="37"/>
        <v>0</v>
      </c>
      <c r="J131" s="361">
        <f t="shared" ca="1" si="38"/>
        <v>8582860</v>
      </c>
      <c r="K131" s="362">
        <f t="shared" ca="1" si="39"/>
        <v>8582860</v>
      </c>
      <c r="L131" s="342"/>
      <c r="M131" s="342"/>
      <c r="N131" s="369"/>
      <c r="O131" s="344"/>
      <c r="P131" s="344"/>
      <c r="Q131" s="398"/>
      <c r="R131" s="344"/>
      <c r="S131" s="398"/>
      <c r="T131" s="399"/>
      <c r="U131" s="399"/>
      <c r="V131" s="399"/>
    </row>
    <row r="132" spans="1:22" s="365" customFormat="1">
      <c r="A132" s="336"/>
      <c r="B132" s="373">
        <v>3</v>
      </c>
      <c r="C132" s="109" t="s">
        <v>1157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Bh</v>
      </c>
      <c r="F132" s="484">
        <v>4</v>
      </c>
      <c r="G132" s="360">
        <f ca="1">IF(ISERROR(OFFSET('HARGA SATUAN'!$I$6,MATCH(RAB!C132,'HARGA SATUAN'!$C$7:$C$1492,0),0)),0,OFFSET('HARGA SATUAN'!$I$6,MATCH(RAB!C132,'HARGA SATUAN'!$C$7:$C$1492,0),0))</f>
        <v>36500</v>
      </c>
      <c r="H132" s="361">
        <f t="shared" ca="1" si="36"/>
        <v>0</v>
      </c>
      <c r="I132" s="361">
        <f t="shared" ca="1" si="37"/>
        <v>146000</v>
      </c>
      <c r="J132" s="361">
        <f t="shared" ca="1" si="38"/>
        <v>0</v>
      </c>
      <c r="K132" s="362">
        <f t="shared" ca="1" si="39"/>
        <v>146000</v>
      </c>
      <c r="L132" s="342"/>
      <c r="M132" s="342"/>
      <c r="N132" s="369"/>
      <c r="O132" s="344"/>
      <c r="P132" s="344"/>
      <c r="Q132" s="398"/>
      <c r="R132" s="344"/>
      <c r="S132" s="398"/>
      <c r="T132" s="399"/>
      <c r="U132" s="399"/>
      <c r="V132" s="399"/>
    </row>
    <row r="133" spans="1:22" s="365" customFormat="1">
      <c r="A133" s="336"/>
      <c r="B133" s="373">
        <v>4</v>
      </c>
      <c r="C133" s="197" t="s">
        <v>1099</v>
      </c>
      <c r="D133" s="358" t="str">
        <f ca="1">IF(ISERROR(OFFSET('HARGA SATUAN'!$D$6,MATCH(RAB!C133,'HARGA SATUAN'!$C$7:$C$1492,0),0)),"",OFFSET('HARGA SATUAN'!$D$6,MATCH(RAB!C133,'HARGA SATUAN'!$C$7:$C$1492,0),0))</f>
        <v>JASA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484">
        <v>4</v>
      </c>
      <c r="G133" s="360">
        <f ca="1">IF(ISERROR(OFFSET('HARGA SATUAN'!$I$6,MATCH(RAB!C133,'HARGA SATUAN'!$C$7:$C$1492,0),0)),0,OFFSET('HARGA SATUAN'!$I$6,MATCH(RAB!C133,'HARGA SATUAN'!$C$7:$C$1492,0),0))</f>
        <v>13770</v>
      </c>
      <c r="H133" s="361">
        <f t="shared" ca="1" si="36"/>
        <v>0</v>
      </c>
      <c r="I133" s="361">
        <f t="shared" ca="1" si="37"/>
        <v>0</v>
      </c>
      <c r="J133" s="361">
        <f t="shared" ca="1" si="38"/>
        <v>55080</v>
      </c>
      <c r="K133" s="362">
        <f t="shared" ca="1" si="39"/>
        <v>55080</v>
      </c>
      <c r="L133" s="342"/>
      <c r="M133" s="342"/>
      <c r="N133" s="369"/>
      <c r="O133" s="344"/>
      <c r="P133" s="344"/>
      <c r="Q133" s="398"/>
      <c r="R133" s="344"/>
      <c r="S133" s="398"/>
      <c r="T133" s="399"/>
      <c r="U133" s="399"/>
      <c r="V133" s="399"/>
    </row>
    <row r="134" spans="1:22" s="365" customFormat="1">
      <c r="A134" s="336"/>
      <c r="B134" s="373"/>
      <c r="C134" s="374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484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ref="H134:H155" ca="1" si="48">IF(OR(D134="MDU",D134="MDU-KD"),(IF($O$3="RAB NON MDU","PLN KD",G134*F134)),0)</f>
        <v>0</v>
      </c>
      <c r="I134" s="361">
        <f t="shared" ref="I134:I155" ca="1" si="49">IF(D134="HDW",G134*F134,0)</f>
        <v>0</v>
      </c>
      <c r="J134" s="361">
        <f t="shared" ref="J134:J155" ca="1" si="50">IF(D134="JASA",G134*F134,0)</f>
        <v>0</v>
      </c>
      <c r="K134" s="362">
        <f t="shared" ref="K134:K155" ca="1" si="51">SUM(H134:J134)</f>
        <v>0</v>
      </c>
      <c r="L134" s="342"/>
      <c r="M134" s="342"/>
      <c r="N134" s="369"/>
      <c r="O134" s="344"/>
      <c r="P134" s="344"/>
      <c r="Q134" s="398"/>
      <c r="R134" s="344"/>
      <c r="S134" s="398"/>
      <c r="T134" s="399"/>
      <c r="U134" s="399"/>
      <c r="V134" s="399"/>
    </row>
    <row r="135" spans="1:22" s="365" customFormat="1">
      <c r="A135" s="336"/>
      <c r="B135" s="373"/>
      <c r="C135" s="506" t="s">
        <v>1633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/>
      </c>
      <c r="F135" s="484"/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48"/>
        <v>0</v>
      </c>
      <c r="I135" s="361">
        <f t="shared" ca="1" si="49"/>
        <v>0</v>
      </c>
      <c r="J135" s="361">
        <f t="shared" ca="1" si="50"/>
        <v>0</v>
      </c>
      <c r="K135" s="362">
        <f t="shared" ca="1" si="51"/>
        <v>0</v>
      </c>
      <c r="L135" s="342"/>
      <c r="M135" s="342"/>
      <c r="N135" s="369"/>
      <c r="O135" s="344"/>
      <c r="P135" s="344"/>
      <c r="Q135" s="398"/>
      <c r="R135" s="344"/>
      <c r="S135" s="398"/>
      <c r="T135" s="399"/>
      <c r="U135" s="399"/>
      <c r="V135" s="399"/>
    </row>
    <row r="136" spans="1:22" s="365" customFormat="1">
      <c r="A136" s="336"/>
      <c r="B136" s="373"/>
      <c r="C136" s="374"/>
      <c r="D136" s="358" t="str">
        <f ca="1">IF(ISERROR(OFFSET('HARGA SATUAN'!$D$6,MATCH(RAB!C136,'HARGA SATUAN'!$C$7:$C$1492,0),0)),"",OFFSET('HARGA SATUAN'!$D$6,MATCH(RAB!C136,'HARGA SATUAN'!$C$7:$C$1492,0),0))</f>
        <v/>
      </c>
      <c r="E136" s="359" t="str">
        <f ca="1">IF(B136="+","Unit",IF(ISERROR(OFFSET('HARGA SATUAN'!$E$6,MATCH(RAB!C136,'HARGA SATUAN'!$C$7:$C$1492,0),0)),"",OFFSET('HARGA SATUAN'!$E$6,MATCH(RAB!C136,'HARGA SATUAN'!$C$7:$C$1492,0),0)))</f>
        <v/>
      </c>
      <c r="F136" s="484"/>
      <c r="G136" s="360">
        <f ca="1">IF(ISERROR(OFFSET('HARGA SATUAN'!$I$6,MATCH(RAB!C136,'HARGA SATUAN'!$C$7:$C$1492,0),0)),0,OFFSET('HARGA SATUAN'!$I$6,MATCH(RAB!C136,'HARGA SATUAN'!$C$7:$C$1492,0),0))</f>
        <v>0</v>
      </c>
      <c r="H136" s="361">
        <f t="shared" ca="1" si="48"/>
        <v>0</v>
      </c>
      <c r="I136" s="361">
        <f t="shared" ca="1" si="49"/>
        <v>0</v>
      </c>
      <c r="J136" s="361">
        <f t="shared" ca="1" si="50"/>
        <v>0</v>
      </c>
      <c r="K136" s="362">
        <f t="shared" ca="1" si="51"/>
        <v>0</v>
      </c>
      <c r="L136" s="342"/>
      <c r="M136" s="342"/>
      <c r="N136" s="369"/>
      <c r="O136" s="344"/>
      <c r="P136" s="344"/>
      <c r="Q136" s="398"/>
      <c r="R136" s="344"/>
      <c r="S136" s="398"/>
      <c r="T136" s="399"/>
      <c r="U136" s="399"/>
      <c r="V136" s="399"/>
    </row>
    <row r="137" spans="1:22" s="365" customFormat="1">
      <c r="A137" s="336"/>
      <c r="B137" s="503" t="s">
        <v>1035</v>
      </c>
      <c r="C137" s="504" t="s">
        <v>1634</v>
      </c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IF(B137="+","Unit",IF(ISERROR(OFFSET('HARGA SATUAN'!$E$6,MATCH(RAB!C137,'HARGA SATUAN'!$C$7:$C$1492,0),0)),"",OFFSET('HARGA SATUAN'!$E$6,MATCH(RAB!C137,'HARGA SATUAN'!$C$7:$C$1492,0),0)))</f>
        <v>Unit</v>
      </c>
      <c r="F137" s="484">
        <v>2</v>
      </c>
      <c r="G137" s="360">
        <f ca="1">IF(ISERROR(OFFSET('HARGA SATUAN'!$I$6,MATCH(RAB!C137,'HARGA SATUAN'!$C$7:$C$1492,0),0)),0,OFFSET('HARGA SATUAN'!$I$6,MATCH(RAB!C137,'HARGA SATUAN'!$C$7:$C$1492,0),0))</f>
        <v>0</v>
      </c>
      <c r="H137" s="361">
        <f t="shared" ca="1" si="48"/>
        <v>0</v>
      </c>
      <c r="I137" s="361">
        <f t="shared" ca="1" si="49"/>
        <v>0</v>
      </c>
      <c r="J137" s="361">
        <f t="shared" ca="1" si="50"/>
        <v>0</v>
      </c>
      <c r="K137" s="362">
        <f t="shared" ca="1" si="51"/>
        <v>0</v>
      </c>
      <c r="L137" s="342"/>
      <c r="M137" s="342"/>
      <c r="N137" s="369"/>
      <c r="O137" s="344"/>
      <c r="P137" s="344"/>
      <c r="Q137" s="398"/>
      <c r="R137" s="344"/>
      <c r="S137" s="398"/>
      <c r="T137" s="399"/>
      <c r="U137" s="399"/>
      <c r="V137" s="399"/>
    </row>
    <row r="138" spans="1:22" s="365" customFormat="1">
      <c r="A138" s="336"/>
      <c r="B138" s="503">
        <v>1</v>
      </c>
      <c r="C138" s="504" t="s">
        <v>28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484">
        <f>F137*1</f>
        <v>2</v>
      </c>
      <c r="G138" s="360">
        <f ca="1">IF(ISERROR(OFFSET('HARGA SATUAN'!$I$6,MATCH(RAB!C138,'HARGA SATUAN'!$C$7:$C$1492,0),0)),0,OFFSET('HARGA SATUAN'!$I$6,MATCH(RAB!C138,'HARGA SATUAN'!$C$7:$C$1492,0),0))</f>
        <v>26500</v>
      </c>
      <c r="H138" s="361">
        <f t="shared" ca="1" si="48"/>
        <v>0</v>
      </c>
      <c r="I138" s="361">
        <f t="shared" ca="1" si="49"/>
        <v>53000</v>
      </c>
      <c r="J138" s="361">
        <f t="shared" ca="1" si="50"/>
        <v>0</v>
      </c>
      <c r="K138" s="362">
        <f t="shared" ca="1" si="51"/>
        <v>53000</v>
      </c>
      <c r="L138" s="342"/>
      <c r="M138" s="342"/>
      <c r="N138" s="369"/>
      <c r="O138" s="344"/>
      <c r="P138" s="344"/>
      <c r="Q138" s="398"/>
      <c r="R138" s="344"/>
      <c r="S138" s="398"/>
      <c r="T138" s="399"/>
      <c r="U138" s="399"/>
      <c r="V138" s="399"/>
    </row>
    <row r="139" spans="1:22" s="365" customFormat="1">
      <c r="A139" s="336"/>
      <c r="B139" s="503">
        <v>2</v>
      </c>
      <c r="C139" s="504" t="s">
        <v>203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484">
        <f>F137*1</f>
        <v>2</v>
      </c>
      <c r="G139" s="360">
        <f ca="1">IF(ISERROR(OFFSET('HARGA SATUAN'!$I$6,MATCH(RAB!C139,'HARGA SATUAN'!$C$7:$C$1492,0),0)),0,OFFSET('HARGA SATUAN'!$I$6,MATCH(RAB!C139,'HARGA SATUAN'!$C$7:$C$1492,0),0))</f>
        <v>12500</v>
      </c>
      <c r="H139" s="361">
        <f t="shared" ca="1" si="48"/>
        <v>0</v>
      </c>
      <c r="I139" s="361">
        <f t="shared" ca="1" si="49"/>
        <v>25000</v>
      </c>
      <c r="J139" s="361">
        <f t="shared" ca="1" si="50"/>
        <v>0</v>
      </c>
      <c r="K139" s="362">
        <f t="shared" ca="1" si="51"/>
        <v>25000</v>
      </c>
      <c r="L139" s="342"/>
      <c r="M139" s="342"/>
      <c r="N139" s="369"/>
      <c r="O139" s="344"/>
      <c r="P139" s="344"/>
      <c r="Q139" s="398"/>
      <c r="R139" s="344"/>
      <c r="S139" s="398"/>
      <c r="T139" s="399"/>
      <c r="U139" s="399"/>
      <c r="V139" s="399"/>
    </row>
    <row r="140" spans="1:22" s="365" customFormat="1">
      <c r="A140" s="336"/>
      <c r="B140" s="503">
        <v>3</v>
      </c>
      <c r="C140" s="504" t="s">
        <v>206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Mtr</v>
      </c>
      <c r="F140" s="484">
        <f>F137*12</f>
        <v>24</v>
      </c>
      <c r="G140" s="360">
        <f ca="1">IF(ISERROR(OFFSET('HARGA SATUAN'!$I$6,MATCH(RAB!C140,'HARGA SATUAN'!$C$7:$C$1492,0),0)),0,OFFSET('HARGA SATUAN'!$I$6,MATCH(RAB!C140,'HARGA SATUAN'!$C$7:$C$1492,0),0))</f>
        <v>39204</v>
      </c>
      <c r="H140" s="361">
        <f t="shared" ca="1" si="48"/>
        <v>0</v>
      </c>
      <c r="I140" s="361">
        <f t="shared" ca="1" si="49"/>
        <v>940896</v>
      </c>
      <c r="J140" s="361">
        <f t="shared" ca="1" si="50"/>
        <v>0</v>
      </c>
      <c r="K140" s="362">
        <f t="shared" ca="1" si="51"/>
        <v>940896</v>
      </c>
      <c r="L140" s="342"/>
      <c r="M140" s="342"/>
      <c r="N140" s="369"/>
      <c r="O140" s="344"/>
      <c r="P140" s="344"/>
      <c r="Q140" s="398"/>
      <c r="R140" s="344"/>
      <c r="S140" s="398"/>
      <c r="T140" s="399"/>
      <c r="U140" s="399"/>
      <c r="V140" s="399"/>
    </row>
    <row r="141" spans="1:22" s="365" customFormat="1">
      <c r="A141" s="336"/>
      <c r="B141" s="503">
        <v>4</v>
      </c>
      <c r="C141" s="504" t="s">
        <v>287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484">
        <f>F137*2</f>
        <v>4</v>
      </c>
      <c r="G141" s="360">
        <f ca="1">IF(ISERROR(OFFSET('HARGA SATUAN'!$I$6,MATCH(RAB!C141,'HARGA SATUAN'!$C$7:$C$1492,0),0)),0,OFFSET('HARGA SATUAN'!$I$6,MATCH(RAB!C141,'HARGA SATUAN'!$C$7:$C$1492,0),0))</f>
        <v>40000</v>
      </c>
      <c r="H141" s="361">
        <f t="shared" ca="1" si="48"/>
        <v>0</v>
      </c>
      <c r="I141" s="361">
        <f t="shared" ca="1" si="49"/>
        <v>160000</v>
      </c>
      <c r="J141" s="361">
        <f t="shared" ca="1" si="50"/>
        <v>0</v>
      </c>
      <c r="K141" s="362">
        <f t="shared" ca="1" si="51"/>
        <v>160000</v>
      </c>
      <c r="L141" s="342"/>
      <c r="M141" s="342"/>
      <c r="N141" s="369"/>
      <c r="O141" s="344"/>
      <c r="P141" s="344"/>
      <c r="Q141" s="398"/>
      <c r="R141" s="344"/>
      <c r="S141" s="398"/>
      <c r="T141" s="399"/>
      <c r="U141" s="399"/>
      <c r="V141" s="399"/>
    </row>
    <row r="142" spans="1:22" s="365" customFormat="1">
      <c r="A142" s="336"/>
      <c r="B142" s="503">
        <v>5</v>
      </c>
      <c r="C142" s="504" t="s">
        <v>26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484">
        <f>F137*1</f>
        <v>2</v>
      </c>
      <c r="G142" s="360">
        <f ca="1">IF(ISERROR(OFFSET('HARGA SATUAN'!$I$6,MATCH(RAB!C142,'HARGA SATUAN'!$C$7:$C$1492,0),0)),0,OFFSET('HARGA SATUAN'!$I$6,MATCH(RAB!C142,'HARGA SATUAN'!$C$7:$C$1492,0),0))</f>
        <v>2500</v>
      </c>
      <c r="H142" s="361">
        <f t="shared" ca="1" si="48"/>
        <v>0</v>
      </c>
      <c r="I142" s="361">
        <f t="shared" ca="1" si="49"/>
        <v>5000</v>
      </c>
      <c r="J142" s="361">
        <f t="shared" ca="1" si="50"/>
        <v>0</v>
      </c>
      <c r="K142" s="362">
        <f t="shared" ca="1" si="51"/>
        <v>5000</v>
      </c>
      <c r="L142" s="342"/>
      <c r="M142" s="342"/>
      <c r="N142" s="369"/>
      <c r="O142" s="344"/>
      <c r="P142" s="344"/>
      <c r="Q142" s="398"/>
      <c r="R142" s="344"/>
      <c r="S142" s="398"/>
      <c r="T142" s="399"/>
      <c r="U142" s="399"/>
      <c r="V142" s="399"/>
    </row>
    <row r="143" spans="1:22" s="365" customFormat="1">
      <c r="A143" s="336"/>
      <c r="B143" s="503">
        <v>6</v>
      </c>
      <c r="C143" s="504" t="s">
        <v>760</v>
      </c>
      <c r="D143" s="358" t="str">
        <f ca="1">IF(ISERROR(OFFSET('HARGA SATUAN'!$D$6,MATCH(RAB!C143,'HARGA SATUAN'!$C$7:$C$1492,0),0)),"",OFFSET('HARGA SATUAN'!$D$6,MATCH(RAB!C143,'HARGA SATUAN'!$C$7:$C$1492,0),0))</f>
        <v>JASA</v>
      </c>
      <c r="E143" s="359" t="str">
        <f ca="1">IF(B143="+","Unit",IF(ISERROR(OFFSET('HARGA SATUAN'!$E$6,MATCH(RAB!C143,'HARGA SATUAN'!$C$7:$C$1492,0),0)),"",OFFSET('HARGA SATUAN'!$E$6,MATCH(RAB!C143,'HARGA SATUAN'!$C$7:$C$1492,0),0)))</f>
        <v>Unit</v>
      </c>
      <c r="F143" s="484">
        <f>F137*1</f>
        <v>2</v>
      </c>
      <c r="G143" s="360">
        <f ca="1">IF(ISERROR(OFFSET('HARGA SATUAN'!$I$6,MATCH(RAB!C143,'HARGA SATUAN'!$C$7:$C$1492,0),0)),0,OFFSET('HARGA SATUAN'!$I$6,MATCH(RAB!C143,'HARGA SATUAN'!$C$7:$C$1492,0),0))</f>
        <v>36600</v>
      </c>
      <c r="H143" s="361">
        <f t="shared" ca="1" si="48"/>
        <v>0</v>
      </c>
      <c r="I143" s="361">
        <f t="shared" ca="1" si="49"/>
        <v>0</v>
      </c>
      <c r="J143" s="361">
        <f t="shared" ca="1" si="50"/>
        <v>73200</v>
      </c>
      <c r="K143" s="362">
        <f t="shared" ca="1" si="51"/>
        <v>73200</v>
      </c>
      <c r="L143" s="342"/>
      <c r="M143" s="342"/>
      <c r="N143" s="369"/>
      <c r="O143" s="344"/>
      <c r="P143" s="344"/>
      <c r="Q143" s="398"/>
      <c r="R143" s="344"/>
      <c r="S143" s="398"/>
      <c r="T143" s="399"/>
      <c r="U143" s="399"/>
      <c r="V143" s="399"/>
    </row>
    <row r="144" spans="1:22" s="365" customFormat="1">
      <c r="A144" s="336"/>
      <c r="B144" s="373"/>
      <c r="C144" s="374"/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/>
      </c>
      <c r="F144" s="484"/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ca="1" si="48"/>
        <v>0</v>
      </c>
      <c r="I144" s="361">
        <f t="shared" ca="1" si="49"/>
        <v>0</v>
      </c>
      <c r="J144" s="361">
        <f t="shared" ca="1" si="50"/>
        <v>0</v>
      </c>
      <c r="K144" s="362">
        <f t="shared" ca="1" si="51"/>
        <v>0</v>
      </c>
      <c r="L144" s="342"/>
      <c r="M144" s="342"/>
      <c r="N144" s="369"/>
      <c r="O144" s="344"/>
      <c r="P144" s="344"/>
      <c r="Q144" s="398"/>
      <c r="R144" s="344"/>
      <c r="S144" s="398"/>
      <c r="T144" s="399"/>
      <c r="U144" s="399"/>
      <c r="V144" s="399"/>
    </row>
    <row r="145" spans="1:22" s="365" customFormat="1">
      <c r="A145" s="336"/>
      <c r="B145" s="503" t="s">
        <v>1035</v>
      </c>
      <c r="C145" s="504" t="s">
        <v>1635</v>
      </c>
      <c r="D145" s="358" t="str">
        <f ca="1">IF(ISERROR(OFFSET('HARGA SATUAN'!$D$6,MATCH(RAB!C145,'HARGA SATUAN'!$C$7:$C$1492,0),0)),"",OFFSET('HARGA SATUAN'!$D$6,MATCH(RAB!C145,'HARGA SATUAN'!$C$7:$C$1492,0),0))</f>
        <v/>
      </c>
      <c r="E145" s="359" t="str">
        <f ca="1">IF(B145="+","Unit",IF(ISERROR(OFFSET('HARGA SATUAN'!$E$6,MATCH(RAB!C145,'HARGA SATUAN'!$C$7:$C$1492,0),0)),"",OFFSET('HARGA SATUAN'!$E$6,MATCH(RAB!C145,'HARGA SATUAN'!$C$7:$C$1492,0),0)))</f>
        <v>Unit</v>
      </c>
      <c r="F145" s="484">
        <f>F137</f>
        <v>2</v>
      </c>
      <c r="G145" s="360">
        <f ca="1">IF(ISERROR(OFFSET('HARGA SATUAN'!$I$6,MATCH(RAB!C145,'HARGA SATUAN'!$C$7:$C$1492,0),0)),0,OFFSET('HARGA SATUAN'!$I$6,MATCH(RAB!C145,'HARGA SATUAN'!$C$7:$C$1492,0),0))</f>
        <v>0</v>
      </c>
      <c r="H145" s="361">
        <f t="shared" ca="1" si="48"/>
        <v>0</v>
      </c>
      <c r="I145" s="361">
        <f t="shared" ca="1" si="49"/>
        <v>0</v>
      </c>
      <c r="J145" s="361">
        <f t="shared" ca="1" si="50"/>
        <v>0</v>
      </c>
      <c r="K145" s="362">
        <f t="shared" ca="1" si="51"/>
        <v>0</v>
      </c>
      <c r="L145" s="342"/>
      <c r="M145" s="342"/>
      <c r="N145" s="369"/>
      <c r="O145" s="344"/>
      <c r="P145" s="344"/>
      <c r="Q145" s="398"/>
      <c r="R145" s="344"/>
      <c r="S145" s="398"/>
      <c r="T145" s="399"/>
      <c r="U145" s="399"/>
      <c r="V145" s="399"/>
    </row>
    <row r="146" spans="1:22" s="365" customFormat="1">
      <c r="A146" s="336"/>
      <c r="B146" s="512">
        <v>1</v>
      </c>
      <c r="C146" s="513" t="s">
        <v>597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484">
        <f>F145*1</f>
        <v>2</v>
      </c>
      <c r="G146" s="360">
        <f ca="1">IF(ISERROR(OFFSET('HARGA SATUAN'!$I$6,MATCH(RAB!C146,'HARGA SATUAN'!$C$7:$C$1492,0),0)),0,OFFSET('HARGA SATUAN'!$I$6,MATCH(RAB!C146,'HARGA SATUAN'!$C$7:$C$1492,0),0))</f>
        <v>120900</v>
      </c>
      <c r="H146" s="361">
        <f t="shared" ca="1" si="48"/>
        <v>0</v>
      </c>
      <c r="I146" s="361">
        <f t="shared" ca="1" si="49"/>
        <v>241800</v>
      </c>
      <c r="J146" s="361">
        <f t="shared" ca="1" si="50"/>
        <v>0</v>
      </c>
      <c r="K146" s="362">
        <f t="shared" ca="1" si="51"/>
        <v>241800</v>
      </c>
      <c r="L146" s="342"/>
      <c r="M146" s="342"/>
      <c r="N146" s="369"/>
      <c r="O146" s="344"/>
      <c r="P146" s="344"/>
      <c r="Q146" s="398"/>
      <c r="R146" s="344"/>
      <c r="S146" s="398"/>
      <c r="T146" s="399"/>
      <c r="U146" s="399"/>
      <c r="V146" s="399"/>
    </row>
    <row r="147" spans="1:22" s="365" customFormat="1">
      <c r="A147" s="336"/>
      <c r="B147" s="507">
        <v>2</v>
      </c>
      <c r="C147" s="510" t="s">
        <v>261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Bh</v>
      </c>
      <c r="F147" s="484">
        <f>F145*1</f>
        <v>2</v>
      </c>
      <c r="G147" s="360">
        <f ca="1">IF(ISERROR(OFFSET('HARGA SATUAN'!$I$6,MATCH(RAB!C147,'HARGA SATUAN'!$C$7:$C$1492,0),0)),0,OFFSET('HARGA SATUAN'!$I$6,MATCH(RAB!C147,'HARGA SATUAN'!$C$7:$C$1492,0),0))</f>
        <v>135800</v>
      </c>
      <c r="H147" s="361">
        <f t="shared" ca="1" si="48"/>
        <v>0</v>
      </c>
      <c r="I147" s="361">
        <f t="shared" ca="1" si="49"/>
        <v>271600</v>
      </c>
      <c r="J147" s="361">
        <f t="shared" ca="1" si="50"/>
        <v>0</v>
      </c>
      <c r="K147" s="362">
        <f t="shared" ca="1" si="51"/>
        <v>271600</v>
      </c>
      <c r="L147" s="342"/>
      <c r="M147" s="342"/>
      <c r="N147" s="369"/>
      <c r="O147" s="344"/>
      <c r="P147" s="344"/>
      <c r="Q147" s="398"/>
      <c r="R147" s="344"/>
      <c r="S147" s="398"/>
      <c r="T147" s="399"/>
      <c r="U147" s="399"/>
      <c r="V147" s="399"/>
    </row>
    <row r="148" spans="1:22" s="365" customFormat="1">
      <c r="A148" s="336"/>
      <c r="B148" s="507">
        <v>3</v>
      </c>
      <c r="C148" s="505" t="s">
        <v>214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Bh</v>
      </c>
      <c r="F148" s="502">
        <f>F145*1</f>
        <v>2</v>
      </c>
      <c r="G148" s="360">
        <f ca="1">IF(ISERROR(OFFSET('HARGA SATUAN'!$I$6,MATCH(RAB!C148,'HARGA SATUAN'!$C$7:$C$1492,0),0)),0,OFFSET('HARGA SATUAN'!$I$6,MATCH(RAB!C148,'HARGA SATUAN'!$C$7:$C$1492,0),0))</f>
        <v>4500</v>
      </c>
      <c r="H148" s="361">
        <f t="shared" ca="1" si="48"/>
        <v>0</v>
      </c>
      <c r="I148" s="361">
        <f t="shared" ca="1" si="49"/>
        <v>9000</v>
      </c>
      <c r="J148" s="361">
        <f t="shared" ca="1" si="50"/>
        <v>0</v>
      </c>
      <c r="K148" s="362">
        <f t="shared" ca="1" si="51"/>
        <v>9000</v>
      </c>
      <c r="L148" s="342"/>
      <c r="M148" s="342"/>
      <c r="N148" s="369"/>
      <c r="O148" s="344"/>
      <c r="P148" s="344"/>
      <c r="Q148" s="398"/>
      <c r="R148" s="344"/>
      <c r="S148" s="398"/>
      <c r="T148" s="399"/>
      <c r="U148" s="399"/>
      <c r="V148" s="399"/>
    </row>
    <row r="149" spans="1:22" s="365" customFormat="1">
      <c r="A149" s="336"/>
      <c r="B149" s="503">
        <v>4</v>
      </c>
      <c r="C149" s="504" t="s">
        <v>768</v>
      </c>
      <c r="D149" s="358" t="str">
        <f ca="1">IF(ISERROR(OFFSET('HARGA SATUAN'!$D$6,MATCH(RAB!C149,'HARGA SATUAN'!$C$7:$C$1492,0),0)),"",OFFSET('HARGA SATUAN'!$D$6,MATCH(RAB!C149,'HARGA SATUAN'!$C$7:$C$1492,0),0))</f>
        <v>JASA</v>
      </c>
      <c r="E149" s="359" t="str">
        <f ca="1">IF(B149="+","Unit",IF(ISERROR(OFFSET('HARGA SATUAN'!$E$6,MATCH(RAB!C149,'HARGA SATUAN'!$C$7:$C$1492,0),0)),"",OFFSET('HARGA SATUAN'!$E$6,MATCH(RAB!C149,'HARGA SATUAN'!$C$7:$C$1492,0),0)))</f>
        <v>Unit</v>
      </c>
      <c r="F149" s="484">
        <f>F145*1</f>
        <v>2</v>
      </c>
      <c r="G149" s="360">
        <f ca="1">IF(ISERROR(OFFSET('HARGA SATUAN'!$I$6,MATCH(RAB!C149,'HARGA SATUAN'!$C$7:$C$1492,0),0)),0,OFFSET('HARGA SATUAN'!$I$6,MATCH(RAB!C149,'HARGA SATUAN'!$C$7:$C$1492,0),0))</f>
        <v>55500</v>
      </c>
      <c r="H149" s="361">
        <f t="shared" ca="1" si="48"/>
        <v>0</v>
      </c>
      <c r="I149" s="361">
        <f t="shared" ca="1" si="49"/>
        <v>0</v>
      </c>
      <c r="J149" s="361">
        <f t="shared" ca="1" si="50"/>
        <v>111000</v>
      </c>
      <c r="K149" s="362">
        <f t="shared" ca="1" si="51"/>
        <v>111000</v>
      </c>
      <c r="L149" s="342"/>
      <c r="M149" s="342"/>
      <c r="N149" s="369"/>
      <c r="O149" s="344"/>
      <c r="P149" s="344"/>
      <c r="Q149" s="398"/>
      <c r="R149" s="344"/>
      <c r="S149" s="398"/>
      <c r="T149" s="399"/>
      <c r="U149" s="399"/>
      <c r="V149" s="399"/>
    </row>
    <row r="150" spans="1:22" s="365" customFormat="1">
      <c r="A150" s="336"/>
      <c r="B150" s="503"/>
      <c r="C150" s="504"/>
      <c r="D150" s="358"/>
      <c r="E150" s="359"/>
      <c r="F150" s="484"/>
      <c r="G150" s="360"/>
      <c r="H150" s="361"/>
      <c r="I150" s="361"/>
      <c r="J150" s="361"/>
      <c r="K150" s="362"/>
      <c r="L150" s="342"/>
      <c r="M150" s="342"/>
      <c r="N150" s="369"/>
      <c r="O150" s="344"/>
      <c r="P150" s="344"/>
      <c r="Q150" s="398"/>
      <c r="R150" s="344"/>
      <c r="S150" s="398"/>
      <c r="T150" s="399"/>
      <c r="U150" s="399"/>
      <c r="V150" s="399"/>
    </row>
    <row r="151" spans="1:22" s="365" customFormat="1">
      <c r="A151" s="336"/>
      <c r="B151" s="503" t="s">
        <v>1035</v>
      </c>
      <c r="C151" s="504" t="s">
        <v>1636</v>
      </c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IF(B151="+","Unit",IF(ISERROR(OFFSET('HARGA SATUAN'!$E$6,MATCH(RAB!C151,'HARGA SATUAN'!$C$7:$C$1492,0),0)),"",OFFSET('HARGA SATUAN'!$E$6,MATCH(RAB!C151,'HARGA SATUAN'!$C$7:$C$1492,0),0)))</f>
        <v>Unit</v>
      </c>
      <c r="F151" s="484">
        <f>F137</f>
        <v>2</v>
      </c>
      <c r="G151" s="360">
        <f ca="1">IF(ISERROR(OFFSET('HARGA SATUAN'!$I$6,MATCH(RAB!C151,'HARGA SATUAN'!$C$7:$C$1492,0),0)),0,OFFSET('HARGA SATUAN'!$I$6,MATCH(RAB!C151,'HARGA SATUAN'!$C$7:$C$1492,0),0))</f>
        <v>0</v>
      </c>
      <c r="H151" s="361">
        <f t="shared" ca="1" si="48"/>
        <v>0</v>
      </c>
      <c r="I151" s="361">
        <f t="shared" ca="1" si="49"/>
        <v>0</v>
      </c>
      <c r="J151" s="361">
        <f t="shared" ca="1" si="50"/>
        <v>0</v>
      </c>
      <c r="K151" s="362">
        <f t="shared" ca="1" si="51"/>
        <v>0</v>
      </c>
      <c r="L151" s="342"/>
      <c r="M151" s="342"/>
      <c r="N151" s="369"/>
      <c r="O151" s="344"/>
      <c r="P151" s="344"/>
      <c r="Q151" s="398"/>
      <c r="R151" s="344"/>
      <c r="S151" s="398"/>
      <c r="T151" s="399"/>
      <c r="U151" s="399"/>
      <c r="V151" s="399"/>
    </row>
    <row r="152" spans="1:22" s="365" customFormat="1">
      <c r="A152" s="336"/>
      <c r="B152" s="503">
        <v>1</v>
      </c>
      <c r="C152" s="504" t="s">
        <v>30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484">
        <f>F151*1</f>
        <v>2</v>
      </c>
      <c r="G152" s="360">
        <f ca="1">IF(ISERROR(OFFSET('HARGA SATUAN'!$I$6,MATCH(RAB!C152,'HARGA SATUAN'!$C$7:$C$1492,0),0)),0,OFFSET('HARGA SATUAN'!$I$6,MATCH(RAB!C152,'HARGA SATUAN'!$C$7:$C$1492,0),0))</f>
        <v>47459</v>
      </c>
      <c r="H152" s="361">
        <f t="shared" ca="1" si="48"/>
        <v>0</v>
      </c>
      <c r="I152" s="361">
        <f t="shared" ca="1" si="49"/>
        <v>94918</v>
      </c>
      <c r="J152" s="361">
        <f t="shared" ca="1" si="50"/>
        <v>0</v>
      </c>
      <c r="K152" s="362">
        <f t="shared" ca="1" si="51"/>
        <v>94918</v>
      </c>
      <c r="L152" s="342"/>
      <c r="M152" s="342"/>
      <c r="N152" s="369"/>
      <c r="O152" s="344"/>
      <c r="P152" s="344"/>
      <c r="Q152" s="398"/>
      <c r="R152" s="344"/>
      <c r="S152" s="398"/>
      <c r="T152" s="399"/>
      <c r="U152" s="399"/>
      <c r="V152" s="399"/>
    </row>
    <row r="153" spans="1:22" s="365" customFormat="1">
      <c r="A153" s="336"/>
      <c r="B153" s="503">
        <v>2</v>
      </c>
      <c r="C153" s="504" t="s">
        <v>32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Mtr</v>
      </c>
      <c r="F153" s="484">
        <f>F151*1</f>
        <v>2</v>
      </c>
      <c r="G153" s="360">
        <f ca="1">IF(ISERROR(OFFSET('HARGA SATUAN'!$I$6,MATCH(RAB!C153,'HARGA SATUAN'!$C$7:$C$1492,0),0)),0,OFFSET('HARGA SATUAN'!$I$6,MATCH(RAB!C153,'HARGA SATUAN'!$C$7:$C$1492,0),0))</f>
        <v>30000</v>
      </c>
      <c r="H153" s="361">
        <f t="shared" ca="1" si="48"/>
        <v>0</v>
      </c>
      <c r="I153" s="361">
        <f t="shared" ca="1" si="49"/>
        <v>60000</v>
      </c>
      <c r="J153" s="361">
        <f t="shared" ca="1" si="50"/>
        <v>0</v>
      </c>
      <c r="K153" s="362">
        <f t="shared" ca="1" si="51"/>
        <v>60000</v>
      </c>
      <c r="L153" s="342"/>
      <c r="M153" s="342"/>
      <c r="N153" s="369"/>
      <c r="O153" s="344"/>
      <c r="P153" s="344"/>
      <c r="Q153" s="398"/>
      <c r="R153" s="344"/>
      <c r="S153" s="398"/>
      <c r="T153" s="399"/>
      <c r="U153" s="399"/>
      <c r="V153" s="399"/>
    </row>
    <row r="154" spans="1:22" s="365" customFormat="1">
      <c r="A154" s="336"/>
      <c r="B154" s="503">
        <v>3</v>
      </c>
      <c r="C154" s="504" t="s">
        <v>33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Bh</v>
      </c>
      <c r="F154" s="484">
        <f>F151*1</f>
        <v>2</v>
      </c>
      <c r="G154" s="360">
        <f ca="1">IF(ISERROR(OFFSET('HARGA SATUAN'!$I$6,MATCH(RAB!C154,'HARGA SATUAN'!$C$7:$C$1492,0),0)),0,OFFSET('HARGA SATUAN'!$I$6,MATCH(RAB!C154,'HARGA SATUAN'!$C$7:$C$1492,0),0))</f>
        <v>9500</v>
      </c>
      <c r="H154" s="361">
        <f t="shared" ca="1" si="48"/>
        <v>0</v>
      </c>
      <c r="I154" s="361">
        <f t="shared" ca="1" si="49"/>
        <v>19000</v>
      </c>
      <c r="J154" s="361">
        <f t="shared" ca="1" si="50"/>
        <v>0</v>
      </c>
      <c r="K154" s="362">
        <f t="shared" ca="1" si="51"/>
        <v>19000</v>
      </c>
      <c r="L154" s="342"/>
      <c r="M154" s="342"/>
      <c r="N154" s="369"/>
      <c r="O154" s="344"/>
      <c r="P154" s="344"/>
      <c r="Q154" s="398"/>
      <c r="R154" s="344"/>
      <c r="S154" s="398"/>
      <c r="T154" s="399"/>
      <c r="U154" s="399"/>
      <c r="V154" s="399"/>
    </row>
    <row r="155" spans="1:22" s="365" customFormat="1">
      <c r="A155" s="336"/>
      <c r="B155" s="503">
        <v>4</v>
      </c>
      <c r="C155" s="504" t="s">
        <v>738</v>
      </c>
      <c r="D155" s="358" t="str">
        <f ca="1">IF(ISERROR(OFFSET('HARGA SATUAN'!$D$6,MATCH(RAB!C155,'HARGA SATUAN'!$C$7:$C$1492,0),0)),"",OFFSET('HARGA SATUAN'!$D$6,MATCH(RAB!C155,'HARGA SATUAN'!$C$7:$C$1492,0),0))</f>
        <v>JASA</v>
      </c>
      <c r="E155" s="359" t="str">
        <f ca="1">IF(B155="+","Unit",IF(ISERROR(OFFSET('HARGA SATUAN'!$E$6,MATCH(RAB!C155,'HARGA SATUAN'!$C$7:$C$1492,0),0)),"",OFFSET('HARGA SATUAN'!$E$6,MATCH(RAB!C155,'HARGA SATUAN'!$C$7:$C$1492,0),0)))</f>
        <v>Unit</v>
      </c>
      <c r="F155" s="484">
        <f>F151*1</f>
        <v>2</v>
      </c>
      <c r="G155" s="360">
        <f ca="1">IF(ISERROR(OFFSET('HARGA SATUAN'!$I$6,MATCH(RAB!C155,'HARGA SATUAN'!$C$7:$C$1492,0),0)),0,OFFSET('HARGA SATUAN'!$I$6,MATCH(RAB!C155,'HARGA SATUAN'!$C$7:$C$1492,0),0))</f>
        <v>21200</v>
      </c>
      <c r="H155" s="361">
        <f t="shared" ca="1" si="48"/>
        <v>0</v>
      </c>
      <c r="I155" s="361">
        <f t="shared" ca="1" si="49"/>
        <v>0</v>
      </c>
      <c r="J155" s="361">
        <f t="shared" ca="1" si="50"/>
        <v>42400</v>
      </c>
      <c r="K155" s="362">
        <f t="shared" ca="1" si="51"/>
        <v>42400</v>
      </c>
      <c r="L155" s="342"/>
      <c r="M155" s="342"/>
      <c r="N155" s="369"/>
      <c r="O155" s="344"/>
      <c r="P155" s="344"/>
      <c r="Q155" s="398"/>
      <c r="R155" s="344"/>
      <c r="S155" s="398"/>
      <c r="T155" s="399"/>
      <c r="U155" s="399"/>
      <c r="V155" s="399"/>
    </row>
    <row r="156" spans="1:22" s="365" customFormat="1">
      <c r="A156" s="336"/>
      <c r="B156" s="503"/>
      <c r="C156" s="504"/>
      <c r="D156" s="358" t="str">
        <f ca="1">IF(ISERROR(OFFSET('HARGA SATUAN'!$D$6,MATCH(RAB!C156,'HARGA SATUAN'!$C$7:$C$1492,0),0)),"",OFFSET('HARGA SATUAN'!$D$6,MATCH(RAB!C156,'HARGA SATUAN'!$C$7:$C$1492,0),0))</f>
        <v/>
      </c>
      <c r="E156" s="359" t="str">
        <f ca="1">IF(B156="+","Unit",IF(ISERROR(OFFSET('HARGA SATUAN'!$E$6,MATCH(RAB!C156,'HARGA SATUAN'!$C$7:$C$1492,0),0)),"",OFFSET('HARGA SATUAN'!$E$6,MATCH(RAB!C156,'HARGA SATUAN'!$C$7:$C$1492,0),0)))</f>
        <v/>
      </c>
      <c r="F156" s="484"/>
      <c r="G156" s="360">
        <f ca="1">IF(ISERROR(OFFSET('HARGA SATUAN'!$I$6,MATCH(RAB!C156,'HARGA SATUAN'!$C$7:$C$1492,0),0)),0,OFFSET('HARGA SATUAN'!$I$6,MATCH(RAB!C156,'HARGA SATUAN'!$C$7:$C$1492,0),0))</f>
        <v>0</v>
      </c>
      <c r="H156" s="361">
        <f t="shared" ref="H156:H161" ca="1" si="52">IF(OR(D156="MDU",D156="MDU-KD"),(IF($O$3="RAB NON MDU","PLN KD",G156*F156)),0)</f>
        <v>0</v>
      </c>
      <c r="I156" s="361">
        <f t="shared" ref="I156:I161" ca="1" si="53">IF(D156="HDW",G156*F156,0)</f>
        <v>0</v>
      </c>
      <c r="J156" s="361">
        <f t="shared" ref="J156:J161" ca="1" si="54">IF(D156="JASA",G156*F156,0)</f>
        <v>0</v>
      </c>
      <c r="K156" s="362">
        <f t="shared" ref="K156:K161" ca="1" si="55">SUM(H156:J156)</f>
        <v>0</v>
      </c>
      <c r="L156" s="342"/>
      <c r="M156" s="342"/>
      <c r="N156" s="369"/>
      <c r="O156" s="344"/>
      <c r="P156" s="344"/>
      <c r="Q156" s="398"/>
      <c r="R156" s="344"/>
      <c r="S156" s="398"/>
      <c r="T156" s="399"/>
      <c r="U156" s="399"/>
      <c r="V156" s="399"/>
    </row>
    <row r="157" spans="1:22" s="365" customFormat="1">
      <c r="A157" s="336"/>
      <c r="B157" s="529" t="s">
        <v>1035</v>
      </c>
      <c r="C157" s="530" t="s">
        <v>1649</v>
      </c>
      <c r="D157" s="358" t="str">
        <f ca="1">IF(ISERROR(OFFSET('HARGA SATUAN'!$D$6,MATCH(RAB!C157,'HARGA SATUAN'!$C$7:$C$1492,0),0)),"",OFFSET('HARGA SATUAN'!$D$6,MATCH(RAB!C157,'HARGA SATUAN'!$C$7:$C$1492,0),0))</f>
        <v/>
      </c>
      <c r="E157" s="359" t="str">
        <f ca="1">IF(B157="+","Unit",IF(ISERROR(OFFSET('HARGA SATUAN'!$E$6,MATCH(RAB!C157,'HARGA SATUAN'!$C$7:$C$1492,0),0)),"",OFFSET('HARGA SATUAN'!$E$6,MATCH(RAB!C157,'HARGA SATUAN'!$C$7:$C$1492,0),0)))</f>
        <v>Unit</v>
      </c>
      <c r="F157" s="528">
        <v>2</v>
      </c>
      <c r="G157" s="360">
        <f ca="1">IF(ISERROR(OFFSET('HARGA SATUAN'!$I$6,MATCH(RAB!C157,'HARGA SATUAN'!$C$7:$C$1492,0),0)),0,OFFSET('HARGA SATUAN'!$I$6,MATCH(RAB!C157,'HARGA SATUAN'!$C$7:$C$1492,0),0))</f>
        <v>0</v>
      </c>
      <c r="H157" s="361">
        <f t="shared" ca="1" si="52"/>
        <v>0</v>
      </c>
      <c r="I157" s="361">
        <f t="shared" ca="1" si="53"/>
        <v>0</v>
      </c>
      <c r="J157" s="361">
        <f t="shared" ca="1" si="54"/>
        <v>0</v>
      </c>
      <c r="K157" s="362">
        <f t="shared" ca="1" si="55"/>
        <v>0</v>
      </c>
      <c r="L157" s="342"/>
      <c r="M157" s="342"/>
      <c r="N157" s="369"/>
      <c r="O157" s="344"/>
      <c r="P157" s="344"/>
      <c r="Q157" s="398"/>
      <c r="R157" s="344"/>
      <c r="S157" s="398"/>
      <c r="T157" s="399"/>
      <c r="U157" s="399"/>
      <c r="V157" s="399"/>
    </row>
    <row r="158" spans="1:22" s="365" customFormat="1">
      <c r="A158" s="336"/>
      <c r="B158" s="529">
        <v>1</v>
      </c>
      <c r="C158" s="109" t="s">
        <v>1567</v>
      </c>
      <c r="D158" s="358" t="str">
        <f ca="1">IF(ISERROR(OFFSET('HARGA SATUAN'!$D$6,MATCH(RAB!C158,'HARGA SATUAN'!$C$7:$C$1492,0),0)),"",OFFSET('HARGA SATUAN'!$D$6,MATCH(RAB!C158,'HARGA SATUAN'!$C$7:$C$1492,0),0))</f>
        <v>MDU-KD</v>
      </c>
      <c r="E158" s="359" t="str">
        <f ca="1">IF(B158="+","Unit",IF(ISERROR(OFFSET('HARGA SATUAN'!$E$6,MATCH(RAB!C158,'HARGA SATUAN'!$C$7:$C$1492,0),0)),"",OFFSET('HARGA SATUAN'!$E$6,MATCH(RAB!C158,'HARGA SATUAN'!$C$7:$C$1492,0),0)))</f>
        <v>Bh</v>
      </c>
      <c r="F158" s="528">
        <f>F157*1</f>
        <v>2</v>
      </c>
      <c r="G158" s="360">
        <f ca="1">IF(ISERROR(OFFSET('HARGA SATUAN'!$I$6,MATCH(RAB!C158,'HARGA SATUAN'!$C$7:$C$1492,0),0)),0,OFFSET('HARGA SATUAN'!$I$6,MATCH(RAB!C158,'HARGA SATUAN'!$C$7:$C$1492,0),0))</f>
        <v>235900</v>
      </c>
      <c r="H158" s="361">
        <f t="shared" ca="1" si="52"/>
        <v>471800</v>
      </c>
      <c r="I158" s="361">
        <f t="shared" ca="1" si="53"/>
        <v>0</v>
      </c>
      <c r="J158" s="361">
        <f t="shared" ca="1" si="54"/>
        <v>0</v>
      </c>
      <c r="K158" s="362">
        <f t="shared" ca="1" si="55"/>
        <v>471800</v>
      </c>
      <c r="L158" s="342"/>
      <c r="M158" s="342"/>
      <c r="N158" s="369"/>
      <c r="O158" s="344"/>
      <c r="P158" s="344"/>
      <c r="Q158" s="398"/>
      <c r="R158" s="344"/>
      <c r="S158" s="398"/>
      <c r="T158" s="399"/>
      <c r="U158" s="399"/>
      <c r="V158" s="399"/>
    </row>
    <row r="159" spans="1:22" s="365" customFormat="1">
      <c r="A159" s="336"/>
      <c r="B159" s="529">
        <v>2</v>
      </c>
      <c r="C159" s="530" t="s">
        <v>37</v>
      </c>
      <c r="D159" s="358" t="str">
        <f ca="1">IF(ISERROR(OFFSET('HARGA SATUAN'!$D$6,MATCH(RAB!C159,'HARGA SATUAN'!$C$7:$C$1492,0),0)),"",OFFSET('HARGA SATUAN'!$D$6,MATCH(RAB!C159,'HARGA SATUAN'!$C$7:$C$1492,0),0))</f>
        <v>HDW</v>
      </c>
      <c r="E159" s="359" t="str">
        <f ca="1">IF(B159="+","Unit",IF(ISERROR(OFFSET('HARGA SATUAN'!$E$6,MATCH(RAB!C159,'HARGA SATUAN'!$C$7:$C$1492,0),0)),"",OFFSET('HARGA SATUAN'!$E$6,MATCH(RAB!C159,'HARGA SATUAN'!$C$7:$C$1492,0),0)))</f>
        <v>Bh</v>
      </c>
      <c r="F159" s="528">
        <f>F157*1</f>
        <v>2</v>
      </c>
      <c r="G159" s="360">
        <f ca="1">IF(ISERROR(OFFSET('HARGA SATUAN'!$I$6,MATCH(RAB!C159,'HARGA SATUAN'!$C$7:$C$1492,0),0)),0,OFFSET('HARGA SATUAN'!$I$6,MATCH(RAB!C159,'HARGA SATUAN'!$C$7:$C$1492,0),0))</f>
        <v>63500</v>
      </c>
      <c r="H159" s="361">
        <f t="shared" ca="1" si="52"/>
        <v>0</v>
      </c>
      <c r="I159" s="361">
        <f t="shared" ca="1" si="53"/>
        <v>127000</v>
      </c>
      <c r="J159" s="361">
        <f t="shared" ca="1" si="54"/>
        <v>0</v>
      </c>
      <c r="K159" s="362">
        <f t="shared" ca="1" si="55"/>
        <v>127000</v>
      </c>
      <c r="L159" s="342"/>
      <c r="M159" s="342"/>
      <c r="N159" s="369"/>
      <c r="O159" s="344"/>
      <c r="P159" s="344"/>
      <c r="Q159" s="398"/>
      <c r="R159" s="344"/>
      <c r="S159" s="398"/>
      <c r="T159" s="399"/>
      <c r="U159" s="399"/>
      <c r="V159" s="399"/>
    </row>
    <row r="160" spans="1:22" s="365" customFormat="1">
      <c r="A160" s="336"/>
      <c r="B160" s="529">
        <v>3</v>
      </c>
      <c r="C160" s="530" t="s">
        <v>38</v>
      </c>
      <c r="D160" s="358" t="str">
        <f ca="1">IF(ISERROR(OFFSET('HARGA SATUAN'!$D$6,MATCH(RAB!C160,'HARGA SATUAN'!$C$7:$C$1492,0),0)),"",OFFSET('HARGA SATUAN'!$D$6,MATCH(RAB!C160,'HARGA SATUAN'!$C$7:$C$1492,0),0))</f>
        <v>HDW</v>
      </c>
      <c r="E160" s="359" t="str">
        <f ca="1">IF(B160="+","Unit",IF(ISERROR(OFFSET('HARGA SATUAN'!$E$6,MATCH(RAB!C160,'HARGA SATUAN'!$C$7:$C$1492,0),0)),"",OFFSET('HARGA SATUAN'!$E$6,MATCH(RAB!C160,'HARGA SATUAN'!$C$7:$C$1492,0),0)))</f>
        <v>Mtr</v>
      </c>
      <c r="F160" s="528">
        <f>F158*1.8</f>
        <v>3.6</v>
      </c>
      <c r="G160" s="360">
        <f ca="1">IF(ISERROR(OFFSET('HARGA SATUAN'!$I$6,MATCH(RAB!C160,'HARGA SATUAN'!$C$7:$C$1492,0),0)),0,OFFSET('HARGA SATUAN'!$I$6,MATCH(RAB!C160,'HARGA SATUAN'!$C$7:$C$1492,0),0))</f>
        <v>8550</v>
      </c>
      <c r="H160" s="361">
        <f t="shared" ca="1" si="52"/>
        <v>0</v>
      </c>
      <c r="I160" s="361">
        <f t="shared" ca="1" si="53"/>
        <v>30780</v>
      </c>
      <c r="J160" s="361">
        <f t="shared" ca="1" si="54"/>
        <v>0</v>
      </c>
      <c r="K160" s="362">
        <f t="shared" ca="1" si="55"/>
        <v>30780</v>
      </c>
      <c r="L160" s="342"/>
      <c r="M160" s="342"/>
      <c r="N160" s="369"/>
      <c r="O160" s="344"/>
      <c r="P160" s="344"/>
      <c r="Q160" s="398"/>
      <c r="R160" s="344"/>
      <c r="S160" s="398"/>
      <c r="T160" s="399"/>
      <c r="U160" s="399"/>
      <c r="V160" s="399"/>
    </row>
    <row r="161" spans="1:22" s="365" customFormat="1">
      <c r="A161" s="336"/>
      <c r="B161" s="529">
        <v>4</v>
      </c>
      <c r="C161" s="530" t="s">
        <v>743</v>
      </c>
      <c r="D161" s="358" t="str">
        <f ca="1">IF(ISERROR(OFFSET('HARGA SATUAN'!$D$6,MATCH(RAB!C161,'HARGA SATUAN'!$C$7:$C$1492,0),0)),"",OFFSET('HARGA SATUAN'!$D$6,MATCH(RAB!C161,'HARGA SATUAN'!$C$7:$C$1492,0),0))</f>
        <v>JASA</v>
      </c>
      <c r="E161" s="359" t="str">
        <f ca="1">IF(B161="+","Unit",IF(ISERROR(OFFSET('HARGA SATUAN'!$E$6,MATCH(RAB!C161,'HARGA SATUAN'!$C$7:$C$1492,0),0)),"",OFFSET('HARGA SATUAN'!$E$6,MATCH(RAB!C161,'HARGA SATUAN'!$C$7:$C$1492,0),0)))</f>
        <v>Unit</v>
      </c>
      <c r="F161" s="528">
        <f>F157*1</f>
        <v>2</v>
      </c>
      <c r="G161" s="360">
        <f ca="1">IF(ISERROR(OFFSET('HARGA SATUAN'!$I$6,MATCH(RAB!C161,'HARGA SATUAN'!$C$7:$C$1492,0),0)),0,OFFSET('HARGA SATUAN'!$I$6,MATCH(RAB!C161,'HARGA SATUAN'!$C$7:$C$1492,0),0))</f>
        <v>31200</v>
      </c>
      <c r="H161" s="361">
        <f t="shared" ca="1" si="52"/>
        <v>0</v>
      </c>
      <c r="I161" s="361">
        <f t="shared" ca="1" si="53"/>
        <v>0</v>
      </c>
      <c r="J161" s="361">
        <f t="shared" ca="1" si="54"/>
        <v>62400</v>
      </c>
      <c r="K161" s="362">
        <f t="shared" ca="1" si="55"/>
        <v>62400</v>
      </c>
      <c r="L161" s="342"/>
      <c r="M161" s="342"/>
      <c r="N161" s="369"/>
      <c r="O161" s="344"/>
      <c r="P161" s="344"/>
      <c r="Q161" s="398"/>
      <c r="R161" s="344"/>
      <c r="S161" s="398"/>
      <c r="T161" s="399"/>
      <c r="U161" s="399"/>
      <c r="V161" s="399"/>
    </row>
    <row r="162" spans="1:22" s="365" customFormat="1">
      <c r="A162" s="336"/>
      <c r="B162" s="503"/>
      <c r="C162" s="504"/>
      <c r="D162" s="358"/>
      <c r="E162" s="359"/>
      <c r="F162" s="484"/>
      <c r="G162" s="360"/>
      <c r="H162" s="361"/>
      <c r="I162" s="361"/>
      <c r="J162" s="361"/>
      <c r="K162" s="362"/>
      <c r="L162" s="342"/>
      <c r="M162" s="342"/>
      <c r="N162" s="369"/>
      <c r="O162" s="344"/>
      <c r="P162" s="344"/>
      <c r="Q162" s="398"/>
      <c r="R162" s="344"/>
      <c r="S162" s="398"/>
      <c r="T162" s="399"/>
      <c r="U162" s="399"/>
      <c r="V162" s="399"/>
    </row>
    <row r="163" spans="1:22" s="365" customFormat="1">
      <c r="A163" s="336"/>
      <c r="B163" s="373" t="s">
        <v>1549</v>
      </c>
      <c r="C163" s="374" t="s">
        <v>1619</v>
      </c>
      <c r="D163" s="358" t="str">
        <f ca="1">IF(ISERROR(OFFSET('HARGA SATUAN'!$D$6,MATCH(RAB!C163,'HARGA SATUAN'!$C$7:$C$1492,0),0)),"",OFFSET('HARGA SATUAN'!$D$6,MATCH(RAB!C163,'HARGA SATUAN'!$C$7:$C$1492,0),0))</f>
        <v/>
      </c>
      <c r="E163" s="359" t="str">
        <f ca="1">IF(B163="+","Unit",IF(ISERROR(OFFSET('HARGA SATUAN'!$E$6,MATCH(RAB!C163,'HARGA SATUAN'!$C$7:$C$1492,0),0)),"",OFFSET('HARGA SATUAN'!$E$6,MATCH(RAB!C163,'HARGA SATUAN'!$C$7:$C$1492,0),0)))</f>
        <v/>
      </c>
      <c r="F163" s="484"/>
      <c r="G163" s="360">
        <f ca="1">IF(ISERROR(OFFSET('HARGA SATUAN'!$I$6,MATCH(RAB!C163,'HARGA SATUAN'!$C$7:$C$1492,0),0)),0,OFFSET('HARGA SATUAN'!$I$6,MATCH(RAB!C163,'HARGA SATUAN'!$C$7:$C$1492,0),0))</f>
        <v>0</v>
      </c>
      <c r="H163" s="361">
        <f t="shared" ref="H163:H164" ca="1" si="56">IF(OR(D163="MDU",D163="MDU-KD"),(IF($O$3="RAB NON MDU","PLN KD",G163*F163)),0)</f>
        <v>0</v>
      </c>
      <c r="I163" s="361">
        <f t="shared" ref="I163:I164" ca="1" si="57">IF(D163="HDW",G163*F163,0)</f>
        <v>0</v>
      </c>
      <c r="J163" s="361">
        <f t="shared" ref="J163:J164" ca="1" si="58">IF(D163="JASA",G163*F163,0)</f>
        <v>0</v>
      </c>
      <c r="K163" s="362">
        <f t="shared" ref="K163:K164" ca="1" si="59">SUM(H163:J163)</f>
        <v>0</v>
      </c>
      <c r="L163" s="342"/>
      <c r="M163" s="342"/>
      <c r="N163" s="369"/>
      <c r="O163" s="344"/>
      <c r="P163" s="344"/>
      <c r="Q163" s="398"/>
      <c r="R163" s="344"/>
      <c r="S163" s="398"/>
      <c r="T163" s="399"/>
      <c r="U163" s="399"/>
      <c r="V163" s="399"/>
    </row>
    <row r="164" spans="1:22" s="365" customFormat="1">
      <c r="A164" s="336"/>
      <c r="B164" s="373"/>
      <c r="C164" s="374"/>
      <c r="D164" s="358" t="str">
        <f ca="1">IF(ISERROR(OFFSET('HARGA SATUAN'!$D$6,MATCH(RAB!C164,'HARGA SATUAN'!$C$7:$C$1492,0),0)),"",OFFSET('HARGA SATUAN'!$D$6,MATCH(RAB!C164,'HARGA SATUAN'!$C$7:$C$1492,0),0))</f>
        <v/>
      </c>
      <c r="E164" s="359" t="str">
        <f ca="1">IF(B164="+","Unit",IF(ISERROR(OFFSET('HARGA SATUAN'!$E$6,MATCH(RAB!C164,'HARGA SATUAN'!$C$7:$C$1492,0),0)),"",OFFSET('HARGA SATUAN'!$E$6,MATCH(RAB!C164,'HARGA SATUAN'!$C$7:$C$1492,0),0)))</f>
        <v/>
      </c>
      <c r="F164" s="484"/>
      <c r="G164" s="360">
        <f ca="1">IF(ISERROR(OFFSET('HARGA SATUAN'!$I$6,MATCH(RAB!C164,'HARGA SATUAN'!$C$7:$C$1492,0),0)),0,OFFSET('HARGA SATUAN'!$I$6,MATCH(RAB!C164,'HARGA SATUAN'!$C$7:$C$1492,0),0))</f>
        <v>0</v>
      </c>
      <c r="H164" s="361">
        <f t="shared" ca="1" si="56"/>
        <v>0</v>
      </c>
      <c r="I164" s="361">
        <f t="shared" ca="1" si="57"/>
        <v>0</v>
      </c>
      <c r="J164" s="361">
        <f t="shared" ca="1" si="58"/>
        <v>0</v>
      </c>
      <c r="K164" s="362">
        <f t="shared" ca="1" si="59"/>
        <v>0</v>
      </c>
      <c r="L164" s="342"/>
      <c r="M164" s="342"/>
      <c r="N164" s="369"/>
      <c r="O164" s="344"/>
      <c r="P164" s="344"/>
      <c r="Q164" s="398"/>
      <c r="R164" s="344"/>
      <c r="S164" s="398"/>
      <c r="T164" s="399"/>
      <c r="U164" s="399"/>
      <c r="V164" s="399"/>
    </row>
    <row r="165" spans="1:22" s="365" customFormat="1">
      <c r="A165" s="336"/>
      <c r="B165" s="521" t="s">
        <v>1035</v>
      </c>
      <c r="C165" s="522" t="s">
        <v>1644</v>
      </c>
      <c r="D165" s="358" t="str">
        <f ca="1">IF(ISERROR(OFFSET('HARGA SATUAN'!$D$6,MATCH(RAB!C165,'HARGA SATUAN'!$C$7:$C$1492,0),0)),"",OFFSET('HARGA SATUAN'!$D$6,MATCH(RAB!C165,'HARGA SATUAN'!$C$7:$C$1492,0),0))</f>
        <v/>
      </c>
      <c r="E165" s="359" t="str">
        <f ca="1">IF(B165="+","Unit",IF(ISERROR(OFFSET('HARGA SATUAN'!$E$6,MATCH(RAB!C165,'HARGA SATUAN'!$C$7:$C$1492,0),0)),"",OFFSET('HARGA SATUAN'!$E$6,MATCH(RAB!C165,'HARGA SATUAN'!$C$7:$C$1492,0),0)))</f>
        <v>Unit</v>
      </c>
      <c r="F165" s="484">
        <v>1</v>
      </c>
      <c r="G165" s="360">
        <f ca="1">IF(ISERROR(OFFSET('HARGA SATUAN'!$I$6,MATCH(RAB!C165,'HARGA SATUAN'!$C$7:$C$1492,0),0)),0,OFFSET('HARGA SATUAN'!$I$6,MATCH(RAB!C165,'HARGA SATUAN'!$C$7:$C$1492,0),0))</f>
        <v>0</v>
      </c>
      <c r="H165" s="361">
        <f t="shared" ref="H165:H224" ca="1" si="60">IF(OR(D165="MDU",D165="MDU-KD"),(IF($O$3="RAB NON MDU","PLN KD",G165*F165)),0)</f>
        <v>0</v>
      </c>
      <c r="I165" s="361">
        <f t="shared" ref="I165:I224" ca="1" si="61">IF(D165="HDW",G165*F165,0)</f>
        <v>0</v>
      </c>
      <c r="J165" s="361">
        <f t="shared" ref="J165:J224" ca="1" si="62">IF(D165="JASA",G165*F165,0)</f>
        <v>0</v>
      </c>
      <c r="K165" s="362">
        <f t="shared" ref="K165:K224" ca="1" si="63">SUM(H165:J165)</f>
        <v>0</v>
      </c>
      <c r="L165" s="342"/>
      <c r="M165" s="342"/>
      <c r="N165" s="369"/>
      <c r="O165" s="344"/>
      <c r="P165" s="344"/>
      <c r="Q165" s="344"/>
      <c r="R165" s="344"/>
      <c r="S165" s="344"/>
      <c r="T165" s="403"/>
      <c r="U165" s="403"/>
      <c r="V165" s="403"/>
    </row>
    <row r="166" spans="1:22" s="365" customFormat="1">
      <c r="A166" s="336"/>
      <c r="B166" s="521">
        <v>1</v>
      </c>
      <c r="C166" s="109" t="s">
        <v>1147</v>
      </c>
      <c r="D166" s="358" t="str">
        <f ca="1">IF(ISERROR(OFFSET('HARGA SATUAN'!$D$6,MATCH(RAB!C166,'HARGA SATUAN'!$C$7:$C$1492,0),0)),"",OFFSET('HARGA SATUAN'!$D$6,MATCH(RAB!C166,'HARGA SATUAN'!$C$7:$C$1492,0),0))</f>
        <v>MDU-KD</v>
      </c>
      <c r="E166" s="359" t="str">
        <f ca="1">IF(B166="+","Unit",IF(ISERROR(OFFSET('HARGA SATUAN'!$E$6,MATCH(RAB!C166,'HARGA SATUAN'!$C$7:$C$1492,0),0)),"",OFFSET('HARGA SATUAN'!$E$6,MATCH(RAB!C166,'HARGA SATUAN'!$C$7:$C$1492,0),0)))</f>
        <v>Bh</v>
      </c>
      <c r="F166" s="484">
        <f>F165*1</f>
        <v>1</v>
      </c>
      <c r="G166" s="360">
        <f ca="1">IF(ISERROR(OFFSET('HARGA SATUAN'!$I$6,MATCH(RAB!C166,'HARGA SATUAN'!$C$7:$C$1492,0),0)),0,OFFSET('HARGA SATUAN'!$I$6,MATCH(RAB!C166,'HARGA SATUAN'!$C$7:$C$1492,0),0))</f>
        <v>56838600</v>
      </c>
      <c r="H166" s="361">
        <f t="shared" ca="1" si="60"/>
        <v>56838600</v>
      </c>
      <c r="I166" s="361">
        <f t="shared" ca="1" si="61"/>
        <v>0</v>
      </c>
      <c r="J166" s="361">
        <f t="shared" ca="1" si="62"/>
        <v>0</v>
      </c>
      <c r="K166" s="362">
        <f t="shared" ca="1" si="63"/>
        <v>56838600</v>
      </c>
      <c r="L166" s="342"/>
      <c r="M166" s="342"/>
      <c r="N166" s="369"/>
      <c r="O166" s="344"/>
      <c r="P166" s="344"/>
      <c r="Q166" s="344"/>
      <c r="R166" s="344"/>
      <c r="S166" s="344"/>
      <c r="T166" s="399"/>
      <c r="U166" s="399"/>
      <c r="V166" s="399"/>
    </row>
    <row r="167" spans="1:22" s="365" customFormat="1">
      <c r="A167" s="336"/>
      <c r="B167" s="507">
        <v>2</v>
      </c>
      <c r="C167" s="508" t="s">
        <v>1628</v>
      </c>
      <c r="D167" s="358" t="str">
        <f ca="1">IF(ISERROR(OFFSET('HARGA SATUAN'!$D$6,MATCH(RAB!C167,'HARGA SATUAN'!$C$7:$C$1492,0),0)),"",OFFSET('HARGA SATUAN'!$D$6,MATCH(RAB!C167,'HARGA SATUAN'!$C$7:$C$1492,0),0))</f>
        <v/>
      </c>
      <c r="E167" s="359" t="str">
        <f ca="1">IF(B167="+","Unit",IF(ISERROR(OFFSET('HARGA SATUAN'!$E$6,MATCH(RAB!C167,'HARGA SATUAN'!$C$7:$C$1492,0),0)),"",OFFSET('HARGA SATUAN'!$E$6,MATCH(RAB!C167,'HARGA SATUAN'!$C$7:$C$1492,0),0)))</f>
        <v/>
      </c>
      <c r="F167" s="509"/>
      <c r="G167" s="360">
        <f ca="1">IF(ISERROR(OFFSET('HARGA SATUAN'!$I$6,MATCH(RAB!C167,'HARGA SATUAN'!$C$7:$C$1492,0),0)),0,OFFSET('HARGA SATUAN'!$I$6,MATCH(RAB!C167,'HARGA SATUAN'!$C$7:$C$1492,0),0))</f>
        <v>0</v>
      </c>
      <c r="H167" s="361">
        <f t="shared" ca="1" si="60"/>
        <v>0</v>
      </c>
      <c r="I167" s="361">
        <f t="shared" ca="1" si="61"/>
        <v>0</v>
      </c>
      <c r="J167" s="361">
        <f t="shared" ca="1" si="62"/>
        <v>0</v>
      </c>
      <c r="K167" s="362">
        <f t="shared" ca="1" si="63"/>
        <v>0</v>
      </c>
      <c r="L167" s="342"/>
      <c r="M167" s="342"/>
      <c r="N167" s="369"/>
      <c r="O167" s="344"/>
      <c r="P167" s="344"/>
      <c r="Q167" s="344"/>
      <c r="R167" s="344"/>
      <c r="S167" s="344"/>
      <c r="T167" s="399"/>
      <c r="U167" s="399"/>
      <c r="V167" s="399"/>
    </row>
    <row r="168" spans="1:22" s="365" customFormat="1">
      <c r="A168" s="336"/>
      <c r="B168" s="521"/>
      <c r="C168" s="508" t="s">
        <v>65</v>
      </c>
      <c r="D168" s="358" t="str">
        <f ca="1">IF(ISERROR(OFFSET('HARGA SATUAN'!$D$6,MATCH(RAB!C168,'HARGA SATUAN'!$C$7:$C$1492,0),0)),"",OFFSET('HARGA SATUAN'!$D$6,MATCH(RAB!C168,'HARGA SATUAN'!$C$7:$C$1492,0),0))</f>
        <v>MDU-KD</v>
      </c>
      <c r="E168" s="359" t="str">
        <f ca="1">IF(B168="+","Unit",IF(ISERROR(OFFSET('HARGA SATUAN'!$E$6,MATCH(RAB!C168,'HARGA SATUAN'!$C$7:$C$1492,0),0)),"",OFFSET('HARGA SATUAN'!$E$6,MATCH(RAB!C168,'HARGA SATUAN'!$C$7:$C$1492,0),0)))</f>
        <v>Mtr</v>
      </c>
      <c r="F168" s="484">
        <f>F165*(3*3)</f>
        <v>9</v>
      </c>
      <c r="G168" s="360">
        <f ca="1">IF(ISERROR(OFFSET('HARGA SATUAN'!$I$6,MATCH(RAB!C168,'HARGA SATUAN'!$C$7:$C$1492,0),0)),0,OFFSET('HARGA SATUAN'!$I$6,MATCH(RAB!C168,'HARGA SATUAN'!$C$7:$C$1492,0),0))</f>
        <v>14200</v>
      </c>
      <c r="H168" s="361">
        <f t="shared" ca="1" si="60"/>
        <v>127800</v>
      </c>
      <c r="I168" s="361">
        <f t="shared" ca="1" si="61"/>
        <v>0</v>
      </c>
      <c r="J168" s="361">
        <f t="shared" ca="1" si="62"/>
        <v>0</v>
      </c>
      <c r="K168" s="362">
        <f t="shared" ca="1" si="63"/>
        <v>127800</v>
      </c>
      <c r="L168" s="342"/>
      <c r="M168" s="342"/>
      <c r="N168" s="369"/>
      <c r="O168" s="344"/>
      <c r="P168" s="344"/>
      <c r="Q168" s="344"/>
      <c r="R168" s="344"/>
      <c r="S168" s="344"/>
      <c r="T168" s="403"/>
      <c r="U168" s="403"/>
      <c r="V168" s="403"/>
    </row>
    <row r="169" spans="1:22" s="365" customFormat="1">
      <c r="A169" s="336"/>
      <c r="B169" s="521"/>
      <c r="C169" s="109" t="s">
        <v>1462</v>
      </c>
      <c r="D169" s="358" t="str">
        <f ca="1">IF(ISERROR(OFFSET('HARGA SATUAN'!$D$6,MATCH(RAB!C169,'HARGA SATUAN'!$C$7:$C$1492,0),0)),"",OFFSET('HARGA SATUAN'!$D$6,MATCH(RAB!C169,'HARGA SATUAN'!$C$7:$C$1492,0),0))</f>
        <v>MDU-KD</v>
      </c>
      <c r="E169" s="359" t="str">
        <f ca="1">IF(B169="+","Unit",IF(ISERROR(OFFSET('HARGA SATUAN'!$E$6,MATCH(RAB!C169,'HARGA SATUAN'!$C$7:$C$1492,0),0)),"",OFFSET('HARGA SATUAN'!$E$6,MATCH(RAB!C169,'HARGA SATUAN'!$C$7:$C$1492,0),0)))</f>
        <v>Mtr</v>
      </c>
      <c r="F169" s="484">
        <f>F165*3</f>
        <v>3</v>
      </c>
      <c r="G169" s="360">
        <f ca="1">IF(ISERROR(OFFSET('HARGA SATUAN'!$I$6,MATCH(RAB!C169,'HARGA SATUAN'!$C$7:$C$1492,0),0)),0,OFFSET('HARGA SATUAN'!$I$6,MATCH(RAB!C169,'HARGA SATUAN'!$C$7:$C$1492,0),0))</f>
        <v>54500</v>
      </c>
      <c r="H169" s="361">
        <f t="shared" ca="1" si="60"/>
        <v>163500</v>
      </c>
      <c r="I169" s="361">
        <f t="shared" ca="1" si="61"/>
        <v>0</v>
      </c>
      <c r="J169" s="361">
        <f t="shared" ca="1" si="62"/>
        <v>0</v>
      </c>
      <c r="K169" s="362">
        <f t="shared" ca="1" si="63"/>
        <v>163500</v>
      </c>
      <c r="L169" s="406" t="e">
        <f ca="1">PROPER([94]!terbilang(K230))</f>
        <v>#NAME?</v>
      </c>
      <c r="M169" s="406"/>
      <c r="N169" s="369"/>
      <c r="O169" s="344"/>
      <c r="P169" s="344"/>
      <c r="Q169" s="344"/>
    </row>
    <row r="170" spans="1:22">
      <c r="B170" s="521">
        <v>3</v>
      </c>
      <c r="C170" s="109" t="s">
        <v>559</v>
      </c>
      <c r="D170" s="358" t="str">
        <f ca="1">IF(ISERROR(OFFSET('HARGA SATUAN'!$D$6,MATCH(RAB!C170,'HARGA SATUAN'!$C$7:$C$1492,0),0)),"",OFFSET('HARGA SATUAN'!$D$6,MATCH(RAB!C170,'HARGA SATUAN'!$C$7:$C$1492,0),0))</f>
        <v>MDU-KD</v>
      </c>
      <c r="E170" s="359" t="str">
        <f ca="1">IF(B170="+","Unit",IF(ISERROR(OFFSET('HARGA SATUAN'!$E$6,MATCH(RAB!C170,'HARGA SATUAN'!$C$7:$C$1492,0),0)),"",OFFSET('HARGA SATUAN'!$E$6,MATCH(RAB!C170,'HARGA SATUAN'!$C$7:$C$1492,0),0)))</f>
        <v>Bh</v>
      </c>
      <c r="F170" s="484">
        <f>F165*3</f>
        <v>3</v>
      </c>
      <c r="G170" s="360">
        <f ca="1">IF(ISERROR(OFFSET('HARGA SATUAN'!$I$6,MATCH(RAB!C170,'HARGA SATUAN'!$C$7:$C$1492,0),0)),0,OFFSET('HARGA SATUAN'!$I$6,MATCH(RAB!C170,'HARGA SATUAN'!$C$7:$C$1492,0),0))</f>
        <v>725900</v>
      </c>
      <c r="H170" s="361">
        <f t="shared" ca="1" si="60"/>
        <v>2177700</v>
      </c>
      <c r="I170" s="361">
        <f t="shared" ca="1" si="61"/>
        <v>0</v>
      </c>
      <c r="J170" s="361">
        <f t="shared" ca="1" si="62"/>
        <v>0</v>
      </c>
      <c r="K170" s="362">
        <f t="shared" ca="1" si="63"/>
        <v>2177700</v>
      </c>
    </row>
    <row r="171" spans="1:22">
      <c r="B171" s="521">
        <v>4</v>
      </c>
      <c r="C171" s="522" t="s">
        <v>535</v>
      </c>
      <c r="D171" s="358" t="str">
        <f ca="1">IF(ISERROR(OFFSET('HARGA SATUAN'!$D$6,MATCH(RAB!C171,'HARGA SATUAN'!$C$7:$C$1492,0),0)),"",OFFSET('HARGA SATUAN'!$D$6,MATCH(RAB!C171,'HARGA SATUAN'!$C$7:$C$1492,0),0))</f>
        <v>MDU-KD</v>
      </c>
      <c r="E171" s="359" t="str">
        <f ca="1">IF(B171="+","Unit",IF(ISERROR(OFFSET('HARGA SATUAN'!$E$6,MATCH(RAB!C171,'HARGA SATUAN'!$C$7:$C$1492,0),0)),"",OFFSET('HARGA SATUAN'!$E$6,MATCH(RAB!C171,'HARGA SATUAN'!$C$7:$C$1492,0),0)))</f>
        <v>Bh</v>
      </c>
      <c r="F171" s="484">
        <f>F165*3</f>
        <v>3</v>
      </c>
      <c r="G171" s="360">
        <f ca="1">IF(ISERROR(OFFSET('HARGA SATUAN'!$I$6,MATCH(RAB!C171,'HARGA SATUAN'!$C$7:$C$1492,0),0)),0,OFFSET('HARGA SATUAN'!$I$6,MATCH(RAB!C171,'HARGA SATUAN'!$C$7:$C$1492,0),0))</f>
        <v>848250</v>
      </c>
      <c r="H171" s="361">
        <f t="shared" ca="1" si="60"/>
        <v>2544750</v>
      </c>
      <c r="I171" s="361">
        <f t="shared" ca="1" si="61"/>
        <v>0</v>
      </c>
      <c r="J171" s="361">
        <f t="shared" ca="1" si="62"/>
        <v>0</v>
      </c>
      <c r="K171" s="362">
        <f t="shared" ca="1" si="63"/>
        <v>2544750</v>
      </c>
    </row>
    <row r="172" spans="1:22">
      <c r="B172" s="521">
        <v>5</v>
      </c>
      <c r="C172" s="522" t="s">
        <v>55</v>
      </c>
      <c r="D172" s="358" t="str">
        <f ca="1">IF(ISERROR(OFFSET('HARGA SATUAN'!$D$6,MATCH(RAB!C172,'HARGA SATUAN'!$C$7:$C$1492,0),0)),"",OFFSET('HARGA SATUAN'!$D$6,MATCH(RAB!C172,'HARGA SATUAN'!$C$7:$C$1492,0),0))</f>
        <v>HDW</v>
      </c>
      <c r="E172" s="359" t="str">
        <f ca="1">IF(B172="+","Unit",IF(ISERROR(OFFSET('HARGA SATUAN'!$E$6,MATCH(RAB!C172,'HARGA SATUAN'!$C$7:$C$1492,0),0)),"",OFFSET('HARGA SATUAN'!$E$6,MATCH(RAB!C172,'HARGA SATUAN'!$C$7:$C$1492,0),0)))</f>
        <v>Bh</v>
      </c>
      <c r="F172" s="484">
        <f>F165*3</f>
        <v>3</v>
      </c>
      <c r="G172" s="360">
        <f ca="1">IF(ISERROR(OFFSET('HARGA SATUAN'!$I$6,MATCH(RAB!C172,'HARGA SATUAN'!$C$7:$C$1492,0),0)),0,OFFSET('HARGA SATUAN'!$I$6,MATCH(RAB!C172,'HARGA SATUAN'!$C$7:$C$1492,0),0))</f>
        <v>18000</v>
      </c>
      <c r="H172" s="361">
        <f t="shared" ca="1" si="60"/>
        <v>0</v>
      </c>
      <c r="I172" s="361">
        <f t="shared" ca="1" si="61"/>
        <v>54000</v>
      </c>
      <c r="J172" s="361">
        <f t="shared" ca="1" si="62"/>
        <v>0</v>
      </c>
      <c r="K172" s="362">
        <f t="shared" ca="1" si="63"/>
        <v>54000</v>
      </c>
    </row>
    <row r="173" spans="1:22">
      <c r="B173" s="521">
        <v>6</v>
      </c>
      <c r="C173" s="109" t="s">
        <v>1572</v>
      </c>
      <c r="D173" s="358" t="str">
        <f ca="1">IF(ISERROR(OFFSET('HARGA SATUAN'!$D$6,MATCH(RAB!C173,'HARGA SATUAN'!$C$7:$C$1492,0),0)),"",OFFSET('HARGA SATUAN'!$D$6,MATCH(RAB!C173,'HARGA SATUAN'!$C$7:$C$1492,0),0))</f>
        <v>HDW</v>
      </c>
      <c r="E173" s="359" t="str">
        <f ca="1">IF(B173="+","Unit",IF(ISERROR(OFFSET('HARGA SATUAN'!$E$6,MATCH(RAB!C173,'HARGA SATUAN'!$C$7:$C$1492,0),0)),"",OFFSET('HARGA SATUAN'!$E$6,MATCH(RAB!C173,'HARGA SATUAN'!$C$7:$C$1492,0),0)))</f>
        <v>Bh</v>
      </c>
      <c r="F173" s="484">
        <f>F165*13</f>
        <v>13</v>
      </c>
      <c r="G173" s="360">
        <f ca="1">IF(ISERROR(OFFSET('HARGA SATUAN'!$I$6,MATCH(RAB!C173,'HARGA SATUAN'!$C$7:$C$1492,0),0)),0,OFFSET('HARGA SATUAN'!$I$6,MATCH(RAB!C173,'HARGA SATUAN'!$C$7:$C$1492,0),0))</f>
        <v>49000</v>
      </c>
      <c r="H173" s="361">
        <f t="shared" ca="1" si="60"/>
        <v>0</v>
      </c>
      <c r="I173" s="361">
        <f t="shared" ca="1" si="61"/>
        <v>637000</v>
      </c>
      <c r="J173" s="361">
        <f t="shared" ca="1" si="62"/>
        <v>0</v>
      </c>
      <c r="K173" s="362">
        <f t="shared" ca="1" si="63"/>
        <v>637000</v>
      </c>
    </row>
    <row r="174" spans="1:22">
      <c r="B174" s="521">
        <v>7</v>
      </c>
      <c r="C174" s="522" t="s">
        <v>163</v>
      </c>
      <c r="D174" s="358" t="str">
        <f ca="1">IF(ISERROR(OFFSET('HARGA SATUAN'!$D$6,MATCH(RAB!C174,'HARGA SATUAN'!$C$7:$C$1492,0),0)),"",OFFSET('HARGA SATUAN'!$D$6,MATCH(RAB!C174,'HARGA SATUAN'!$C$7:$C$1492,0),0))</f>
        <v>HDW</v>
      </c>
      <c r="E174" s="359" t="str">
        <f ca="1">IF(B174="+","Unit",IF(ISERROR(OFFSET('HARGA SATUAN'!$E$6,MATCH(RAB!C174,'HARGA SATUAN'!$C$7:$C$1492,0),0)),"",OFFSET('HARGA SATUAN'!$E$6,MATCH(RAB!C174,'HARGA SATUAN'!$C$7:$C$1492,0),0)))</f>
        <v>Bh</v>
      </c>
      <c r="F174" s="484">
        <f>F165*22</f>
        <v>22</v>
      </c>
      <c r="G174" s="360">
        <f ca="1">IF(ISERROR(OFFSET('HARGA SATUAN'!$I$6,MATCH(RAB!C174,'HARGA SATUAN'!$C$7:$C$1492,0),0)),0,OFFSET('HARGA SATUAN'!$I$6,MATCH(RAB!C174,'HARGA SATUAN'!$C$7:$C$1492,0),0))</f>
        <v>7938</v>
      </c>
      <c r="H174" s="361">
        <f t="shared" ca="1" si="60"/>
        <v>0</v>
      </c>
      <c r="I174" s="361">
        <f t="shared" ca="1" si="61"/>
        <v>174636</v>
      </c>
      <c r="J174" s="361">
        <f t="shared" ca="1" si="62"/>
        <v>0</v>
      </c>
      <c r="K174" s="362">
        <f t="shared" ca="1" si="63"/>
        <v>174636</v>
      </c>
    </row>
    <row r="175" spans="1:22">
      <c r="B175" s="521">
        <v>8</v>
      </c>
      <c r="C175" s="522" t="s">
        <v>176</v>
      </c>
      <c r="D175" s="358" t="str">
        <f ca="1">IF(ISERROR(OFFSET('HARGA SATUAN'!$D$6,MATCH(RAB!C175,'HARGA SATUAN'!$C$7:$C$1492,0),0)),"",OFFSET('HARGA SATUAN'!$D$6,MATCH(RAB!C175,'HARGA SATUAN'!$C$7:$C$1492,0),0))</f>
        <v>HDW</v>
      </c>
      <c r="E175" s="359" t="str">
        <f ca="1">IF(B175="+","Unit",IF(ISERROR(OFFSET('HARGA SATUAN'!$E$6,MATCH(RAB!C175,'HARGA SATUAN'!$C$7:$C$1492,0),0)),"",OFFSET('HARGA SATUAN'!$E$6,MATCH(RAB!C175,'HARGA SATUAN'!$C$7:$C$1492,0),0)))</f>
        <v>Bh</v>
      </c>
      <c r="F175" s="484">
        <f>F165*1</f>
        <v>1</v>
      </c>
      <c r="G175" s="360">
        <f ca="1">IF(ISERROR(OFFSET('HARGA SATUAN'!$I$6,MATCH(RAB!C175,'HARGA SATUAN'!$C$7:$C$1492,0),0)),0,OFFSET('HARGA SATUAN'!$I$6,MATCH(RAB!C175,'HARGA SATUAN'!$C$7:$C$1492,0),0))</f>
        <v>404600</v>
      </c>
      <c r="H175" s="361">
        <f t="shared" ca="1" si="60"/>
        <v>0</v>
      </c>
      <c r="I175" s="361">
        <f t="shared" ca="1" si="61"/>
        <v>404600</v>
      </c>
      <c r="J175" s="361">
        <f t="shared" ca="1" si="62"/>
        <v>0</v>
      </c>
      <c r="K175" s="362">
        <f t="shared" ca="1" si="63"/>
        <v>404600</v>
      </c>
    </row>
    <row r="176" spans="1:22">
      <c r="B176" s="521">
        <v>9</v>
      </c>
      <c r="C176" s="522" t="s">
        <v>184</v>
      </c>
      <c r="D176" s="358" t="str">
        <f ca="1">IF(ISERROR(OFFSET('HARGA SATUAN'!$D$6,MATCH(RAB!C176,'HARGA SATUAN'!$C$7:$C$1492,0),0)),"",OFFSET('HARGA SATUAN'!$D$6,MATCH(RAB!C176,'HARGA SATUAN'!$C$7:$C$1492,0),0))</f>
        <v>HDW</v>
      </c>
      <c r="E176" s="359" t="str">
        <f ca="1">IF(B176="+","Unit",IF(ISERROR(OFFSET('HARGA SATUAN'!$E$6,MATCH(RAB!C176,'HARGA SATUAN'!$C$7:$C$1492,0),0)),"",OFFSET('HARGA SATUAN'!$E$6,MATCH(RAB!C176,'HARGA SATUAN'!$C$7:$C$1492,0),0)))</f>
        <v>Bh</v>
      </c>
      <c r="F176" s="484">
        <f>F165*3</f>
        <v>3</v>
      </c>
      <c r="G176" s="360">
        <f ca="1">IF(ISERROR(OFFSET('HARGA SATUAN'!$I$6,MATCH(RAB!C176,'HARGA SATUAN'!$C$7:$C$1492,0),0)),0,OFFSET('HARGA SATUAN'!$I$6,MATCH(RAB!C176,'HARGA SATUAN'!$C$7:$C$1492,0),0))</f>
        <v>15900</v>
      </c>
      <c r="H176" s="361">
        <f t="shared" ca="1" si="60"/>
        <v>0</v>
      </c>
      <c r="I176" s="361">
        <f t="shared" ca="1" si="61"/>
        <v>47700</v>
      </c>
      <c r="J176" s="361">
        <f t="shared" ca="1" si="62"/>
        <v>0</v>
      </c>
      <c r="K176" s="362">
        <f t="shared" ca="1" si="63"/>
        <v>47700</v>
      </c>
    </row>
    <row r="177" spans="2:11">
      <c r="B177" s="521">
        <v>10</v>
      </c>
      <c r="C177" s="522" t="s">
        <v>592</v>
      </c>
      <c r="D177" s="358" t="str">
        <f ca="1">IF(ISERROR(OFFSET('HARGA SATUAN'!$D$6,MATCH(RAB!C177,'HARGA SATUAN'!$C$7:$C$1492,0),0)),"",OFFSET('HARGA SATUAN'!$D$6,MATCH(RAB!C177,'HARGA SATUAN'!$C$7:$C$1492,0),0))</f>
        <v>HDW</v>
      </c>
      <c r="E177" s="359" t="str">
        <f ca="1">IF(B177="+","Unit",IF(ISERROR(OFFSET('HARGA SATUAN'!$E$6,MATCH(RAB!C177,'HARGA SATUAN'!$C$7:$C$1492,0),0)),"",OFFSET('HARGA SATUAN'!$E$6,MATCH(RAB!C177,'HARGA SATUAN'!$C$7:$C$1492,0),0)))</f>
        <v>Bh</v>
      </c>
      <c r="F177" s="484">
        <f>F165*5</f>
        <v>5</v>
      </c>
      <c r="G177" s="360">
        <f ca="1">IF(ISERROR(OFFSET('HARGA SATUAN'!$I$6,MATCH(RAB!C177,'HARGA SATUAN'!$C$7:$C$1492,0),0)),0,OFFSET('HARGA SATUAN'!$I$6,MATCH(RAB!C177,'HARGA SATUAN'!$C$7:$C$1492,0),0))</f>
        <v>283100</v>
      </c>
      <c r="H177" s="361">
        <f t="shared" ca="1" si="60"/>
        <v>0</v>
      </c>
      <c r="I177" s="361">
        <f t="shared" ca="1" si="61"/>
        <v>1415500</v>
      </c>
      <c r="J177" s="361">
        <f t="shared" ca="1" si="62"/>
        <v>0</v>
      </c>
      <c r="K177" s="362">
        <f t="shared" ca="1" si="63"/>
        <v>1415500</v>
      </c>
    </row>
    <row r="178" spans="2:11">
      <c r="B178" s="521">
        <v>11</v>
      </c>
      <c r="C178" s="522" t="s">
        <v>593</v>
      </c>
      <c r="D178" s="358" t="str">
        <f ca="1">IF(ISERROR(OFFSET('HARGA SATUAN'!$D$6,MATCH(RAB!C178,'HARGA SATUAN'!$C$7:$C$1492,0),0)),"",OFFSET('HARGA SATUAN'!$D$6,MATCH(RAB!C178,'HARGA SATUAN'!$C$7:$C$1492,0),0))</f>
        <v>HDW</v>
      </c>
      <c r="E178" s="359" t="str">
        <f ca="1">IF(B178="+","Unit",IF(ISERROR(OFFSET('HARGA SATUAN'!$E$6,MATCH(RAB!C178,'HARGA SATUAN'!$C$7:$C$1492,0),0)),"",OFFSET('HARGA SATUAN'!$E$6,MATCH(RAB!C178,'HARGA SATUAN'!$C$7:$C$1492,0),0)))</f>
        <v>Bh</v>
      </c>
      <c r="F178" s="484">
        <f>F165*4</f>
        <v>4</v>
      </c>
      <c r="G178" s="360">
        <f ca="1">IF(ISERROR(OFFSET('HARGA SATUAN'!$I$6,MATCH(RAB!C178,'HARGA SATUAN'!$C$7:$C$1492,0),0)),0,OFFSET('HARGA SATUAN'!$I$6,MATCH(RAB!C178,'HARGA SATUAN'!$C$7:$C$1492,0),0))</f>
        <v>380500</v>
      </c>
      <c r="H178" s="361">
        <f t="shared" ca="1" si="60"/>
        <v>0</v>
      </c>
      <c r="I178" s="361">
        <f t="shared" ca="1" si="61"/>
        <v>1522000</v>
      </c>
      <c r="J178" s="361">
        <f t="shared" ca="1" si="62"/>
        <v>0</v>
      </c>
      <c r="K178" s="362">
        <f t="shared" ca="1" si="63"/>
        <v>1522000</v>
      </c>
    </row>
    <row r="179" spans="2:11">
      <c r="B179" s="521">
        <v>12</v>
      </c>
      <c r="C179" s="522" t="s">
        <v>208</v>
      </c>
      <c r="D179" s="358" t="str">
        <f ca="1">IF(ISERROR(OFFSET('HARGA SATUAN'!$D$6,MATCH(RAB!C179,'HARGA SATUAN'!$C$7:$C$1492,0),0)),"",OFFSET('HARGA SATUAN'!$D$6,MATCH(RAB!C179,'HARGA SATUAN'!$C$7:$C$1492,0),0))</f>
        <v>HDW</v>
      </c>
      <c r="E179" s="359" t="str">
        <f ca="1">IF(B179="+","Unit",IF(ISERROR(OFFSET('HARGA SATUAN'!$E$6,MATCH(RAB!C179,'HARGA SATUAN'!$C$7:$C$1492,0),0)),"",OFFSET('HARGA SATUAN'!$E$6,MATCH(RAB!C179,'HARGA SATUAN'!$C$7:$C$1492,0),0)))</f>
        <v>Bh</v>
      </c>
      <c r="F179" s="484">
        <f>F165*3</f>
        <v>3</v>
      </c>
      <c r="G179" s="360">
        <f ca="1">IF(ISERROR(OFFSET('HARGA SATUAN'!$I$6,MATCH(RAB!C179,'HARGA SATUAN'!$C$7:$C$1492,0),0)),0,OFFSET('HARGA SATUAN'!$I$6,MATCH(RAB!C179,'HARGA SATUAN'!$C$7:$C$1492,0),0))</f>
        <v>173400</v>
      </c>
      <c r="H179" s="361">
        <f t="shared" ca="1" si="60"/>
        <v>0</v>
      </c>
      <c r="I179" s="361">
        <f t="shared" ca="1" si="61"/>
        <v>520200</v>
      </c>
      <c r="J179" s="361">
        <f t="shared" ca="1" si="62"/>
        <v>0</v>
      </c>
      <c r="K179" s="362">
        <f t="shared" ca="1" si="63"/>
        <v>520200</v>
      </c>
    </row>
    <row r="180" spans="2:11">
      <c r="B180" s="521">
        <v>13</v>
      </c>
      <c r="C180" s="522" t="s">
        <v>247</v>
      </c>
      <c r="D180" s="358" t="str">
        <f ca="1">IF(ISERROR(OFFSET('HARGA SATUAN'!$D$6,MATCH(RAB!C180,'HARGA SATUAN'!$C$7:$C$1492,0),0)),"",OFFSET('HARGA SATUAN'!$D$6,MATCH(RAB!C180,'HARGA SATUAN'!$C$7:$C$1492,0),0))</f>
        <v>HDW</v>
      </c>
      <c r="E180" s="359" t="str">
        <f ca="1">IF(B180="+","Unit",IF(ISERROR(OFFSET('HARGA SATUAN'!$E$6,MATCH(RAB!C180,'HARGA SATUAN'!$C$7:$C$1492,0),0)),"",OFFSET('HARGA SATUAN'!$E$6,MATCH(RAB!C180,'HARGA SATUAN'!$C$7:$C$1492,0),0)))</f>
        <v>Bh</v>
      </c>
      <c r="F180" s="484">
        <f>F165*1</f>
        <v>1</v>
      </c>
      <c r="G180" s="360">
        <f ca="1">IF(ISERROR(OFFSET('HARGA SATUAN'!$I$6,MATCH(RAB!C180,'HARGA SATUAN'!$C$7:$C$1492,0),0)),0,OFFSET('HARGA SATUAN'!$I$6,MATCH(RAB!C180,'HARGA SATUAN'!$C$7:$C$1492,0),0))</f>
        <v>57690</v>
      </c>
      <c r="H180" s="361">
        <f t="shared" ca="1" si="60"/>
        <v>0</v>
      </c>
      <c r="I180" s="361">
        <f t="shared" ca="1" si="61"/>
        <v>57690</v>
      </c>
      <c r="J180" s="361">
        <f t="shared" ca="1" si="62"/>
        <v>0</v>
      </c>
      <c r="K180" s="362">
        <f t="shared" ca="1" si="63"/>
        <v>57690</v>
      </c>
    </row>
    <row r="181" spans="2:11">
      <c r="B181" s="521">
        <v>14</v>
      </c>
      <c r="C181" s="522" t="s">
        <v>234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Bh</v>
      </c>
      <c r="F181" s="484">
        <f>F165*2</f>
        <v>2</v>
      </c>
      <c r="G181" s="360">
        <f ca="1">IF(ISERROR(OFFSET('HARGA SATUAN'!$I$6,MATCH(RAB!C181,'HARGA SATUAN'!$C$7:$C$1492,0),0)),0,OFFSET('HARGA SATUAN'!$I$6,MATCH(RAB!C181,'HARGA SATUAN'!$C$7:$C$1492,0),0))</f>
        <v>67500</v>
      </c>
      <c r="H181" s="361">
        <f t="shared" ca="1" si="60"/>
        <v>0</v>
      </c>
      <c r="I181" s="361">
        <f t="shared" ca="1" si="61"/>
        <v>135000</v>
      </c>
      <c r="J181" s="361">
        <f t="shared" ca="1" si="62"/>
        <v>0</v>
      </c>
      <c r="K181" s="362">
        <f t="shared" ca="1" si="63"/>
        <v>135000</v>
      </c>
    </row>
    <row r="182" spans="2:11">
      <c r="B182" s="521">
        <v>15</v>
      </c>
      <c r="C182" s="522" t="s">
        <v>267</v>
      </c>
      <c r="D182" s="358" t="str">
        <f ca="1">IF(ISERROR(OFFSET('HARGA SATUAN'!$D$6,MATCH(RAB!C182,'HARGA SATUAN'!$C$7:$C$1492,0),0)),"",OFFSET('HARGA SATUAN'!$D$6,MATCH(RAB!C182,'HARGA SATUAN'!$C$7:$C$1492,0),0))</f>
        <v>HDW</v>
      </c>
      <c r="E182" s="359" t="str">
        <f ca="1">IF(B182="+","Unit",IF(ISERROR(OFFSET('HARGA SATUAN'!$E$6,MATCH(RAB!C182,'HARGA SATUAN'!$C$7:$C$1492,0),0)),"",OFFSET('HARGA SATUAN'!$E$6,MATCH(RAB!C182,'HARGA SATUAN'!$C$7:$C$1492,0),0)))</f>
        <v>Bh</v>
      </c>
      <c r="F182" s="484">
        <f>F165*2</f>
        <v>2</v>
      </c>
      <c r="G182" s="360">
        <f ca="1">IF(ISERROR(OFFSET('HARGA SATUAN'!$I$6,MATCH(RAB!C182,'HARGA SATUAN'!$C$7:$C$1492,0),0)),0,OFFSET('HARGA SATUAN'!$I$6,MATCH(RAB!C182,'HARGA SATUAN'!$C$7:$C$1492,0),0))</f>
        <v>129000</v>
      </c>
      <c r="H182" s="361">
        <f t="shared" ca="1" si="60"/>
        <v>0</v>
      </c>
      <c r="I182" s="361">
        <f t="shared" ca="1" si="61"/>
        <v>258000</v>
      </c>
      <c r="J182" s="361">
        <f t="shared" ca="1" si="62"/>
        <v>0</v>
      </c>
      <c r="K182" s="362">
        <f t="shared" ca="1" si="63"/>
        <v>258000</v>
      </c>
    </row>
    <row r="183" spans="2:11">
      <c r="B183" s="521">
        <v>16</v>
      </c>
      <c r="C183" s="522" t="s">
        <v>607</v>
      </c>
      <c r="D183" s="358" t="str">
        <f ca="1">IF(ISERROR(OFFSET('HARGA SATUAN'!$D$6,MATCH(RAB!C183,'HARGA SATUAN'!$C$7:$C$1492,0),0)),"",OFFSET('HARGA SATUAN'!$D$6,MATCH(RAB!C183,'HARGA SATUAN'!$C$7:$C$1492,0),0))</f>
        <v>HDW</v>
      </c>
      <c r="E183" s="359" t="str">
        <f ca="1">IF(B183="+","Unit",IF(ISERROR(OFFSET('HARGA SATUAN'!$E$6,MATCH(RAB!C183,'HARGA SATUAN'!$C$7:$C$1492,0),0)),"",OFFSET('HARGA SATUAN'!$E$6,MATCH(RAB!C183,'HARGA SATUAN'!$C$7:$C$1492,0),0)))</f>
        <v>Bh</v>
      </c>
      <c r="F183" s="484">
        <f>F165*4</f>
        <v>4</v>
      </c>
      <c r="G183" s="360">
        <f ca="1">IF(ISERROR(OFFSET('HARGA SATUAN'!$I$6,MATCH(RAB!C183,'HARGA SATUAN'!$C$7:$C$1492,0),0)),0,OFFSET('HARGA SATUAN'!$I$6,MATCH(RAB!C183,'HARGA SATUAN'!$C$7:$C$1492,0),0))</f>
        <v>250000</v>
      </c>
      <c r="H183" s="361">
        <f t="shared" ca="1" si="60"/>
        <v>0</v>
      </c>
      <c r="I183" s="361">
        <f t="shared" ca="1" si="61"/>
        <v>1000000</v>
      </c>
      <c r="J183" s="361">
        <f t="shared" ca="1" si="62"/>
        <v>0</v>
      </c>
      <c r="K183" s="362">
        <f t="shared" ca="1" si="63"/>
        <v>1000000</v>
      </c>
    </row>
    <row r="184" spans="2:11">
      <c r="B184" s="521">
        <v>17</v>
      </c>
      <c r="C184" s="522" t="s">
        <v>784</v>
      </c>
      <c r="D184" s="358" t="str">
        <f ca="1">IF(ISERROR(OFFSET('HARGA SATUAN'!$D$6,MATCH(RAB!C184,'HARGA SATUAN'!$C$7:$C$1492,0),0)),"",OFFSET('HARGA SATUAN'!$D$6,MATCH(RAB!C184,'HARGA SATUAN'!$C$7:$C$1492,0),0))</f>
        <v>JASA</v>
      </c>
      <c r="E184" s="359" t="str">
        <f ca="1">IF(B184="+","Unit",IF(ISERROR(OFFSET('HARGA SATUAN'!$E$6,MATCH(RAB!C184,'HARGA SATUAN'!$C$7:$C$1492,0),0)),"",OFFSET('HARGA SATUAN'!$E$6,MATCH(RAB!C184,'HARGA SATUAN'!$C$7:$C$1492,0),0)))</f>
        <v>Unit</v>
      </c>
      <c r="F184" s="484">
        <f>F165*1</f>
        <v>1</v>
      </c>
      <c r="G184" s="360">
        <f ca="1">IF(ISERROR(OFFSET('HARGA SATUAN'!$I$6,MATCH(RAB!C184,'HARGA SATUAN'!$C$7:$C$1492,0),0)),0,OFFSET('HARGA SATUAN'!$I$6,MATCH(RAB!C184,'HARGA SATUAN'!$C$7:$C$1492,0),0))</f>
        <v>2953300</v>
      </c>
      <c r="H184" s="361">
        <f t="shared" ca="1" si="60"/>
        <v>0</v>
      </c>
      <c r="I184" s="361">
        <f t="shared" ca="1" si="61"/>
        <v>0</v>
      </c>
      <c r="J184" s="361">
        <f t="shared" ca="1" si="62"/>
        <v>2953300</v>
      </c>
      <c r="K184" s="362">
        <f t="shared" ca="1" si="63"/>
        <v>2953300</v>
      </c>
    </row>
    <row r="185" spans="2:11">
      <c r="B185" s="521"/>
      <c r="C185" s="522"/>
      <c r="D185" s="358" t="str">
        <f ca="1">IF(ISERROR(OFFSET('HARGA SATUAN'!$D$6,MATCH(RAB!C185,'HARGA SATUAN'!$C$7:$C$1492,0),0)),"",OFFSET('HARGA SATUAN'!$D$6,MATCH(RAB!C185,'HARGA SATUAN'!$C$7:$C$1492,0),0))</f>
        <v/>
      </c>
      <c r="E185" s="359" t="str">
        <f ca="1">IF(B185="+","Unit",IF(ISERROR(OFFSET('HARGA SATUAN'!$E$6,MATCH(RAB!C185,'HARGA SATUAN'!$C$7:$C$1492,0),0)),"",OFFSET('HARGA SATUAN'!$E$6,MATCH(RAB!C185,'HARGA SATUAN'!$C$7:$C$1492,0),0)))</f>
        <v/>
      </c>
      <c r="F185" s="484"/>
      <c r="G185" s="360">
        <f ca="1">IF(ISERROR(OFFSET('HARGA SATUAN'!$I$6,MATCH(RAB!C185,'HARGA SATUAN'!$C$7:$C$1492,0),0)),0,OFFSET('HARGA SATUAN'!$I$6,MATCH(RAB!C185,'HARGA SATUAN'!$C$7:$C$1492,0),0))</f>
        <v>0</v>
      </c>
      <c r="H185" s="361">
        <f t="shared" ref="H185:H186" ca="1" si="64">IF(OR(D185="MDU",D185="MDU-KD"),(IF($O$3="RAB NON MDU","PLN KD",G185*F185)),0)</f>
        <v>0</v>
      </c>
      <c r="I185" s="361">
        <f t="shared" ref="I185:I186" ca="1" si="65">IF(D185="HDW",G185*F185,0)</f>
        <v>0</v>
      </c>
      <c r="J185" s="361">
        <f t="shared" ref="J185:J186" ca="1" si="66">IF(D185="JASA",G185*F185,0)</f>
        <v>0</v>
      </c>
      <c r="K185" s="362">
        <f t="shared" ref="K185:K186" ca="1" si="67">SUM(H185:J185)</f>
        <v>0</v>
      </c>
    </row>
    <row r="186" spans="2:11">
      <c r="B186" s="507" t="s">
        <v>1035</v>
      </c>
      <c r="C186" s="510" t="s">
        <v>1629</v>
      </c>
      <c r="D186" s="358" t="str">
        <f ca="1">IF(ISERROR(OFFSET('HARGA SATUAN'!$D$6,MATCH(RAB!C186,'HARGA SATUAN'!$C$7:$C$1492,0),0)),"",OFFSET('HARGA SATUAN'!$D$6,MATCH(RAB!C186,'HARGA SATUAN'!$C$7:$C$1492,0),0))</f>
        <v/>
      </c>
      <c r="E186" s="359" t="str">
        <f ca="1">IF(B186="+","Unit",IF(ISERROR(OFFSET('HARGA SATUAN'!$E$6,MATCH(RAB!C186,'HARGA SATUAN'!$C$7:$C$1492,0),0)),"",OFFSET('HARGA SATUAN'!$E$6,MATCH(RAB!C186,'HARGA SATUAN'!$C$7:$C$1492,0),0)))</f>
        <v>Unit</v>
      </c>
      <c r="F186" s="484">
        <v>2</v>
      </c>
      <c r="G186" s="360">
        <f ca="1">IF(ISERROR(OFFSET('HARGA SATUAN'!$I$6,MATCH(RAB!C186,'HARGA SATUAN'!$C$7:$C$1492,0),0)),0,OFFSET('HARGA SATUAN'!$I$6,MATCH(RAB!C186,'HARGA SATUAN'!$C$7:$C$1492,0),0))</f>
        <v>0</v>
      </c>
      <c r="H186" s="361">
        <f t="shared" ca="1" si="64"/>
        <v>0</v>
      </c>
      <c r="I186" s="361">
        <f t="shared" ca="1" si="65"/>
        <v>0</v>
      </c>
      <c r="J186" s="361">
        <f t="shared" ca="1" si="66"/>
        <v>0</v>
      </c>
      <c r="K186" s="362">
        <f t="shared" ca="1" si="67"/>
        <v>0</v>
      </c>
    </row>
    <row r="187" spans="2:11">
      <c r="B187" s="507">
        <v>1</v>
      </c>
      <c r="C187" s="505" t="s">
        <v>29</v>
      </c>
      <c r="D187" s="358" t="str">
        <f ca="1">IF(ISERROR(OFFSET('HARGA SATUAN'!$D$6,MATCH(RAB!C187,'HARGA SATUAN'!$C$7:$C$1492,0),0)),"",OFFSET('HARGA SATUAN'!$D$6,MATCH(RAB!C187,'HARGA SATUAN'!$C$7:$C$1492,0),0))</f>
        <v>HDW</v>
      </c>
      <c r="E187" s="359" t="str">
        <f ca="1">IF(B187="+","Unit",IF(ISERROR(OFFSET('HARGA SATUAN'!$E$6,MATCH(RAB!C187,'HARGA SATUAN'!$C$7:$C$1492,0),0)),"",OFFSET('HARGA SATUAN'!$E$6,MATCH(RAB!C187,'HARGA SATUAN'!$C$7:$C$1492,0),0)))</f>
        <v>Bh</v>
      </c>
      <c r="F187" s="484">
        <f>F186*1</f>
        <v>2</v>
      </c>
      <c r="G187" s="360">
        <f ca="1">IF(ISERROR(OFFSET('HARGA SATUAN'!$I$6,MATCH(RAB!C187,'HARGA SATUAN'!$C$7:$C$1492,0),0)),0,OFFSET('HARGA SATUAN'!$I$6,MATCH(RAB!C187,'HARGA SATUAN'!$C$7:$C$1492,0),0))</f>
        <v>185200</v>
      </c>
      <c r="H187" s="361">
        <f t="shared" ca="1" si="60"/>
        <v>0</v>
      </c>
      <c r="I187" s="361">
        <f t="shared" ca="1" si="61"/>
        <v>370400</v>
      </c>
      <c r="J187" s="361">
        <f t="shared" ca="1" si="62"/>
        <v>0</v>
      </c>
      <c r="K187" s="362">
        <f t="shared" ca="1" si="63"/>
        <v>370400</v>
      </c>
    </row>
    <row r="188" spans="2:11">
      <c r="B188" s="503">
        <v>2</v>
      </c>
      <c r="C188" s="504" t="s">
        <v>30</v>
      </c>
      <c r="D188" s="358" t="str">
        <f ca="1">IF(ISERROR(OFFSET('HARGA SATUAN'!$D$6,MATCH(RAB!C188,'HARGA SATUAN'!$C$7:$C$1492,0),0)),"",OFFSET('HARGA SATUAN'!$D$6,MATCH(RAB!C188,'HARGA SATUAN'!$C$7:$C$1492,0),0))</f>
        <v>HDW</v>
      </c>
      <c r="E188" s="359" t="str">
        <f ca="1">IF(B188="+","Unit",IF(ISERROR(OFFSET('HARGA SATUAN'!$E$6,MATCH(RAB!C188,'HARGA SATUAN'!$C$7:$C$1492,0),0)),"",OFFSET('HARGA SATUAN'!$E$6,MATCH(RAB!C188,'HARGA SATUAN'!$C$7:$C$1492,0),0)))</f>
        <v>Bh</v>
      </c>
      <c r="F188" s="484">
        <f>F186*1</f>
        <v>2</v>
      </c>
      <c r="G188" s="360">
        <f ca="1">IF(ISERROR(OFFSET('HARGA SATUAN'!$I$6,MATCH(RAB!C188,'HARGA SATUAN'!$C$7:$C$1492,0),0)),0,OFFSET('HARGA SATUAN'!$I$6,MATCH(RAB!C188,'HARGA SATUAN'!$C$7:$C$1492,0),0))</f>
        <v>47459</v>
      </c>
      <c r="H188" s="361">
        <f t="shared" ca="1" si="60"/>
        <v>0</v>
      </c>
      <c r="I188" s="361">
        <f t="shared" ca="1" si="61"/>
        <v>94918</v>
      </c>
      <c r="J188" s="361">
        <f t="shared" ca="1" si="62"/>
        <v>0</v>
      </c>
      <c r="K188" s="362">
        <f t="shared" ca="1" si="63"/>
        <v>94918</v>
      </c>
    </row>
    <row r="189" spans="2:11">
      <c r="B189" s="503">
        <v>3</v>
      </c>
      <c r="C189" s="504" t="s">
        <v>31</v>
      </c>
      <c r="D189" s="358" t="str">
        <f ca="1">IF(ISERROR(OFFSET('HARGA SATUAN'!$D$6,MATCH(RAB!C189,'HARGA SATUAN'!$C$7:$C$1492,0),0)),"",OFFSET('HARGA SATUAN'!$D$6,MATCH(RAB!C189,'HARGA SATUAN'!$C$7:$C$1492,0),0))</f>
        <v>HDW</v>
      </c>
      <c r="E189" s="359" t="str">
        <f ca="1">IF(B189="+","Unit",IF(ISERROR(OFFSET('HARGA SATUAN'!$E$6,MATCH(RAB!C189,'HARGA SATUAN'!$C$7:$C$1492,0),0)),"",OFFSET('HARGA SATUAN'!$E$6,MATCH(RAB!C189,'HARGA SATUAN'!$C$7:$C$1492,0),0)))</f>
        <v>Bh</v>
      </c>
      <c r="F189" s="484">
        <f>F186*1</f>
        <v>2</v>
      </c>
      <c r="G189" s="360">
        <f ca="1">IF(ISERROR(OFFSET('HARGA SATUAN'!$I$6,MATCH(RAB!C189,'HARGA SATUAN'!$C$7:$C$1492,0),0)),0,OFFSET('HARGA SATUAN'!$I$6,MATCH(RAB!C189,'HARGA SATUAN'!$C$7:$C$1492,0),0))</f>
        <v>4880</v>
      </c>
      <c r="H189" s="361">
        <f t="shared" ca="1" si="60"/>
        <v>0</v>
      </c>
      <c r="I189" s="361">
        <f t="shared" ca="1" si="61"/>
        <v>9760</v>
      </c>
      <c r="J189" s="361">
        <f t="shared" ca="1" si="62"/>
        <v>0</v>
      </c>
      <c r="K189" s="362">
        <f t="shared" ca="1" si="63"/>
        <v>9760</v>
      </c>
    </row>
    <row r="190" spans="2:11">
      <c r="B190" s="503">
        <v>4</v>
      </c>
      <c r="C190" s="504" t="s">
        <v>32</v>
      </c>
      <c r="D190" s="358" t="str">
        <f ca="1">IF(ISERROR(OFFSET('HARGA SATUAN'!$D$6,MATCH(RAB!C190,'HARGA SATUAN'!$C$7:$C$1492,0),0)),"",OFFSET('HARGA SATUAN'!$D$6,MATCH(RAB!C190,'HARGA SATUAN'!$C$7:$C$1492,0),0))</f>
        <v>HDW</v>
      </c>
      <c r="E190" s="359" t="str">
        <f ca="1">IF(B190="+","Unit",IF(ISERROR(OFFSET('HARGA SATUAN'!$E$6,MATCH(RAB!C190,'HARGA SATUAN'!$C$7:$C$1492,0),0)),"",OFFSET('HARGA SATUAN'!$E$6,MATCH(RAB!C190,'HARGA SATUAN'!$C$7:$C$1492,0),0)))</f>
        <v>Mtr</v>
      </c>
      <c r="F190" s="484">
        <f>F186*10</f>
        <v>20</v>
      </c>
      <c r="G190" s="360">
        <f ca="1">IF(ISERROR(OFFSET('HARGA SATUAN'!$I$6,MATCH(RAB!C190,'HARGA SATUAN'!$C$7:$C$1492,0),0)),0,OFFSET('HARGA SATUAN'!$I$6,MATCH(RAB!C190,'HARGA SATUAN'!$C$7:$C$1492,0),0))</f>
        <v>30000</v>
      </c>
      <c r="H190" s="361">
        <f t="shared" ca="1" si="60"/>
        <v>0</v>
      </c>
      <c r="I190" s="361">
        <f t="shared" ca="1" si="61"/>
        <v>600000</v>
      </c>
      <c r="J190" s="361">
        <f t="shared" ca="1" si="62"/>
        <v>0</v>
      </c>
      <c r="K190" s="362">
        <f t="shared" ca="1" si="63"/>
        <v>600000</v>
      </c>
    </row>
    <row r="191" spans="2:11">
      <c r="B191" s="503">
        <v>5</v>
      </c>
      <c r="C191" s="504" t="s">
        <v>33</v>
      </c>
      <c r="D191" s="358" t="str">
        <f ca="1">IF(ISERROR(OFFSET('HARGA SATUAN'!$D$6,MATCH(RAB!C191,'HARGA SATUAN'!$C$7:$C$1492,0),0)),"",OFFSET('HARGA SATUAN'!$D$6,MATCH(RAB!C191,'HARGA SATUAN'!$C$7:$C$1492,0),0))</f>
        <v>HDW</v>
      </c>
      <c r="E191" s="359" t="str">
        <f ca="1">IF(B191="+","Unit",IF(ISERROR(OFFSET('HARGA SATUAN'!$E$6,MATCH(RAB!C191,'HARGA SATUAN'!$C$7:$C$1492,0),0)),"",OFFSET('HARGA SATUAN'!$E$6,MATCH(RAB!C191,'HARGA SATUAN'!$C$7:$C$1492,0),0)))</f>
        <v>Bh</v>
      </c>
      <c r="F191" s="484">
        <f>F186*2</f>
        <v>4</v>
      </c>
      <c r="G191" s="360">
        <f ca="1">IF(ISERROR(OFFSET('HARGA SATUAN'!$I$6,MATCH(RAB!C191,'HARGA SATUAN'!$C$7:$C$1492,0),0)),0,OFFSET('HARGA SATUAN'!$I$6,MATCH(RAB!C191,'HARGA SATUAN'!$C$7:$C$1492,0),0))</f>
        <v>9500</v>
      </c>
      <c r="H191" s="361">
        <f t="shared" ca="1" si="60"/>
        <v>0</v>
      </c>
      <c r="I191" s="361">
        <f t="shared" ca="1" si="61"/>
        <v>38000</v>
      </c>
      <c r="J191" s="361">
        <f t="shared" ca="1" si="62"/>
        <v>0</v>
      </c>
      <c r="K191" s="362">
        <f t="shared" ca="1" si="63"/>
        <v>38000</v>
      </c>
    </row>
    <row r="192" spans="2:11">
      <c r="B192" s="503">
        <v>6</v>
      </c>
      <c r="C192" s="504" t="s">
        <v>34</v>
      </c>
      <c r="D192" s="358" t="str">
        <f ca="1">IF(ISERROR(OFFSET('HARGA SATUAN'!$D$6,MATCH(RAB!C192,'HARGA SATUAN'!$C$7:$C$1492,0),0)),"",OFFSET('HARGA SATUAN'!$D$6,MATCH(RAB!C192,'HARGA SATUAN'!$C$7:$C$1492,0),0))</f>
        <v>HDW</v>
      </c>
      <c r="E192" s="359" t="str">
        <f ca="1">IF(B192="+","Unit",IF(ISERROR(OFFSET('HARGA SATUAN'!$E$6,MATCH(RAB!C192,'HARGA SATUAN'!$C$7:$C$1492,0),0)),"",OFFSET('HARGA SATUAN'!$E$6,MATCH(RAB!C192,'HARGA SATUAN'!$C$7:$C$1492,0),0)))</f>
        <v>Bh</v>
      </c>
      <c r="F192" s="484">
        <f>F186*5.5</f>
        <v>11</v>
      </c>
      <c r="G192" s="360">
        <f ca="1">IF(ISERROR(OFFSET('HARGA SATUAN'!$I$6,MATCH(RAB!C192,'HARGA SATUAN'!$C$7:$C$1492,0),0)),0,OFFSET('HARGA SATUAN'!$I$6,MATCH(RAB!C192,'HARGA SATUAN'!$C$7:$C$1492,0),0))</f>
        <v>6100</v>
      </c>
      <c r="H192" s="361">
        <f t="shared" ca="1" si="60"/>
        <v>0</v>
      </c>
      <c r="I192" s="361">
        <f t="shared" ca="1" si="61"/>
        <v>67100</v>
      </c>
      <c r="J192" s="361">
        <f t="shared" ca="1" si="62"/>
        <v>0</v>
      </c>
      <c r="K192" s="362">
        <f t="shared" ca="1" si="63"/>
        <v>67100</v>
      </c>
    </row>
    <row r="193" spans="2:11">
      <c r="B193" s="503">
        <v>7</v>
      </c>
      <c r="C193" s="504" t="s">
        <v>35</v>
      </c>
      <c r="D193" s="358" t="str">
        <f ca="1">IF(ISERROR(OFFSET('HARGA SATUAN'!$D$6,MATCH(RAB!C193,'HARGA SATUAN'!$C$7:$C$1492,0),0)),"",OFFSET('HARGA SATUAN'!$D$6,MATCH(RAB!C193,'HARGA SATUAN'!$C$7:$C$1492,0),0))</f>
        <v>HDW</v>
      </c>
      <c r="E193" s="359" t="str">
        <f ca="1">IF(B193="+","Unit",IF(ISERROR(OFFSET('HARGA SATUAN'!$E$6,MATCH(RAB!C193,'HARGA SATUAN'!$C$7:$C$1492,0),0)),"",OFFSET('HARGA SATUAN'!$E$6,MATCH(RAB!C193,'HARGA SATUAN'!$C$7:$C$1492,0),0)))</f>
        <v>Bh</v>
      </c>
      <c r="F193" s="484">
        <f>F186*6</f>
        <v>12</v>
      </c>
      <c r="G193" s="360">
        <f ca="1">IF(ISERROR(OFFSET('HARGA SATUAN'!$I$6,MATCH(RAB!C193,'HARGA SATUAN'!$C$7:$C$1492,0),0)),0,OFFSET('HARGA SATUAN'!$I$6,MATCH(RAB!C193,'HARGA SATUAN'!$C$7:$C$1492,0),0))</f>
        <v>2300</v>
      </c>
      <c r="H193" s="361">
        <f t="shared" ca="1" si="60"/>
        <v>0</v>
      </c>
      <c r="I193" s="361">
        <f t="shared" ca="1" si="61"/>
        <v>27600</v>
      </c>
      <c r="J193" s="361">
        <f t="shared" ca="1" si="62"/>
        <v>0</v>
      </c>
      <c r="K193" s="362">
        <f t="shared" ca="1" si="63"/>
        <v>27600</v>
      </c>
    </row>
    <row r="194" spans="2:11">
      <c r="B194" s="503">
        <v>8</v>
      </c>
      <c r="C194" s="504" t="s">
        <v>1630</v>
      </c>
      <c r="D194" s="358" t="str">
        <f ca="1">IF(ISERROR(OFFSET('HARGA SATUAN'!$D$6,MATCH(RAB!C194,'HARGA SATUAN'!$C$7:$C$1492,0),0)),"",OFFSET('HARGA SATUAN'!$D$6,MATCH(RAB!C194,'HARGA SATUAN'!$C$7:$C$1492,0),0))</f>
        <v>HDW</v>
      </c>
      <c r="E194" s="359" t="str">
        <f ca="1">IF(B194="+","Unit",IF(ISERROR(OFFSET('HARGA SATUAN'!$E$6,MATCH(RAB!C194,'HARGA SATUAN'!$C$7:$C$1492,0),0)),"",OFFSET('HARGA SATUAN'!$E$6,MATCH(RAB!C194,'HARGA SATUAN'!$C$7:$C$1492,0),0)))</f>
        <v>Mtr</v>
      </c>
      <c r="F194" s="484">
        <f>F186*4.8</f>
        <v>9.6</v>
      </c>
      <c r="G194" s="360">
        <f ca="1">IF(ISERROR(OFFSET('HARGA SATUAN'!$I$6,MATCH(RAB!C194,'HARGA SATUAN'!$C$7:$C$1492,0),0)),0,OFFSET('HARGA SATUAN'!$I$6,MATCH(RAB!C194,'HARGA SATUAN'!$C$7:$C$1492,0),0))</f>
        <v>23310</v>
      </c>
      <c r="H194" s="361">
        <f t="shared" ca="1" si="60"/>
        <v>0</v>
      </c>
      <c r="I194" s="361">
        <f t="shared" ca="1" si="61"/>
        <v>223776</v>
      </c>
      <c r="J194" s="361">
        <f t="shared" ca="1" si="62"/>
        <v>0</v>
      </c>
      <c r="K194" s="362">
        <f t="shared" ca="1" si="63"/>
        <v>223776</v>
      </c>
    </row>
    <row r="195" spans="2:11">
      <c r="B195" s="503">
        <v>9</v>
      </c>
      <c r="C195" s="504" t="s">
        <v>736</v>
      </c>
      <c r="D195" s="358" t="str">
        <f ca="1">IF(ISERROR(OFFSET('HARGA SATUAN'!$D$6,MATCH(RAB!C195,'HARGA SATUAN'!$C$7:$C$1492,0),0)),"",OFFSET('HARGA SATUAN'!$D$6,MATCH(RAB!C195,'HARGA SATUAN'!$C$7:$C$1492,0),0))</f>
        <v>JASA</v>
      </c>
      <c r="E195" s="359" t="str">
        <f ca="1">IF(B195="+","Unit",IF(ISERROR(OFFSET('HARGA SATUAN'!$E$6,MATCH(RAB!C195,'HARGA SATUAN'!$C$7:$C$1492,0),0)),"",OFFSET('HARGA SATUAN'!$E$6,MATCH(RAB!C195,'HARGA SATUAN'!$C$7:$C$1492,0),0)))</f>
        <v>Unit</v>
      </c>
      <c r="F195" s="484">
        <f>F186*1</f>
        <v>2</v>
      </c>
      <c r="G195" s="360">
        <f ca="1">IF(ISERROR(OFFSET('HARGA SATUAN'!$I$6,MATCH(RAB!C195,'HARGA SATUAN'!$C$7:$C$1492,0),0)),0,OFFSET('HARGA SATUAN'!$I$6,MATCH(RAB!C195,'HARGA SATUAN'!$C$7:$C$1492,0),0))</f>
        <v>65400</v>
      </c>
      <c r="H195" s="361">
        <f t="shared" ca="1" si="60"/>
        <v>0</v>
      </c>
      <c r="I195" s="361">
        <f t="shared" ca="1" si="61"/>
        <v>0</v>
      </c>
      <c r="J195" s="361">
        <f t="shared" ca="1" si="62"/>
        <v>130800</v>
      </c>
      <c r="K195" s="362">
        <f t="shared" ca="1" si="63"/>
        <v>130800</v>
      </c>
    </row>
    <row r="196" spans="2:11">
      <c r="B196" s="503"/>
      <c r="C196" s="504"/>
      <c r="D196" s="358" t="str">
        <f ca="1">IF(ISERROR(OFFSET('HARGA SATUAN'!$D$6,MATCH(RAB!C196,'HARGA SATUAN'!$C$7:$C$1492,0),0)),"",OFFSET('HARGA SATUAN'!$D$6,MATCH(RAB!C196,'HARGA SATUAN'!$C$7:$C$1492,0),0))</f>
        <v/>
      </c>
      <c r="E196" s="359" t="str">
        <f ca="1">IF(B196="+","Unit",IF(ISERROR(OFFSET('HARGA SATUAN'!$E$6,MATCH(RAB!C196,'HARGA SATUAN'!$C$7:$C$1492,0),0)),"",OFFSET('HARGA SATUAN'!$E$6,MATCH(RAB!C196,'HARGA SATUAN'!$C$7:$C$1492,0),0)))</f>
        <v/>
      </c>
      <c r="F196" s="484"/>
      <c r="G196" s="360">
        <f ca="1">IF(ISERROR(OFFSET('HARGA SATUAN'!$I$6,MATCH(RAB!C196,'HARGA SATUAN'!$C$7:$C$1492,0),0)),0,OFFSET('HARGA SATUAN'!$I$6,MATCH(RAB!C196,'HARGA SATUAN'!$C$7:$C$1492,0),0))</f>
        <v>0</v>
      </c>
      <c r="H196" s="361">
        <f t="shared" ref="H196:H223" ca="1" si="68">IF(OR(D196="MDU",D196="MDU-KD"),(IF($O$3="RAB NON MDU","PLN KD",G196*F196)),0)</f>
        <v>0</v>
      </c>
      <c r="I196" s="361">
        <f t="shared" ref="I196:I223" ca="1" si="69">IF(D196="HDW",G196*F196,0)</f>
        <v>0</v>
      </c>
      <c r="J196" s="361">
        <f t="shared" ref="J196:J223" ca="1" si="70">IF(D196="JASA",G196*F196,0)</f>
        <v>0</v>
      </c>
      <c r="K196" s="362">
        <f t="shared" ref="K196:K223" ca="1" si="71">SUM(H196:J196)</f>
        <v>0</v>
      </c>
    </row>
    <row r="197" spans="2:11">
      <c r="B197" s="373" t="s">
        <v>1550</v>
      </c>
      <c r="C197" s="374" t="s">
        <v>1457</v>
      </c>
      <c r="D197" s="358" t="str">
        <f ca="1">IF(ISERROR(OFFSET('HARGA SATUAN'!$D$6,MATCH(RAB!C197,'HARGA SATUAN'!$C$7:$C$1492,0),0)),"",OFFSET('HARGA SATUAN'!$D$6,MATCH(RAB!C197,'HARGA SATUAN'!$C$7:$C$1492,0),0))</f>
        <v/>
      </c>
      <c r="E197" s="359" t="str">
        <f ca="1">IF(B197="+","Unit",IF(ISERROR(OFFSET('HARGA SATUAN'!$E$6,MATCH(RAB!C197,'HARGA SATUAN'!$C$7:$C$1492,0),0)),"",OFFSET('HARGA SATUAN'!$E$6,MATCH(RAB!C197,'HARGA SATUAN'!$C$7:$C$1492,0),0)))</f>
        <v/>
      </c>
      <c r="F197" s="484"/>
      <c r="G197" s="360">
        <f ca="1">IF(ISERROR(OFFSET('HARGA SATUAN'!$I$6,MATCH(RAB!C197,'HARGA SATUAN'!$C$7:$C$1492,0),0)),0,OFFSET('HARGA SATUAN'!$I$6,MATCH(RAB!C197,'HARGA SATUAN'!$C$7:$C$1492,0),0))</f>
        <v>0</v>
      </c>
      <c r="H197" s="361">
        <f t="shared" ca="1" si="68"/>
        <v>0</v>
      </c>
      <c r="I197" s="361">
        <f t="shared" ca="1" si="69"/>
        <v>0</v>
      </c>
      <c r="J197" s="361">
        <f t="shared" ca="1" si="70"/>
        <v>0</v>
      </c>
      <c r="K197" s="362">
        <f t="shared" ca="1" si="71"/>
        <v>0</v>
      </c>
    </row>
    <row r="198" spans="2:11">
      <c r="B198" s="503"/>
      <c r="C198" s="504"/>
      <c r="D198" s="358" t="str">
        <f ca="1">IF(ISERROR(OFFSET('HARGA SATUAN'!$D$6,MATCH(RAB!C198,'HARGA SATUAN'!$C$7:$C$1492,0),0)),"",OFFSET('HARGA SATUAN'!$D$6,MATCH(RAB!C198,'HARGA SATUAN'!$C$7:$C$1492,0),0))</f>
        <v/>
      </c>
      <c r="E198" s="359" t="str">
        <f ca="1">IF(B198="+","Unit",IF(ISERROR(OFFSET('HARGA SATUAN'!$E$6,MATCH(RAB!C198,'HARGA SATUAN'!$C$7:$C$1492,0),0)),"",OFFSET('HARGA SATUAN'!$E$6,MATCH(RAB!C198,'HARGA SATUAN'!$C$7:$C$1492,0),0)))</f>
        <v/>
      </c>
      <c r="F198" s="484"/>
      <c r="G198" s="360">
        <f ca="1">IF(ISERROR(OFFSET('HARGA SATUAN'!$I$6,MATCH(RAB!C198,'HARGA SATUAN'!$C$7:$C$1492,0),0)),0,OFFSET('HARGA SATUAN'!$I$6,MATCH(RAB!C198,'HARGA SATUAN'!$C$7:$C$1492,0),0))</f>
        <v>0</v>
      </c>
      <c r="H198" s="361">
        <f t="shared" ca="1" si="68"/>
        <v>0</v>
      </c>
      <c r="I198" s="361">
        <f t="shared" ca="1" si="69"/>
        <v>0</v>
      </c>
      <c r="J198" s="361">
        <f t="shared" ca="1" si="70"/>
        <v>0</v>
      </c>
      <c r="K198" s="362">
        <f t="shared" ca="1" si="71"/>
        <v>0</v>
      </c>
    </row>
    <row r="199" spans="2:11">
      <c r="B199" s="497" t="s">
        <v>1035</v>
      </c>
      <c r="C199" s="498" t="s">
        <v>1645</v>
      </c>
      <c r="D199" s="358" t="str">
        <f ca="1">IF(ISERROR(OFFSET('HARGA SATUAN'!$D$6,MATCH(RAB!C199,'HARGA SATUAN'!$C$7:$C$1492,0),0)),"",OFFSET('HARGA SATUAN'!$D$6,MATCH(RAB!C199,'HARGA SATUAN'!$C$7:$C$1492,0),0))</f>
        <v/>
      </c>
      <c r="E199" s="359" t="str">
        <f ca="1">IF(B199="+","Unit",IF(ISERROR(OFFSET('HARGA SATUAN'!$E$6,MATCH(RAB!C199,'HARGA SATUAN'!$C$7:$C$1492,0),0)),"",OFFSET('HARGA SATUAN'!$E$6,MATCH(RAB!C199,'HARGA SATUAN'!$C$7:$C$1492,0),0)))</f>
        <v>Unit</v>
      </c>
      <c r="F199" s="525">
        <v>1</v>
      </c>
      <c r="G199" s="360">
        <f ca="1">IF(ISERROR(OFFSET('HARGA SATUAN'!$I$6,MATCH(RAB!C199,'HARGA SATUAN'!$C$7:$C$1492,0),0)),0,OFFSET('HARGA SATUAN'!$I$6,MATCH(RAB!C199,'HARGA SATUAN'!$C$7:$C$1492,0),0))</f>
        <v>0</v>
      </c>
      <c r="H199" s="361">
        <f t="shared" ca="1" si="68"/>
        <v>0</v>
      </c>
      <c r="I199" s="361">
        <f t="shared" ca="1" si="69"/>
        <v>0</v>
      </c>
      <c r="J199" s="361">
        <f t="shared" ca="1" si="70"/>
        <v>0</v>
      </c>
      <c r="K199" s="362">
        <f t="shared" ca="1" si="71"/>
        <v>0</v>
      </c>
    </row>
    <row r="200" spans="2:11" ht="30">
      <c r="B200" s="521">
        <v>1</v>
      </c>
      <c r="C200" s="109" t="s">
        <v>1196</v>
      </c>
      <c r="D200" s="358" t="str">
        <f ca="1">IF(ISERROR(OFFSET('HARGA SATUAN'!$D$6,MATCH(RAB!C200,'HARGA SATUAN'!$C$7:$C$1492,0),0)),"",OFFSET('HARGA SATUAN'!$D$6,MATCH(RAB!C200,'HARGA SATUAN'!$C$7:$C$1492,0),0))</f>
        <v>MDU-KD</v>
      </c>
      <c r="E200" s="359" t="str">
        <f ca="1">IF(B200="+","Unit",IF(ISERROR(OFFSET('HARGA SATUAN'!$E$6,MATCH(RAB!C200,'HARGA SATUAN'!$C$7:$C$1492,0),0)),"",OFFSET('HARGA SATUAN'!$E$6,MATCH(RAB!C200,'HARGA SATUAN'!$C$7:$C$1492,0),0)))</f>
        <v>Bh</v>
      </c>
      <c r="F200" s="525">
        <f>F199*1</f>
        <v>1</v>
      </c>
      <c r="G200" s="360">
        <f ca="1">IF(ISERROR(OFFSET('HARGA SATUAN'!$I$6,MATCH(RAB!C200,'HARGA SATUAN'!$C$7:$C$1492,0),0)),0,OFFSET('HARGA SATUAN'!$I$6,MATCH(RAB!C200,'HARGA SATUAN'!$C$7:$C$1492,0),0))</f>
        <v>1504200</v>
      </c>
      <c r="H200" s="361">
        <f t="shared" ca="1" si="68"/>
        <v>1504200</v>
      </c>
      <c r="I200" s="361">
        <f t="shared" ca="1" si="69"/>
        <v>0</v>
      </c>
      <c r="J200" s="361">
        <f t="shared" ca="1" si="70"/>
        <v>0</v>
      </c>
      <c r="K200" s="362">
        <f t="shared" ca="1" si="71"/>
        <v>1504200</v>
      </c>
    </row>
    <row r="201" spans="2:11">
      <c r="B201" s="521">
        <v>2</v>
      </c>
      <c r="C201" s="733" t="s">
        <v>518</v>
      </c>
      <c r="D201" s="358" t="str">
        <f ca="1">IF(ISERROR(OFFSET('HARGA SATUAN'!$D$6,MATCH(RAB!C201,'HARGA SATUAN'!$C$7:$C$1492,0),0)),"",OFFSET('HARGA SATUAN'!$D$6,MATCH(RAB!C201,'HARGA SATUAN'!$C$7:$C$1492,0),0))</f>
        <v>MDU-KD</v>
      </c>
      <c r="E201" s="359" t="str">
        <f ca="1">IF(B201="+","Unit",IF(ISERROR(OFFSET('HARGA SATUAN'!$E$6,MATCH(RAB!C201,'HARGA SATUAN'!$C$7:$C$1492,0),0)),"",OFFSET('HARGA SATUAN'!$E$6,MATCH(RAB!C201,'HARGA SATUAN'!$C$7:$C$1492,0),0)))</f>
        <v>Unit</v>
      </c>
      <c r="F201" s="525">
        <f>F199*1</f>
        <v>1</v>
      </c>
      <c r="G201" s="360">
        <f ca="1">IF(ISERROR(OFFSET('HARGA SATUAN'!$I$6,MATCH(RAB!C201,'HARGA SATUAN'!$C$7:$C$1492,0),0)),0,OFFSET('HARGA SATUAN'!$I$6,MATCH(RAB!C201,'HARGA SATUAN'!$C$7:$C$1492,0),0))</f>
        <v>14217900</v>
      </c>
      <c r="H201" s="361">
        <f t="shared" ca="1" si="68"/>
        <v>14217900</v>
      </c>
      <c r="I201" s="361">
        <f t="shared" ca="1" si="69"/>
        <v>0</v>
      </c>
      <c r="J201" s="361">
        <f t="shared" ca="1" si="70"/>
        <v>0</v>
      </c>
      <c r="K201" s="362">
        <f t="shared" ca="1" si="71"/>
        <v>14217900</v>
      </c>
    </row>
    <row r="202" spans="2:11">
      <c r="B202" s="521">
        <v>3</v>
      </c>
      <c r="C202" s="527" t="s">
        <v>1142</v>
      </c>
      <c r="D202" s="358" t="str">
        <f ca="1">IF(ISERROR(OFFSET('HARGA SATUAN'!$D$6,MATCH(RAB!C202,'HARGA SATUAN'!$C$7:$C$1492,0),0)),"",OFFSET('HARGA SATUAN'!$D$6,MATCH(RAB!C202,'HARGA SATUAN'!$C$7:$C$1492,0),0))</f>
        <v>HDW</v>
      </c>
      <c r="E202" s="359" t="str">
        <f ca="1">IF(B202="+","Unit",IF(ISERROR(OFFSET('HARGA SATUAN'!$E$6,MATCH(RAB!C202,'HARGA SATUAN'!$C$7:$C$1492,0),0)),"",OFFSET('HARGA SATUAN'!$E$6,MATCH(RAB!C202,'HARGA SATUAN'!$C$7:$C$1492,0),0)))</f>
        <v>Unit</v>
      </c>
      <c r="F202" s="525">
        <f>F199*1</f>
        <v>1</v>
      </c>
      <c r="G202" s="360">
        <f ca="1">IF(ISERROR(OFFSET('HARGA SATUAN'!$I$6,MATCH(RAB!C202,'HARGA SATUAN'!$C$7:$C$1492,0),0)),0,OFFSET('HARGA SATUAN'!$I$6,MATCH(RAB!C202,'HARGA SATUAN'!$C$7:$C$1492,0),0))</f>
        <v>1113900</v>
      </c>
      <c r="H202" s="361">
        <f t="shared" ca="1" si="68"/>
        <v>0</v>
      </c>
      <c r="I202" s="361">
        <f t="shared" ca="1" si="69"/>
        <v>1113900</v>
      </c>
      <c r="J202" s="361">
        <f t="shared" ca="1" si="70"/>
        <v>0</v>
      </c>
      <c r="K202" s="362">
        <f t="shared" ca="1" si="71"/>
        <v>1113900</v>
      </c>
    </row>
    <row r="203" spans="2:11">
      <c r="B203" s="521">
        <v>4</v>
      </c>
      <c r="C203" s="527" t="s">
        <v>574</v>
      </c>
      <c r="D203" s="358" t="str">
        <f ca="1">IF(ISERROR(OFFSET('HARGA SATUAN'!$D$6,MATCH(RAB!C203,'HARGA SATUAN'!$C$7:$C$1492,0),0)),"",OFFSET('HARGA SATUAN'!$D$6,MATCH(RAB!C203,'HARGA SATUAN'!$C$7:$C$1492,0),0))</f>
        <v>MDU-KD</v>
      </c>
      <c r="E203" s="359" t="str">
        <f ca="1">IF(B203="+","Unit",IF(ISERROR(OFFSET('HARGA SATUAN'!$E$6,MATCH(RAB!C203,'HARGA SATUAN'!$C$7:$C$1492,0),0)),"",OFFSET('HARGA SATUAN'!$E$6,MATCH(RAB!C203,'HARGA SATUAN'!$C$7:$C$1492,0),0)))</f>
        <v>Mtr</v>
      </c>
      <c r="F203" s="525">
        <f>F199*35</f>
        <v>35</v>
      </c>
      <c r="G203" s="360">
        <f ca="1">IF(ISERROR(OFFSET('HARGA SATUAN'!$I$6,MATCH(RAB!C203,'HARGA SATUAN'!$C$7:$C$1492,0),0)),0,OFFSET('HARGA SATUAN'!$I$6,MATCH(RAB!C203,'HARGA SATUAN'!$C$7:$C$1492,0),0))</f>
        <v>421400</v>
      </c>
      <c r="H203" s="361">
        <f t="shared" ca="1" si="68"/>
        <v>14749000</v>
      </c>
      <c r="I203" s="361">
        <f t="shared" ca="1" si="69"/>
        <v>0</v>
      </c>
      <c r="J203" s="361">
        <f t="shared" ca="1" si="70"/>
        <v>0</v>
      </c>
      <c r="K203" s="362">
        <f t="shared" ca="1" si="71"/>
        <v>14749000</v>
      </c>
    </row>
    <row r="204" spans="2:11">
      <c r="B204" s="521">
        <v>5</v>
      </c>
      <c r="C204" s="527" t="s">
        <v>799</v>
      </c>
      <c r="D204" s="358" t="str">
        <f ca="1">IF(ISERROR(OFFSET('HARGA SATUAN'!$D$6,MATCH(RAB!C204,'HARGA SATUAN'!$C$7:$C$1492,0),0)),"",OFFSET('HARGA SATUAN'!$D$6,MATCH(RAB!C204,'HARGA SATUAN'!$C$7:$C$1492,0),0))</f>
        <v>JASA</v>
      </c>
      <c r="E204" s="359" t="str">
        <f ca="1">IF(B204="+","Unit",IF(ISERROR(OFFSET('HARGA SATUAN'!$E$6,MATCH(RAB!C204,'HARGA SATUAN'!$C$7:$C$1492,0),0)),"",OFFSET('HARGA SATUAN'!$E$6,MATCH(RAB!C204,'HARGA SATUAN'!$C$7:$C$1492,0),0)))</f>
        <v>Unit</v>
      </c>
      <c r="F204" s="525">
        <f>F199*1</f>
        <v>1</v>
      </c>
      <c r="G204" s="360">
        <f ca="1">IF(ISERROR(OFFSET('HARGA SATUAN'!$I$6,MATCH(RAB!C204,'HARGA SATUAN'!$C$7:$C$1492,0),0)),0,OFFSET('HARGA SATUAN'!$I$6,MATCH(RAB!C204,'HARGA SATUAN'!$C$7:$C$1492,0),0))</f>
        <v>106400</v>
      </c>
      <c r="H204" s="361">
        <f t="shared" ca="1" si="68"/>
        <v>0</v>
      </c>
      <c r="I204" s="361">
        <f t="shared" ca="1" si="69"/>
        <v>0</v>
      </c>
      <c r="J204" s="361">
        <f t="shared" ca="1" si="70"/>
        <v>106400</v>
      </c>
      <c r="K204" s="362">
        <f t="shared" ca="1" si="71"/>
        <v>106400</v>
      </c>
    </row>
    <row r="205" spans="2:11">
      <c r="B205" s="503"/>
      <c r="C205" s="504"/>
      <c r="D205" s="358" t="str">
        <f ca="1">IF(ISERROR(OFFSET('HARGA SATUAN'!$D$6,MATCH(RAB!C205,'HARGA SATUAN'!$C$7:$C$1492,0),0)),"",OFFSET('HARGA SATUAN'!$D$6,MATCH(RAB!C205,'HARGA SATUAN'!$C$7:$C$1492,0),0))</f>
        <v/>
      </c>
      <c r="E205" s="359" t="str">
        <f ca="1">IF(B205="+","Unit",IF(ISERROR(OFFSET('HARGA SATUAN'!$E$6,MATCH(RAB!C205,'HARGA SATUAN'!$C$7:$C$1492,0),0)),"",OFFSET('HARGA SATUAN'!$E$6,MATCH(RAB!C205,'HARGA SATUAN'!$C$7:$C$1492,0),0)))</f>
        <v/>
      </c>
      <c r="F205" s="484"/>
      <c r="G205" s="360">
        <f ca="1">IF(ISERROR(OFFSET('HARGA SATUAN'!$I$6,MATCH(RAB!C205,'HARGA SATUAN'!$C$7:$C$1492,0),0)),0,OFFSET('HARGA SATUAN'!$I$6,MATCH(RAB!C205,'HARGA SATUAN'!$C$7:$C$1492,0),0))</f>
        <v>0</v>
      </c>
      <c r="H205" s="361">
        <f t="shared" ca="1" si="68"/>
        <v>0</v>
      </c>
      <c r="I205" s="361">
        <f t="shared" ca="1" si="69"/>
        <v>0</v>
      </c>
      <c r="J205" s="361">
        <f t="shared" ca="1" si="70"/>
        <v>0</v>
      </c>
      <c r="K205" s="362">
        <f t="shared" ca="1" si="71"/>
        <v>0</v>
      </c>
    </row>
    <row r="206" spans="2:11">
      <c r="B206" s="503" t="s">
        <v>1035</v>
      </c>
      <c r="C206" s="511" t="s">
        <v>1631</v>
      </c>
      <c r="D206" s="358" t="str">
        <f ca="1">IF(ISERROR(OFFSET('HARGA SATUAN'!$D$6,MATCH(RAB!C206,'HARGA SATUAN'!$C$7:$C$1492,0),0)),"",OFFSET('HARGA SATUAN'!$D$6,MATCH(RAB!C206,'HARGA SATUAN'!$C$7:$C$1492,0),0))</f>
        <v/>
      </c>
      <c r="E206" s="359" t="str">
        <f ca="1">IF(B206="+","Unit",IF(ISERROR(OFFSET('HARGA SATUAN'!$E$6,MATCH(RAB!C206,'HARGA SATUAN'!$C$7:$C$1492,0),0)),"",OFFSET('HARGA SATUAN'!$E$6,MATCH(RAB!C206,'HARGA SATUAN'!$C$7:$C$1492,0),0)))</f>
        <v>Unit</v>
      </c>
      <c r="F206" s="502">
        <v>1</v>
      </c>
      <c r="G206" s="360">
        <f ca="1">IF(ISERROR(OFFSET('HARGA SATUAN'!$I$6,MATCH(RAB!C206,'HARGA SATUAN'!$C$7:$C$1492,0),0)),0,OFFSET('HARGA SATUAN'!$I$6,MATCH(RAB!C206,'HARGA SATUAN'!$C$7:$C$1492,0),0))</f>
        <v>0</v>
      </c>
      <c r="H206" s="361">
        <f t="shared" ca="1" si="68"/>
        <v>0</v>
      </c>
      <c r="I206" s="361">
        <f t="shared" ca="1" si="69"/>
        <v>0</v>
      </c>
      <c r="J206" s="361">
        <f t="shared" ca="1" si="70"/>
        <v>0</v>
      </c>
      <c r="K206" s="362">
        <f t="shared" ca="1" si="71"/>
        <v>0</v>
      </c>
    </row>
    <row r="207" spans="2:11">
      <c r="B207" s="503">
        <v>1</v>
      </c>
      <c r="C207" s="511" t="s">
        <v>163</v>
      </c>
      <c r="D207" s="358" t="str">
        <f ca="1">IF(ISERROR(OFFSET('HARGA SATUAN'!$D$6,MATCH(RAB!C207,'HARGA SATUAN'!$C$7:$C$1492,0),0)),"",OFFSET('HARGA SATUAN'!$D$6,MATCH(RAB!C207,'HARGA SATUAN'!$C$7:$C$1492,0),0))</f>
        <v>HDW</v>
      </c>
      <c r="E207" s="359" t="str">
        <f ca="1">IF(B207="+","Unit",IF(ISERROR(OFFSET('HARGA SATUAN'!$E$6,MATCH(RAB!C207,'HARGA SATUAN'!$C$7:$C$1492,0),0)),"",OFFSET('HARGA SATUAN'!$E$6,MATCH(RAB!C207,'HARGA SATUAN'!$C$7:$C$1492,0),0)))</f>
        <v>Bh</v>
      </c>
      <c r="F207" s="502">
        <f>F206*4</f>
        <v>4</v>
      </c>
      <c r="G207" s="360">
        <f ca="1">IF(ISERROR(OFFSET('HARGA SATUAN'!$I$6,MATCH(RAB!C207,'HARGA SATUAN'!$C$7:$C$1492,0),0)),0,OFFSET('HARGA SATUAN'!$I$6,MATCH(RAB!C207,'HARGA SATUAN'!$C$7:$C$1492,0),0))</f>
        <v>7938</v>
      </c>
      <c r="H207" s="361">
        <f t="shared" ca="1" si="68"/>
        <v>0</v>
      </c>
      <c r="I207" s="361">
        <f t="shared" ca="1" si="69"/>
        <v>31752</v>
      </c>
      <c r="J207" s="361">
        <f t="shared" ca="1" si="70"/>
        <v>0</v>
      </c>
      <c r="K207" s="362">
        <f t="shared" ca="1" si="71"/>
        <v>31752</v>
      </c>
    </row>
    <row r="208" spans="2:11">
      <c r="B208" s="503">
        <v>2</v>
      </c>
      <c r="C208" s="511" t="s">
        <v>593</v>
      </c>
      <c r="D208" s="358" t="str">
        <f ca="1">IF(ISERROR(OFFSET('HARGA SATUAN'!$D$6,MATCH(RAB!C208,'HARGA SATUAN'!$C$7:$C$1492,0),0)),"",OFFSET('HARGA SATUAN'!$D$6,MATCH(RAB!C208,'HARGA SATUAN'!$C$7:$C$1492,0),0))</f>
        <v>HDW</v>
      </c>
      <c r="E208" s="359" t="str">
        <f ca="1">IF(B208="+","Unit",IF(ISERROR(OFFSET('HARGA SATUAN'!$E$6,MATCH(RAB!C208,'HARGA SATUAN'!$C$7:$C$1492,0),0)),"",OFFSET('HARGA SATUAN'!$E$6,MATCH(RAB!C208,'HARGA SATUAN'!$C$7:$C$1492,0),0)))</f>
        <v>Bh</v>
      </c>
      <c r="F208" s="502">
        <f>F206*1</f>
        <v>1</v>
      </c>
      <c r="G208" s="360">
        <f ca="1">IF(ISERROR(OFFSET('HARGA SATUAN'!$I$6,MATCH(RAB!C208,'HARGA SATUAN'!$C$7:$C$1492,0),0)),0,OFFSET('HARGA SATUAN'!$I$6,MATCH(RAB!C208,'HARGA SATUAN'!$C$7:$C$1492,0),0))</f>
        <v>380500</v>
      </c>
      <c r="H208" s="361">
        <f t="shared" ca="1" si="68"/>
        <v>0</v>
      </c>
      <c r="I208" s="361">
        <f t="shared" ca="1" si="69"/>
        <v>380500</v>
      </c>
      <c r="J208" s="361">
        <f t="shared" ca="1" si="70"/>
        <v>0</v>
      </c>
      <c r="K208" s="362">
        <f t="shared" ca="1" si="71"/>
        <v>380500</v>
      </c>
    </row>
    <row r="209" spans="2:11">
      <c r="B209" s="503">
        <v>3</v>
      </c>
      <c r="C209" s="511" t="s">
        <v>248</v>
      </c>
      <c r="D209" s="358" t="str">
        <f ca="1">IF(ISERROR(OFFSET('HARGA SATUAN'!$D$6,MATCH(RAB!C209,'HARGA SATUAN'!$C$7:$C$1492,0),0)),"",OFFSET('HARGA SATUAN'!$D$6,MATCH(RAB!C209,'HARGA SATUAN'!$C$7:$C$1492,0),0))</f>
        <v>HDW</v>
      </c>
      <c r="E209" s="359" t="str">
        <f ca="1">IF(B209="+","Unit",IF(ISERROR(OFFSET('HARGA SATUAN'!$E$6,MATCH(RAB!C209,'HARGA SATUAN'!$C$7:$C$1492,0),0)),"",OFFSET('HARGA SATUAN'!$E$6,MATCH(RAB!C209,'HARGA SATUAN'!$C$7:$C$1492,0),0)))</f>
        <v>Bh</v>
      </c>
      <c r="F209" s="502">
        <f>F206*2</f>
        <v>2</v>
      </c>
      <c r="G209" s="360">
        <f ca="1">IF(ISERROR(OFFSET('HARGA SATUAN'!$I$6,MATCH(RAB!C209,'HARGA SATUAN'!$C$7:$C$1492,0),0)),0,OFFSET('HARGA SATUAN'!$I$6,MATCH(RAB!C209,'HARGA SATUAN'!$C$7:$C$1492,0),0))</f>
        <v>60300</v>
      </c>
      <c r="H209" s="361">
        <f t="shared" ca="1" si="68"/>
        <v>0</v>
      </c>
      <c r="I209" s="361">
        <f t="shared" ca="1" si="69"/>
        <v>120600</v>
      </c>
      <c r="J209" s="361">
        <f t="shared" ca="1" si="70"/>
        <v>0</v>
      </c>
      <c r="K209" s="362">
        <f t="shared" ca="1" si="71"/>
        <v>120600</v>
      </c>
    </row>
    <row r="210" spans="2:11">
      <c r="B210" s="503">
        <v>4</v>
      </c>
      <c r="C210" s="504" t="s">
        <v>595</v>
      </c>
      <c r="D210" s="358" t="str">
        <f ca="1">IF(ISERROR(OFFSET('HARGA SATUAN'!$D$6,MATCH(RAB!C210,'HARGA SATUAN'!$C$7:$C$1492,0),0)),"",OFFSET('HARGA SATUAN'!$D$6,MATCH(RAB!C210,'HARGA SATUAN'!$C$7:$C$1492,0),0))</f>
        <v>HDW</v>
      </c>
      <c r="E210" s="359" t="str">
        <f ca="1">IF(B210="+","Unit",IF(ISERROR(OFFSET('HARGA SATUAN'!$E$6,MATCH(RAB!C210,'HARGA SATUAN'!$C$7:$C$1492,0),0)),"",OFFSET('HARGA SATUAN'!$E$6,MATCH(RAB!C210,'HARGA SATUAN'!$C$7:$C$1492,0),0)))</f>
        <v>Bh</v>
      </c>
      <c r="F210" s="484">
        <f>F206*1</f>
        <v>1</v>
      </c>
      <c r="G210" s="360">
        <f ca="1">IF(ISERROR(OFFSET('HARGA SATUAN'!$I$6,MATCH(RAB!C210,'HARGA SATUAN'!$C$7:$C$1492,0),0)),0,OFFSET('HARGA SATUAN'!$I$6,MATCH(RAB!C210,'HARGA SATUAN'!$C$7:$C$1492,0),0))</f>
        <v>78500</v>
      </c>
      <c r="H210" s="361">
        <f t="shared" ca="1" si="68"/>
        <v>0</v>
      </c>
      <c r="I210" s="361">
        <f t="shared" ca="1" si="69"/>
        <v>78500</v>
      </c>
      <c r="J210" s="361">
        <f t="shared" ca="1" si="70"/>
        <v>0</v>
      </c>
      <c r="K210" s="362">
        <f t="shared" ca="1" si="71"/>
        <v>78500</v>
      </c>
    </row>
    <row r="211" spans="2:11">
      <c r="B211" s="503">
        <v>5</v>
      </c>
      <c r="C211" s="504" t="s">
        <v>229</v>
      </c>
      <c r="D211" s="358" t="str">
        <f ca="1">IF(ISERROR(OFFSET('HARGA SATUAN'!$D$6,MATCH(RAB!C211,'HARGA SATUAN'!$C$7:$C$1492,0),0)),"",OFFSET('HARGA SATUAN'!$D$6,MATCH(RAB!C211,'HARGA SATUAN'!$C$7:$C$1492,0),0))</f>
        <v>HDW</v>
      </c>
      <c r="E211" s="359" t="str">
        <f ca="1">IF(B211="+","Unit",IF(ISERROR(OFFSET('HARGA SATUAN'!$E$6,MATCH(RAB!C211,'HARGA SATUAN'!$C$7:$C$1492,0),0)),"",OFFSET('HARGA SATUAN'!$E$6,MATCH(RAB!C211,'HARGA SATUAN'!$C$7:$C$1492,0),0)))</f>
        <v>Bh</v>
      </c>
      <c r="F211" s="484">
        <f>F206*1</f>
        <v>1</v>
      </c>
      <c r="G211" s="360">
        <f ca="1">IF(ISERROR(OFFSET('HARGA SATUAN'!$I$6,MATCH(RAB!C211,'HARGA SATUAN'!$C$7:$C$1492,0),0)),0,OFFSET('HARGA SATUAN'!$I$6,MATCH(RAB!C211,'HARGA SATUAN'!$C$7:$C$1492,0),0))</f>
        <v>4212</v>
      </c>
      <c r="H211" s="361">
        <f t="shared" ca="1" si="68"/>
        <v>0</v>
      </c>
      <c r="I211" s="361">
        <f t="shared" ca="1" si="69"/>
        <v>4212</v>
      </c>
      <c r="J211" s="361">
        <f t="shared" ca="1" si="70"/>
        <v>0</v>
      </c>
      <c r="K211" s="362">
        <f t="shared" ca="1" si="71"/>
        <v>4212</v>
      </c>
    </row>
    <row r="212" spans="2:11">
      <c r="B212" s="503">
        <v>6</v>
      </c>
      <c r="C212" s="504" t="s">
        <v>266</v>
      </c>
      <c r="D212" s="358" t="str">
        <f ca="1">IF(ISERROR(OFFSET('HARGA SATUAN'!$D$6,MATCH(RAB!C212,'HARGA SATUAN'!$C$7:$C$1492,0),0)),"",OFFSET('HARGA SATUAN'!$D$6,MATCH(RAB!C212,'HARGA SATUAN'!$C$7:$C$1492,0),0))</f>
        <v>HDW</v>
      </c>
      <c r="E212" s="359" t="str">
        <f ca="1">IF(B212="+","Unit",IF(ISERROR(OFFSET('HARGA SATUAN'!$E$6,MATCH(RAB!C212,'HARGA SATUAN'!$C$7:$C$1492,0),0)),"",OFFSET('HARGA SATUAN'!$E$6,MATCH(RAB!C212,'HARGA SATUAN'!$C$7:$C$1492,0),0)))</f>
        <v>Mtr</v>
      </c>
      <c r="F212" s="484">
        <f>F206*1</f>
        <v>1</v>
      </c>
      <c r="G212" s="360">
        <f ca="1">IF(ISERROR(OFFSET('HARGA SATUAN'!$I$6,MATCH(RAB!C212,'HARGA SATUAN'!$C$7:$C$1492,0),0)),0,OFFSET('HARGA SATUAN'!$I$6,MATCH(RAB!C212,'HARGA SATUAN'!$C$7:$C$1492,0),0))</f>
        <v>23310</v>
      </c>
      <c r="H212" s="361">
        <f t="shared" ca="1" si="68"/>
        <v>0</v>
      </c>
      <c r="I212" s="361">
        <f t="shared" ca="1" si="69"/>
        <v>23310</v>
      </c>
      <c r="J212" s="361">
        <f t="shared" ca="1" si="70"/>
        <v>0</v>
      </c>
      <c r="K212" s="362">
        <f t="shared" ca="1" si="71"/>
        <v>23310</v>
      </c>
    </row>
    <row r="213" spans="2:11">
      <c r="B213" s="503">
        <v>7</v>
      </c>
      <c r="C213" s="504" t="s">
        <v>35</v>
      </c>
      <c r="D213" s="358" t="str">
        <f ca="1">IF(ISERROR(OFFSET('HARGA SATUAN'!$D$6,MATCH(RAB!C213,'HARGA SATUAN'!$C$7:$C$1492,0),0)),"",OFFSET('HARGA SATUAN'!$D$6,MATCH(RAB!C213,'HARGA SATUAN'!$C$7:$C$1492,0),0))</f>
        <v>HDW</v>
      </c>
      <c r="E213" s="359" t="str">
        <f ca="1">IF(B213="+","Unit",IF(ISERROR(OFFSET('HARGA SATUAN'!$E$6,MATCH(RAB!C213,'HARGA SATUAN'!$C$7:$C$1492,0),0)),"",OFFSET('HARGA SATUAN'!$E$6,MATCH(RAB!C213,'HARGA SATUAN'!$C$7:$C$1492,0),0)))</f>
        <v>Bh</v>
      </c>
      <c r="F213" s="484">
        <f>F206*1</f>
        <v>1</v>
      </c>
      <c r="G213" s="360">
        <f ca="1">IF(ISERROR(OFFSET('HARGA SATUAN'!$I$6,MATCH(RAB!C213,'HARGA SATUAN'!$C$7:$C$1492,0),0)),0,OFFSET('HARGA SATUAN'!$I$6,MATCH(RAB!C213,'HARGA SATUAN'!$C$7:$C$1492,0),0))</f>
        <v>2300</v>
      </c>
      <c r="H213" s="361">
        <f t="shared" ca="1" si="68"/>
        <v>0</v>
      </c>
      <c r="I213" s="361">
        <f t="shared" ca="1" si="69"/>
        <v>2300</v>
      </c>
      <c r="J213" s="361">
        <f t="shared" ca="1" si="70"/>
        <v>0</v>
      </c>
      <c r="K213" s="362">
        <f t="shared" ca="1" si="71"/>
        <v>2300</v>
      </c>
    </row>
    <row r="214" spans="2:11">
      <c r="B214" s="503"/>
      <c r="C214" s="504"/>
      <c r="D214" s="358"/>
      <c r="E214" s="359"/>
      <c r="F214" s="484"/>
      <c r="G214" s="360"/>
      <c r="H214" s="361"/>
      <c r="I214" s="361"/>
      <c r="J214" s="361"/>
      <c r="K214" s="362"/>
    </row>
    <row r="215" spans="2:11">
      <c r="B215" s="503" t="s">
        <v>1035</v>
      </c>
      <c r="C215" s="504" t="s">
        <v>1632</v>
      </c>
      <c r="D215" s="358" t="str">
        <f ca="1">IF(ISERROR(OFFSET('HARGA SATUAN'!$D$6,MATCH(RAB!C215,'HARGA SATUAN'!$C$7:$C$1492,0),0)),"",OFFSET('HARGA SATUAN'!$D$6,MATCH(RAB!C215,'HARGA SATUAN'!$C$7:$C$1492,0),0))</f>
        <v/>
      </c>
      <c r="E215" s="359" t="str">
        <f ca="1">IF(B215="+","Unit",IF(ISERROR(OFFSET('HARGA SATUAN'!$E$6,MATCH(RAB!C215,'HARGA SATUAN'!$C$7:$C$1492,0),0)),"",OFFSET('HARGA SATUAN'!$E$6,MATCH(RAB!C215,'HARGA SATUAN'!$C$7:$C$1492,0),0)))</f>
        <v>Unit</v>
      </c>
      <c r="F215" s="484">
        <v>1</v>
      </c>
      <c r="G215" s="360">
        <f ca="1">IF(ISERROR(OFFSET('HARGA SATUAN'!$I$6,MATCH(RAB!C215,'HARGA SATUAN'!$C$7:$C$1492,0),0)),0,OFFSET('HARGA SATUAN'!$I$6,MATCH(RAB!C215,'HARGA SATUAN'!$C$7:$C$1492,0),0))</f>
        <v>0</v>
      </c>
      <c r="H215" s="361">
        <f t="shared" ca="1" si="68"/>
        <v>0</v>
      </c>
      <c r="I215" s="361">
        <f t="shared" ca="1" si="69"/>
        <v>0</v>
      </c>
      <c r="J215" s="361">
        <f t="shared" ca="1" si="70"/>
        <v>0</v>
      </c>
      <c r="K215" s="362">
        <f t="shared" ca="1" si="71"/>
        <v>0</v>
      </c>
    </row>
    <row r="216" spans="2:11">
      <c r="B216" s="503">
        <v>1</v>
      </c>
      <c r="C216" s="504" t="s">
        <v>29</v>
      </c>
      <c r="D216" s="358" t="str">
        <f ca="1">IF(ISERROR(OFFSET('HARGA SATUAN'!$D$6,MATCH(RAB!C216,'HARGA SATUAN'!$C$7:$C$1492,0),0)),"",OFFSET('HARGA SATUAN'!$D$6,MATCH(RAB!C216,'HARGA SATUAN'!$C$7:$C$1492,0),0))</f>
        <v>HDW</v>
      </c>
      <c r="E216" s="359" t="str">
        <f ca="1">IF(B216="+","Unit",IF(ISERROR(OFFSET('HARGA SATUAN'!$E$6,MATCH(RAB!C216,'HARGA SATUAN'!$C$7:$C$1492,0),0)),"",OFFSET('HARGA SATUAN'!$E$6,MATCH(RAB!C216,'HARGA SATUAN'!$C$7:$C$1492,0),0)))</f>
        <v>Bh</v>
      </c>
      <c r="F216" s="484">
        <f>F215*1</f>
        <v>1</v>
      </c>
      <c r="G216" s="360">
        <f ca="1">IF(ISERROR(OFFSET('HARGA SATUAN'!$I$6,MATCH(RAB!C216,'HARGA SATUAN'!$C$7:$C$1492,0),0)),0,OFFSET('HARGA SATUAN'!$I$6,MATCH(RAB!C216,'HARGA SATUAN'!$C$7:$C$1492,0),0))</f>
        <v>185200</v>
      </c>
      <c r="H216" s="361">
        <f t="shared" ca="1" si="68"/>
        <v>0</v>
      </c>
      <c r="I216" s="361">
        <f t="shared" ca="1" si="69"/>
        <v>185200</v>
      </c>
      <c r="J216" s="361">
        <f t="shared" ca="1" si="70"/>
        <v>0</v>
      </c>
      <c r="K216" s="362">
        <f t="shared" ca="1" si="71"/>
        <v>185200</v>
      </c>
    </row>
    <row r="217" spans="2:11">
      <c r="B217" s="503">
        <v>2</v>
      </c>
      <c r="C217" s="504" t="s">
        <v>30</v>
      </c>
      <c r="D217" s="358" t="str">
        <f ca="1">IF(ISERROR(OFFSET('HARGA SATUAN'!$D$6,MATCH(RAB!C217,'HARGA SATUAN'!$C$7:$C$1492,0),0)),"",OFFSET('HARGA SATUAN'!$D$6,MATCH(RAB!C217,'HARGA SATUAN'!$C$7:$C$1492,0),0))</f>
        <v>HDW</v>
      </c>
      <c r="E217" s="359" t="str">
        <f ca="1">IF(B217="+","Unit",IF(ISERROR(OFFSET('HARGA SATUAN'!$E$6,MATCH(RAB!C217,'HARGA SATUAN'!$C$7:$C$1492,0),0)),"",OFFSET('HARGA SATUAN'!$E$6,MATCH(RAB!C217,'HARGA SATUAN'!$C$7:$C$1492,0),0)))</f>
        <v>Bh</v>
      </c>
      <c r="F217" s="484">
        <f>F215*1</f>
        <v>1</v>
      </c>
      <c r="G217" s="360">
        <f ca="1">IF(ISERROR(OFFSET('HARGA SATUAN'!$I$6,MATCH(RAB!C217,'HARGA SATUAN'!$C$7:$C$1492,0),0)),0,OFFSET('HARGA SATUAN'!$I$6,MATCH(RAB!C217,'HARGA SATUAN'!$C$7:$C$1492,0),0))</f>
        <v>47459</v>
      </c>
      <c r="H217" s="361">
        <f t="shared" ca="1" si="68"/>
        <v>0</v>
      </c>
      <c r="I217" s="361">
        <f t="shared" ca="1" si="69"/>
        <v>47459</v>
      </c>
      <c r="J217" s="361">
        <f t="shared" ca="1" si="70"/>
        <v>0</v>
      </c>
      <c r="K217" s="362">
        <f t="shared" ca="1" si="71"/>
        <v>47459</v>
      </c>
    </row>
    <row r="218" spans="2:11">
      <c r="B218" s="503">
        <v>3</v>
      </c>
      <c r="C218" s="504" t="s">
        <v>32</v>
      </c>
      <c r="D218" s="358" t="str">
        <f ca="1">IF(ISERROR(OFFSET('HARGA SATUAN'!$D$6,MATCH(RAB!C218,'HARGA SATUAN'!$C$7:$C$1492,0),0)),"",OFFSET('HARGA SATUAN'!$D$6,MATCH(RAB!C218,'HARGA SATUAN'!$C$7:$C$1492,0),0))</f>
        <v>HDW</v>
      </c>
      <c r="E218" s="359" t="str">
        <f ca="1">IF(B218="+","Unit",IF(ISERROR(OFFSET('HARGA SATUAN'!$E$6,MATCH(RAB!C218,'HARGA SATUAN'!$C$7:$C$1492,0),0)),"",OFFSET('HARGA SATUAN'!$E$6,MATCH(RAB!C218,'HARGA SATUAN'!$C$7:$C$1492,0),0)))</f>
        <v>Mtr</v>
      </c>
      <c r="F218" s="484">
        <f>F215*1.5</f>
        <v>1.5</v>
      </c>
      <c r="G218" s="360">
        <f ca="1">IF(ISERROR(OFFSET('HARGA SATUAN'!$I$6,MATCH(RAB!C218,'HARGA SATUAN'!$C$7:$C$1492,0),0)),0,OFFSET('HARGA SATUAN'!$I$6,MATCH(RAB!C218,'HARGA SATUAN'!$C$7:$C$1492,0),0))</f>
        <v>30000</v>
      </c>
      <c r="H218" s="361">
        <f t="shared" ca="1" si="68"/>
        <v>0</v>
      </c>
      <c r="I218" s="361">
        <f t="shared" ca="1" si="69"/>
        <v>45000</v>
      </c>
      <c r="J218" s="361">
        <f t="shared" ca="1" si="70"/>
        <v>0</v>
      </c>
      <c r="K218" s="362">
        <f t="shared" ca="1" si="71"/>
        <v>45000</v>
      </c>
    </row>
    <row r="219" spans="2:11">
      <c r="B219" s="503">
        <v>4</v>
      </c>
      <c r="C219" s="504" t="s">
        <v>33</v>
      </c>
      <c r="D219" s="358" t="str">
        <f ca="1">IF(ISERROR(OFFSET('HARGA SATUAN'!$D$6,MATCH(RAB!C219,'HARGA SATUAN'!$C$7:$C$1492,0),0)),"",OFFSET('HARGA SATUAN'!$D$6,MATCH(RAB!C219,'HARGA SATUAN'!$C$7:$C$1492,0),0))</f>
        <v>HDW</v>
      </c>
      <c r="E219" s="359" t="str">
        <f ca="1">IF(B219="+","Unit",IF(ISERROR(OFFSET('HARGA SATUAN'!$E$6,MATCH(RAB!C219,'HARGA SATUAN'!$C$7:$C$1492,0),0)),"",OFFSET('HARGA SATUAN'!$E$6,MATCH(RAB!C219,'HARGA SATUAN'!$C$7:$C$1492,0),0)))</f>
        <v>Bh</v>
      </c>
      <c r="F219" s="484">
        <f>F215*2</f>
        <v>2</v>
      </c>
      <c r="G219" s="360">
        <f ca="1">IF(ISERROR(OFFSET('HARGA SATUAN'!$I$6,MATCH(RAB!C219,'HARGA SATUAN'!$C$7:$C$1492,0),0)),0,OFFSET('HARGA SATUAN'!$I$6,MATCH(RAB!C219,'HARGA SATUAN'!$C$7:$C$1492,0),0))</f>
        <v>9500</v>
      </c>
      <c r="H219" s="361">
        <f t="shared" ca="1" si="68"/>
        <v>0</v>
      </c>
      <c r="I219" s="361">
        <f t="shared" ca="1" si="69"/>
        <v>19000</v>
      </c>
      <c r="J219" s="361">
        <f t="shared" ca="1" si="70"/>
        <v>0</v>
      </c>
      <c r="K219" s="362">
        <f t="shared" ca="1" si="71"/>
        <v>19000</v>
      </c>
    </row>
    <row r="220" spans="2:11">
      <c r="B220" s="503">
        <v>5</v>
      </c>
      <c r="C220" s="504" t="s">
        <v>735</v>
      </c>
      <c r="D220" s="358" t="str">
        <f ca="1">IF(ISERROR(OFFSET('HARGA SATUAN'!$D$6,MATCH(RAB!C220,'HARGA SATUAN'!$C$7:$C$1492,0),0)),"",OFFSET('HARGA SATUAN'!$D$6,MATCH(RAB!C220,'HARGA SATUAN'!$C$7:$C$1492,0),0))</f>
        <v>JASA</v>
      </c>
      <c r="E220" s="359" t="str">
        <f ca="1">IF(B220="+","Unit",IF(ISERROR(OFFSET('HARGA SATUAN'!$E$6,MATCH(RAB!C220,'HARGA SATUAN'!$C$7:$C$1492,0),0)),"",OFFSET('HARGA SATUAN'!$E$6,MATCH(RAB!C220,'HARGA SATUAN'!$C$7:$C$1492,0),0)))</f>
        <v>Unit</v>
      </c>
      <c r="F220" s="484">
        <f>F215*1</f>
        <v>1</v>
      </c>
      <c r="G220" s="360">
        <f ca="1">IF(ISERROR(OFFSET('HARGA SATUAN'!$I$6,MATCH(RAB!C220,'HARGA SATUAN'!$C$7:$C$1492,0),0)),0,OFFSET('HARGA SATUAN'!$I$6,MATCH(RAB!C220,'HARGA SATUAN'!$C$7:$C$1492,0),0))</f>
        <v>56400</v>
      </c>
      <c r="H220" s="361">
        <f t="shared" ca="1" si="68"/>
        <v>0</v>
      </c>
      <c r="I220" s="361">
        <f t="shared" ca="1" si="69"/>
        <v>0</v>
      </c>
      <c r="J220" s="361">
        <f t="shared" ca="1" si="70"/>
        <v>56400</v>
      </c>
      <c r="K220" s="362">
        <f t="shared" ca="1" si="71"/>
        <v>56400</v>
      </c>
    </row>
    <row r="221" spans="2:11">
      <c r="B221" s="503"/>
      <c r="C221" s="504"/>
      <c r="D221" s="358" t="str">
        <f ca="1">IF(ISERROR(OFFSET('HARGA SATUAN'!$D$6,MATCH(RAB!C221,'HARGA SATUAN'!$C$7:$C$1492,0),0)),"",OFFSET('HARGA SATUAN'!$D$6,MATCH(RAB!C221,'HARGA SATUAN'!$C$7:$C$1492,0),0))</f>
        <v/>
      </c>
      <c r="E221" s="359" t="str">
        <f ca="1">IF(B221="+","Unit",IF(ISERROR(OFFSET('HARGA SATUAN'!$E$6,MATCH(RAB!C221,'HARGA SATUAN'!$C$7:$C$1492,0),0)),"",OFFSET('HARGA SATUAN'!$E$6,MATCH(RAB!C221,'HARGA SATUAN'!$C$7:$C$1492,0),0)))</f>
        <v/>
      </c>
      <c r="F221" s="484"/>
      <c r="G221" s="360">
        <f ca="1">IF(ISERROR(OFFSET('HARGA SATUAN'!$I$6,MATCH(RAB!C221,'HARGA SATUAN'!$C$7:$C$1492,0),0)),0,OFFSET('HARGA SATUAN'!$I$6,MATCH(RAB!C221,'HARGA SATUAN'!$C$7:$C$1492,0),0))</f>
        <v>0</v>
      </c>
      <c r="H221" s="361">
        <f t="shared" ca="1" si="68"/>
        <v>0</v>
      </c>
      <c r="I221" s="361">
        <f t="shared" ca="1" si="69"/>
        <v>0</v>
      </c>
      <c r="J221" s="361">
        <f t="shared" ca="1" si="70"/>
        <v>0</v>
      </c>
      <c r="K221" s="362">
        <f t="shared" ca="1" si="71"/>
        <v>0</v>
      </c>
    </row>
    <row r="222" spans="2:11">
      <c r="B222" s="373" t="s">
        <v>1550</v>
      </c>
      <c r="C222" s="374" t="s">
        <v>1615</v>
      </c>
      <c r="D222" s="358" t="str">
        <f ca="1">IF(ISERROR(OFFSET('HARGA SATUAN'!$D$6,MATCH(RAB!C222,'HARGA SATUAN'!$C$7:$C$1492,0),0)),"",OFFSET('HARGA SATUAN'!$D$6,MATCH(RAB!C222,'HARGA SATUAN'!$C$7:$C$1492,0),0))</f>
        <v/>
      </c>
      <c r="E222" s="359" t="str">
        <f ca="1">IF(B222="+","Unit",IF(ISERROR(OFFSET('HARGA SATUAN'!$E$6,MATCH(RAB!C222,'HARGA SATUAN'!$C$7:$C$1492,0),0)),"",OFFSET('HARGA SATUAN'!$E$6,MATCH(RAB!C222,'HARGA SATUAN'!$C$7:$C$1492,0),0)))</f>
        <v/>
      </c>
      <c r="F222" s="484"/>
      <c r="G222" s="360">
        <f ca="1">IF(ISERROR(OFFSET('HARGA SATUAN'!$I$6,MATCH(RAB!C222,'HARGA SATUAN'!$C$7:$C$1492,0),0)),0,OFFSET('HARGA SATUAN'!$I$6,MATCH(RAB!C222,'HARGA SATUAN'!$C$7:$C$1492,0),0))</f>
        <v>0</v>
      </c>
      <c r="H222" s="361">
        <f t="shared" ca="1" si="68"/>
        <v>0</v>
      </c>
      <c r="I222" s="361">
        <f t="shared" ca="1" si="69"/>
        <v>0</v>
      </c>
      <c r="J222" s="361">
        <f t="shared" ca="1" si="70"/>
        <v>0</v>
      </c>
      <c r="K222" s="362">
        <f t="shared" ca="1" si="71"/>
        <v>0</v>
      </c>
    </row>
    <row r="223" spans="2:11">
      <c r="B223" s="375"/>
      <c r="C223" s="109"/>
      <c r="D223" s="358" t="str">
        <f ca="1">IF(ISERROR(OFFSET('HARGA SATUAN'!$D$6,MATCH(RAB!C223,'HARGA SATUAN'!$C$7:$C$1492,0),0)),"",OFFSET('HARGA SATUAN'!$D$6,MATCH(RAB!C223,'HARGA SATUAN'!$C$7:$C$1492,0),0))</f>
        <v/>
      </c>
      <c r="E223" s="359" t="str">
        <f ca="1">IF(B223="+","Unit",IF(ISERROR(OFFSET('HARGA SATUAN'!$E$6,MATCH(RAB!C223,'HARGA SATUAN'!$C$7:$C$1492,0),0)),"",OFFSET('HARGA SATUAN'!$E$6,MATCH(RAB!C223,'HARGA SATUAN'!$C$7:$C$1492,0),0)))</f>
        <v/>
      </c>
      <c r="F223" s="484"/>
      <c r="G223" s="360">
        <f ca="1">IF(ISERROR(OFFSET('HARGA SATUAN'!$I$6,MATCH(RAB!C223,'HARGA SATUAN'!$C$7:$C$1492,0),0)),0,OFFSET('HARGA SATUAN'!$I$6,MATCH(RAB!C223,'HARGA SATUAN'!$C$7:$C$1492,0),0))</f>
        <v>0</v>
      </c>
      <c r="H223" s="361">
        <f t="shared" ca="1" si="68"/>
        <v>0</v>
      </c>
      <c r="I223" s="361">
        <f t="shared" ca="1" si="69"/>
        <v>0</v>
      </c>
      <c r="J223" s="361">
        <f t="shared" ca="1" si="70"/>
        <v>0</v>
      </c>
      <c r="K223" s="362">
        <f t="shared" ca="1" si="71"/>
        <v>0</v>
      </c>
    </row>
    <row r="224" spans="2:11">
      <c r="B224" s="376"/>
      <c r="C224" s="377" t="s">
        <v>475</v>
      </c>
      <c r="D224" s="358" t="str">
        <f ca="1">IF(ISERROR(OFFSET('HARGA SATUAN'!$D$6,MATCH(RAB!C224,'HARGA SATUAN'!$C$7:$C$1492,0),0)),"",OFFSET('HARGA SATUAN'!$D$6,MATCH(RAB!C224,'HARGA SATUAN'!$C$7:$C$1492,0),0))</f>
        <v/>
      </c>
      <c r="E224" s="359" t="str">
        <f ca="1">IF(B224="+","Unit",IF(ISERROR(OFFSET('HARGA SATUAN'!$E$6,MATCH(RAB!C224,'HARGA SATUAN'!$C$7:$C$1492,0),0)),"",OFFSET('HARGA SATUAN'!$E$6,MATCH(RAB!C224,'HARGA SATUAN'!$C$7:$C$1492,0),0)))</f>
        <v/>
      </c>
      <c r="F224" s="484"/>
      <c r="G224" s="360">
        <f ca="1">IF(ISERROR(OFFSET('HARGA SATUAN'!$I$6,MATCH(RAB!C224,'HARGA SATUAN'!$C$7:$C$1492,0),0)),0,OFFSET('HARGA SATUAN'!$I$6,MATCH(RAB!C224,'HARGA SATUAN'!$C$7:$C$1492,0),0))</f>
        <v>0</v>
      </c>
      <c r="H224" s="361">
        <f t="shared" ca="1" si="60"/>
        <v>0</v>
      </c>
      <c r="I224" s="361">
        <f t="shared" ca="1" si="61"/>
        <v>0</v>
      </c>
      <c r="J224" s="361">
        <f t="shared" ca="1" si="62"/>
        <v>0</v>
      </c>
      <c r="K224" s="362">
        <f t="shared" ca="1" si="63"/>
        <v>0</v>
      </c>
    </row>
    <row r="225" spans="2:13">
      <c r="B225" s="379">
        <v>1</v>
      </c>
      <c r="C225" s="380" t="s">
        <v>1091</v>
      </c>
      <c r="D225" s="381" t="str">
        <f ca="1">IF(ISERROR(OFFSET('HARGA SATUAN'!$D$6,MATCH(RAB!C225,'HARGA SATUAN'!$C$7:$C$1492,0),0)),"",OFFSET('HARGA SATUAN'!$D$6,MATCH(RAB!C225,'HARGA SATUAN'!$C$7:$C$1492,0),0))</f>
        <v>JASA</v>
      </c>
      <c r="E225" s="382" t="str">
        <f ca="1">IF(ISERROR(OFFSET('HARGA SATUAN'!$E$6,MATCH(RAB!C225,'HARGA SATUAN'!$C$7:$C$1492,0),0)),"",OFFSET('HARGA SATUAN'!$E$6,MATCH(RAB!C225,'HARGA SATUAN'!$C$7:$C$1492,0),0))</f>
        <v>Lot</v>
      </c>
      <c r="F225" s="383">
        <v>1</v>
      </c>
      <c r="G225" s="384">
        <f ca="1">IF(ISERROR(OFFSET('HARGA SATUAN'!$I$6,MATCH(RAB!C225,'HARGA SATUAN'!$C$7:$C$1492,0),0)),0,OFFSET('HARGA SATUAN'!$I$6,MATCH(RAB!C225,'HARGA SATUAN'!$C$7:$C$1492,0),0))</f>
        <v>2.5000000000000001E-2</v>
      </c>
      <c r="H225" s="385">
        <f ca="1">2.5%*(SUM(H14:H224))</f>
        <v>5159316.25</v>
      </c>
      <c r="I225" s="385">
        <f t="shared" ref="I225" ca="1" si="72">2.5%*(SUM(I14:I224))</f>
        <v>4496785.3983333325</v>
      </c>
      <c r="J225" s="385">
        <f ca="1">2.5%*(SUM(J14:J224))</f>
        <v>416721.83333333337</v>
      </c>
      <c r="K225" s="386">
        <f ca="1">SUM(H225:J225)</f>
        <v>10072823.481666667</v>
      </c>
    </row>
    <row r="226" spans="2:13">
      <c r="B226" s="387"/>
      <c r="C226" s="388"/>
      <c r="D226" s="358" t="str">
        <f ca="1">IF(ISERROR(OFFSET('HARGA SATUAN'!$D$6,MATCH(RAB!C226,'HARGA SATUAN'!$C$7:$C$1492,0),0)),"",OFFSET('HARGA SATUAN'!$D$6,MATCH(RAB!C226,'HARGA SATUAN'!$C$7:$C$1492,0),0))</f>
        <v/>
      </c>
      <c r="E226" s="359" t="str">
        <f ca="1">IF(ISERROR(OFFSET('HARGA SATUAN'!$E$6,MATCH(RAB!C226,'HARGA SATUAN'!$C$7:$C$1492,0),0)),"",OFFSET('HARGA SATUAN'!$E$6,MATCH(RAB!C226,'HARGA SATUAN'!$C$7:$C$1492,0),0))</f>
        <v/>
      </c>
      <c r="F226" s="378"/>
      <c r="G226" s="360" t="str">
        <f ca="1">IF(ISERROR(OFFSET('HARGA SATUAN'!$I$6,MATCH(RAB!C226,'HARGA SATUAN'!$C$7:$C$1492,0),0)),"",OFFSET('HARGA SATUAN'!$I$6,MATCH(RAB!C226,'HARGA SATUAN'!$C$7:$C$1492,0),0))</f>
        <v/>
      </c>
      <c r="H226" s="361">
        <f ca="1">IF(OR(D226="MDU",D226="MDU-KD"),IF(G226="PLN",0,G226*F226),0)</f>
        <v>0</v>
      </c>
      <c r="I226" s="361">
        <f ca="1">IF(D226="HDW",IF(G226="PLN",0,G226*F226),0)</f>
        <v>0</v>
      </c>
      <c r="J226" s="361">
        <f ca="1">IF(D226="JASA",IF(G226="PLN",0,G226*F226),0)</f>
        <v>0</v>
      </c>
      <c r="K226" s="362">
        <f ca="1">SUM(H226:J226)</f>
        <v>0</v>
      </c>
    </row>
    <row r="227" spans="2:13" ht="15.75" thickBot="1">
      <c r="B227" s="389"/>
      <c r="C227" s="390"/>
      <c r="D227" s="391"/>
      <c r="E227" s="392"/>
      <c r="F227" s="392"/>
      <c r="G227" s="392"/>
      <c r="H227" s="393"/>
      <c r="I227" s="393"/>
      <c r="J227" s="393"/>
      <c r="K227" s="394"/>
    </row>
    <row r="228" spans="2:13">
      <c r="B228" s="395"/>
      <c r="C228" s="649" t="s">
        <v>1008</v>
      </c>
      <c r="D228" s="649"/>
      <c r="E228" s="649"/>
      <c r="F228" s="649"/>
      <c r="G228" s="396" t="s">
        <v>9</v>
      </c>
      <c r="H228" s="397">
        <f ca="1">SUM(H14:H226)</f>
        <v>211531966.25</v>
      </c>
      <c r="I228" s="397">
        <f ca="1">SUM(I14:I226)</f>
        <v>184368201.33166665</v>
      </c>
      <c r="J228" s="397">
        <f ca="1">SUM(J14:J226)</f>
        <v>17085595.166666668</v>
      </c>
      <c r="K228" s="397">
        <f ca="1">SUM(K14:K226)</f>
        <v>412985762.74833333</v>
      </c>
    </row>
    <row r="229" spans="2:13">
      <c r="B229" s="400"/>
      <c r="C229" s="632" t="s">
        <v>1460</v>
      </c>
      <c r="D229" s="632"/>
      <c r="E229" s="632"/>
      <c r="F229" s="632"/>
      <c r="G229" s="401" t="s">
        <v>9</v>
      </c>
      <c r="H229" s="402">
        <f ca="1">H228*0.11</f>
        <v>23268516.287500001</v>
      </c>
      <c r="I229" s="402">
        <f ca="1">I228*0.11</f>
        <v>20280502.146483332</v>
      </c>
      <c r="J229" s="402">
        <f ca="1">J228*0.11</f>
        <v>1879415.4683333335</v>
      </c>
      <c r="K229" s="402">
        <f ca="1">K228*0.11</f>
        <v>45428433.902316667</v>
      </c>
    </row>
    <row r="230" spans="2:13" ht="15.75" thickBot="1">
      <c r="B230" s="400"/>
      <c r="C230" s="630" t="s">
        <v>463</v>
      </c>
      <c r="D230" s="630"/>
      <c r="E230" s="630"/>
      <c r="F230" s="630"/>
      <c r="G230" s="404" t="s">
        <v>9</v>
      </c>
      <c r="H230" s="405">
        <f ca="1">SUM(H228:H229)</f>
        <v>234800482.53749999</v>
      </c>
      <c r="I230" s="405">
        <f ca="1">SUM(I228:I229)</f>
        <v>204648703.47814998</v>
      </c>
      <c r="J230" s="404">
        <f ca="1">SUM(J228:J229)</f>
        <v>18965010.635000002</v>
      </c>
      <c r="K230" s="404">
        <f ca="1">SUM(K228:K229)</f>
        <v>458414196.65065002</v>
      </c>
      <c r="M230" s="487"/>
    </row>
    <row r="231" spans="2:13">
      <c r="B231" s="633" t="str">
        <f ca="1">"Terbilang : "&amp;PROPER(IF(K230=0,"nol",IF(K230&lt;0,"minus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IF(--MID(TEXT(ABS(K230),"000000000000000"),1,3)=0,"",MID(TEXT(ABS(K230),"000000000000000"),1,1)&amp;" ratus "&amp;MID(TEXT(ABS(K230),"000000000000000"),2,1)&amp;" puluh "&amp;MID(TEXT(ABS(K230),"000000000000000"),3,1)&amp;" trilyun ")&amp; IF(--MID(TEXT(ABS(K230),"000000000000000"),4,3)=0,"",MID(TEXT(ABS(K230),"000000000000000"),4,1)&amp;" ratus "&amp;MID(TEXT(ABS(K230),"000000000000000"),5,1)&amp;" puluh "&amp;MID(TEXT(ABS(K230),"000000000000000"),6,1)&amp;" milyar ")&amp; IF(--MID(TEXT(ABS(K230),"000000000000000"),7,3)=0,"",MID(TEXT(ABS(K230),"000000000000000"),7,1)&amp;" ratus "&amp;MID(TEXT(ABS(K230),"000000000000000"),8,1)&amp;" puluh "&amp;MID(TEXT(ABS(K230),"000000000000000"),9,1)&amp;" juta ")&amp; IF(--MID(TEXT(ABS(K230),"000000000000000"),10,3)=0,"",IF(--MID(TEXT(ABS(K230),"000000000000000"),10,3)=1,"*",MID(TEXT(ABS(K230),"000000000000000"),10,1)&amp;" ratus "&amp;MID(TEXT(ABS(K230),"000000000000000"),11,1)&amp;" puluh ")&amp;MID(TEXT(ABS(K230),"000000000000000"),12,1)&amp;" ribu ")&amp; IF(--MID(TEXT(ABS(K230),"000000000000000"),13,3)=0,"",MID(TEXT(ABS(K230),"000000000000000"),13,1)&amp;" ratus "&amp;MID(TEXT(ABS(K230),"000000000000000"),14,1)&amp;" puluh "&amp;MID(TEXT(ABS(K230),"000000000000000"),15,1)),1,"satu"),2,"dua"),3,"tiga"),4,"empat"),5,"lima"),6,"enam"),7,"tujuh"),8,"delapan"),9,"sembilan"),"0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Lima Puluh Delapan Juta Empat Ratus Empat Belas Ribu Seratus Sembilan Puluh Tujuh Rupiah</v>
      </c>
      <c r="C231" s="634"/>
      <c r="D231" s="634"/>
      <c r="E231" s="634"/>
      <c r="F231" s="634"/>
      <c r="G231" s="634"/>
      <c r="H231" s="634"/>
      <c r="I231" s="634"/>
      <c r="J231" s="634"/>
      <c r="K231" s="635"/>
    </row>
    <row r="232" spans="2:13">
      <c r="B232" s="636"/>
      <c r="C232" s="637"/>
      <c r="D232" s="637"/>
      <c r="E232" s="637"/>
      <c r="F232" s="637"/>
      <c r="G232" s="637"/>
      <c r="H232" s="637"/>
      <c r="I232" s="637"/>
      <c r="J232" s="637"/>
      <c r="K232" s="638"/>
    </row>
    <row r="233" spans="2:13" ht="15.75" thickBot="1">
      <c r="B233" s="407" t="str">
        <f>"Harga yang dipakai adalah "&amp;'HARGA SATUAN'!I5&amp;""</f>
        <v>Harga yang dipakai adalah RAB HSS 2023</v>
      </c>
      <c r="C233" s="408"/>
      <c r="D233" s="409"/>
      <c r="E233" s="409"/>
      <c r="F233" s="409"/>
      <c r="G233" s="410"/>
      <c r="H233" s="410"/>
      <c r="I233" s="410"/>
      <c r="J233" s="410"/>
      <c r="K233" s="411"/>
    </row>
    <row r="234" spans="2:13">
      <c r="C234" s="412"/>
      <c r="E234" s="414"/>
      <c r="F234" s="414"/>
      <c r="G234" s="414"/>
    </row>
    <row r="235" spans="2:13">
      <c r="C235" s="337"/>
      <c r="E235" s="414"/>
      <c r="F235" s="414"/>
      <c r="G235" s="414"/>
      <c r="H235" s="639"/>
      <c r="I235" s="639"/>
      <c r="J235" s="640"/>
      <c r="K235" s="640"/>
    </row>
    <row r="236" spans="2:13">
      <c r="C236" s="337"/>
      <c r="E236" s="414"/>
      <c r="F236" s="414"/>
      <c r="G236" s="414"/>
      <c r="H236" s="415"/>
      <c r="I236" s="629" t="s">
        <v>1613</v>
      </c>
      <c r="J236" s="629"/>
      <c r="K236" s="629"/>
    </row>
    <row r="237" spans="2:13">
      <c r="C237" s="337"/>
      <c r="E237" s="414"/>
      <c r="F237" s="414"/>
      <c r="G237" s="414"/>
      <c r="H237" s="415"/>
      <c r="I237" s="629" t="s">
        <v>1551</v>
      </c>
      <c r="J237" s="629"/>
      <c r="K237" s="629"/>
    </row>
    <row r="238" spans="2:13">
      <c r="C238" s="337"/>
      <c r="E238" s="414"/>
      <c r="F238" s="414"/>
      <c r="G238" s="414"/>
      <c r="H238" s="416"/>
      <c r="I238" s="417"/>
      <c r="J238" s="417"/>
      <c r="K238" s="417"/>
    </row>
    <row r="239" spans="2:13">
      <c r="C239" s="337"/>
      <c r="E239" s="414"/>
      <c r="F239" s="414"/>
      <c r="G239" s="414"/>
      <c r="H239" s="416"/>
      <c r="I239" s="416"/>
      <c r="J239" s="416"/>
      <c r="K239" s="416"/>
    </row>
    <row r="240" spans="2:13">
      <c r="C240" s="337"/>
      <c r="E240" s="414"/>
      <c r="F240" s="414"/>
      <c r="G240" s="414"/>
      <c r="H240" s="416"/>
      <c r="I240" s="416"/>
      <c r="J240" s="416"/>
      <c r="K240" s="416"/>
    </row>
    <row r="241" spans="3:11">
      <c r="C241" s="337"/>
      <c r="E241" s="414"/>
      <c r="F241" s="414"/>
      <c r="G241" s="414"/>
      <c r="H241" s="416"/>
      <c r="I241" s="416"/>
      <c r="J241" s="416"/>
      <c r="K241" s="416"/>
    </row>
    <row r="242" spans="3:11">
      <c r="C242" s="337"/>
      <c r="E242" s="414"/>
      <c r="F242" s="414"/>
      <c r="G242" s="414"/>
      <c r="H242" s="418"/>
      <c r="I242" s="629" t="s">
        <v>1552</v>
      </c>
      <c r="J242" s="629"/>
      <c r="K242" s="629"/>
    </row>
    <row r="243" spans="3:11">
      <c r="C243" s="412"/>
      <c r="E243" s="414"/>
      <c r="F243" s="414"/>
      <c r="G243" s="414"/>
      <c r="H243" s="416"/>
      <c r="I243" s="416"/>
      <c r="J243" s="416"/>
      <c r="K243" s="416"/>
    </row>
    <row r="244" spans="3:11">
      <c r="C244" s="412"/>
      <c r="E244" s="414"/>
      <c r="F244" s="414"/>
      <c r="G244" s="414"/>
      <c r="H244" s="416"/>
      <c r="I244" s="416"/>
      <c r="J244" s="416"/>
      <c r="K244" s="416"/>
    </row>
    <row r="245" spans="3:11">
      <c r="C245" s="412"/>
      <c r="E245" s="414"/>
      <c r="F245" s="414"/>
      <c r="G245" s="414"/>
      <c r="H245" s="416"/>
      <c r="I245" s="416"/>
      <c r="J245" s="416"/>
      <c r="K245" s="416"/>
    </row>
  </sheetData>
  <sheetProtection sort="0" autoFilter="0"/>
  <protectedRanges>
    <protectedRange sqref="B223 B177:B185" name="Range1_1"/>
    <protectedRange sqref="F14:F16 F21:F23" name="Range1_1_2_2"/>
    <protectedRange sqref="B222:C222 B58:C59 B130:B133 B197:C197 B134:C150 B163:C164 C177:C185 B83:C83 B107:C107 B113:C122 B128:C129" name="Range1_1_1"/>
    <protectedRange sqref="C40 C42:C57" name="Range1_1_3_2"/>
    <protectedRange sqref="F17:F20" name="Range1_1_2_2_1_1"/>
    <protectedRange sqref="B27:C27 B29:C38 B24:B26" name="Range1_1_1_1"/>
    <protectedRange sqref="B28:C28" name="Range1_6_1_1"/>
    <protectedRange sqref="F24:F38" name="Range1_1_2_2_1_3"/>
    <protectedRange sqref="C130" name="Range1_1_3_6"/>
    <protectedRange sqref="C131" name="Range1_1_3_8"/>
    <protectedRange sqref="C132" name="Range1_1_3_9"/>
    <protectedRange sqref="C133" name="Range1_1_3_10"/>
    <protectedRange sqref="C203" name="Range1_1_3_18"/>
    <protectedRange sqref="C166" name="Range1_1_3_11"/>
    <protectedRange sqref="C61 C25:C26 C85" name="Range1_1_3"/>
    <protectedRange sqref="C62 C86" name="Range1_1_3_1"/>
    <protectedRange sqref="C63 C87" name="Range1_1_3_7"/>
    <protectedRange sqref="C41" name="Range1_1_3_13"/>
    <protectedRange sqref="C169" name="Range1_1_3_15"/>
    <protectedRange sqref="C173" name="Range1_1_3_19"/>
    <protectedRange sqref="C158" name="Range1_1_3_3"/>
  </protectedRanges>
  <mergeCells count="22">
    <mergeCell ref="O3:P4"/>
    <mergeCell ref="B4:K4"/>
    <mergeCell ref="C228:F228"/>
    <mergeCell ref="B11:B13"/>
    <mergeCell ref="C11:C13"/>
    <mergeCell ref="D11:D13"/>
    <mergeCell ref="E11:E13"/>
    <mergeCell ref="F11:F13"/>
    <mergeCell ref="G11:G13"/>
    <mergeCell ref="I12:I13"/>
    <mergeCell ref="I237:K237"/>
    <mergeCell ref="I242:K242"/>
    <mergeCell ref="C230:F230"/>
    <mergeCell ref="G6:K6"/>
    <mergeCell ref="I236:K236"/>
    <mergeCell ref="C229:F229"/>
    <mergeCell ref="B231:K232"/>
    <mergeCell ref="H235:K235"/>
    <mergeCell ref="H11:K11"/>
    <mergeCell ref="H12:H13"/>
    <mergeCell ref="J12:J13"/>
    <mergeCell ref="K12:K13"/>
  </mergeCells>
  <phoneticPr fontId="139" type="noConversion"/>
  <conditionalFormatting sqref="C15">
    <cfRule type="cellIs" dxfId="19" priority="482" operator="equal">
      <formula>0</formula>
    </cfRule>
  </conditionalFormatting>
  <conditionalFormatting sqref="C17:C20">
    <cfRule type="cellIs" dxfId="18" priority="67" operator="equal">
      <formula>0</formula>
    </cfRule>
  </conditionalFormatting>
  <conditionalFormatting sqref="C25:C26">
    <cfRule type="cellIs" dxfId="17" priority="17" operator="equal">
      <formula>0</formula>
    </cfRule>
  </conditionalFormatting>
  <conditionalFormatting sqref="C41">
    <cfRule type="cellIs" dxfId="16" priority="19" operator="equal">
      <formula>0</formula>
    </cfRule>
  </conditionalFormatting>
  <conditionalFormatting sqref="C61:C63">
    <cfRule type="cellIs" dxfId="15" priority="20" operator="equal">
      <formula>0</formula>
    </cfRule>
  </conditionalFormatting>
  <conditionalFormatting sqref="C85:C87">
    <cfRule type="cellIs" dxfId="14" priority="14" operator="equal">
      <formula>0</formula>
    </cfRule>
  </conditionalFormatting>
  <conditionalFormatting sqref="C126">
    <cfRule type="cellIs" dxfId="13" priority="5" operator="equal">
      <formula>0</formula>
    </cfRule>
  </conditionalFormatting>
  <conditionalFormatting sqref="C130:C133">
    <cfRule type="cellIs" dxfId="12" priority="51" operator="equal">
      <formula>0</formula>
    </cfRule>
  </conditionalFormatting>
  <conditionalFormatting sqref="C158">
    <cfRule type="cellIs" dxfId="11" priority="3" operator="equal">
      <formula>0</formula>
    </cfRule>
  </conditionalFormatting>
  <conditionalFormatting sqref="C166">
    <cfRule type="cellIs" dxfId="10" priority="12" operator="equal">
      <formula>0</formula>
    </cfRule>
  </conditionalFormatting>
  <conditionalFormatting sqref="C169:C170">
    <cfRule type="cellIs" dxfId="9" priority="9" operator="equal">
      <formula>0</formula>
    </cfRule>
  </conditionalFormatting>
  <conditionalFormatting sqref="C173">
    <cfRule type="cellIs" dxfId="8" priority="8" operator="equal">
      <formula>0</formula>
    </cfRule>
  </conditionalFormatting>
  <conditionalFormatting sqref="C223">
    <cfRule type="cellIs" dxfId="6" priority="80" operator="equal">
      <formula>0</formula>
    </cfRule>
  </conditionalFormatting>
  <conditionalFormatting sqref="E1:E3 G1:G13 E5:E13 H12:I12 O13 S14:V57 E225:G225 H225:K227 E226:H226 E227:F227">
    <cfRule type="cellIs" dxfId="5" priority="1062" stopIfTrue="1" operator="equal">
      <formula>0</formula>
    </cfRule>
  </conditionalFormatting>
  <conditionalFormatting sqref="E14:K59 E60:E82 G60:K82 E83:K83 E84:E106 G84:K106">
    <cfRule type="cellIs" dxfId="4" priority="30" stopIfTrue="1" operator="equal">
      <formula>0</formula>
    </cfRule>
  </conditionalFormatting>
  <conditionalFormatting sqref="E107:K224">
    <cfRule type="cellIs" dxfId="3" priority="2" stopIfTrue="1" operator="equal">
      <formula>0</formula>
    </cfRule>
  </conditionalFormatting>
  <conditionalFormatting sqref="F60:F64">
    <cfRule type="cellIs" dxfId="2" priority="26" stopIfTrue="1" operator="equal">
      <formula>0</formula>
    </cfRule>
  </conditionalFormatting>
  <conditionalFormatting sqref="G226:G65692 E231:E65692">
    <cfRule type="cellIs" dxfId="1" priority="196" stopIfTrue="1" operator="equal">
      <formula>0</formula>
    </cfRule>
  </conditionalFormatting>
  <conditionalFormatting sqref="C200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4:F39 F205 F210:F224 F59:F62 F64 F83 C167:C168 F107:F147 H14:K227 F149:F19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6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2" zoomScale="55" zoomScaleNormal="115" zoomScaleSheetLayoutView="55" workbookViewId="0">
      <selection activeCell="S35" sqref="S35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17" t="s">
        <v>1439</v>
      </c>
      <c r="X2" s="718"/>
      <c r="Y2" s="718"/>
      <c r="Z2" s="718"/>
      <c r="AA2" s="718"/>
      <c r="AB2" s="718"/>
      <c r="AC2" s="718"/>
      <c r="AD2" s="719"/>
    </row>
    <row r="3" spans="3:30">
      <c r="C3" s="238"/>
      <c r="W3" s="720"/>
      <c r="X3" s="721"/>
      <c r="Y3" s="721"/>
      <c r="Z3" s="721"/>
      <c r="AA3" s="721"/>
      <c r="AB3" s="721"/>
      <c r="AC3" s="721"/>
      <c r="AD3" s="72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238"/>
      <c r="E6" s="520" t="str">
        <f>PETA!$C$6</f>
        <v>Koordinat : -6.983762, 110.688758</v>
      </c>
      <c r="W6" s="241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238"/>
      <c r="E7" s="493"/>
      <c r="W7" s="241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238"/>
      <c r="W8" s="241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238"/>
      <c r="W9" s="241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238"/>
      <c r="W10" s="241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238"/>
      <c r="W11" s="241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238"/>
      <c r="W12" s="241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238"/>
      <c r="W13" s="241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238"/>
      <c r="W14" s="241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238"/>
      <c r="W15" s="241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238"/>
      <c r="W16" s="241">
        <v>11</v>
      </c>
      <c r="X16" s="661" t="s">
        <v>1458</v>
      </c>
      <c r="Y16" s="661"/>
      <c r="Z16" s="661"/>
      <c r="AA16" s="661"/>
      <c r="AB16" s="661"/>
      <c r="AC16" s="661"/>
      <c r="AD16" s="662"/>
    </row>
    <row r="17" spans="3:30">
      <c r="C17" s="238"/>
      <c r="S17" s="242"/>
      <c r="W17" s="241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243"/>
      <c r="D18" s="244"/>
      <c r="E18" s="244"/>
      <c r="W18" s="241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238"/>
      <c r="W19" s="245"/>
      <c r="X19" s="713"/>
      <c r="Y19" s="713"/>
      <c r="Z19" s="713"/>
      <c r="AA19" s="713"/>
      <c r="AB19" s="713"/>
      <c r="AC19" s="713"/>
      <c r="AD19" s="714"/>
    </row>
    <row r="20" spans="3:30">
      <c r="C20" s="238"/>
      <c r="W20" s="702" t="s">
        <v>992</v>
      </c>
      <c r="X20" s="703"/>
      <c r="Y20" s="703"/>
      <c r="Z20" s="703"/>
      <c r="AA20" s="703"/>
      <c r="AB20" s="703"/>
      <c r="AC20" s="703"/>
      <c r="AD20" s="704"/>
    </row>
    <row r="21" spans="3:30">
      <c r="C21" s="238"/>
      <c r="W21" s="705" t="s">
        <v>985</v>
      </c>
      <c r="X21" s="706"/>
      <c r="Y21" s="706"/>
      <c r="Z21" s="707"/>
      <c r="AA21" s="708" t="s">
        <v>986</v>
      </c>
      <c r="AB21" s="709"/>
      <c r="AC21" s="709"/>
      <c r="AD21" s="710"/>
    </row>
    <row r="22" spans="3:30">
      <c r="C22" s="238"/>
      <c r="W22" s="715" t="s">
        <v>1639</v>
      </c>
      <c r="X22" s="716"/>
      <c r="Y22" s="515" t="s">
        <v>1058</v>
      </c>
      <c r="Z22" s="516">
        <v>22</v>
      </c>
      <c r="AA22" s="711" t="s">
        <v>1623</v>
      </c>
      <c r="AB22" s="712"/>
      <c r="AC22" s="248">
        <v>2</v>
      </c>
      <c r="AD22" s="249"/>
    </row>
    <row r="23" spans="3:30">
      <c r="C23" s="238"/>
      <c r="W23" s="694" t="s">
        <v>1637</v>
      </c>
      <c r="X23" s="695"/>
      <c r="Y23" s="515" t="s">
        <v>1058</v>
      </c>
      <c r="Z23" s="516">
        <v>1</v>
      </c>
      <c r="AA23" s="700"/>
      <c r="AB23" s="701"/>
      <c r="AC23" s="248"/>
      <c r="AD23" s="249"/>
    </row>
    <row r="24" spans="3:30">
      <c r="C24" s="238"/>
      <c r="W24" s="694" t="s">
        <v>1623</v>
      </c>
      <c r="X24" s="695"/>
      <c r="Y24" s="515" t="s">
        <v>1058</v>
      </c>
      <c r="Z24" s="516">
        <v>22</v>
      </c>
      <c r="AA24" s="698"/>
      <c r="AB24" s="699"/>
      <c r="AC24" s="248"/>
      <c r="AD24" s="249"/>
    </row>
    <row r="25" spans="3:30">
      <c r="C25" s="238"/>
      <c r="W25" s="694" t="s">
        <v>1624</v>
      </c>
      <c r="X25" s="695"/>
      <c r="Y25" s="515" t="s">
        <v>1058</v>
      </c>
      <c r="Z25" s="516">
        <v>2</v>
      </c>
      <c r="AA25" s="700"/>
      <c r="AB25" s="701"/>
      <c r="AC25" s="248"/>
      <c r="AD25" s="249"/>
    </row>
    <row r="26" spans="3:30">
      <c r="C26" s="238"/>
      <c r="W26" s="694" t="s">
        <v>1640</v>
      </c>
      <c r="X26" s="695"/>
      <c r="Y26" s="515" t="s">
        <v>1058</v>
      </c>
      <c r="Z26" s="516">
        <v>2</v>
      </c>
      <c r="AA26" s="700"/>
      <c r="AB26" s="701"/>
      <c r="AC26" s="248"/>
      <c r="AD26" s="249"/>
    </row>
    <row r="27" spans="3:30">
      <c r="C27" s="238"/>
      <c r="W27" s="694" t="s">
        <v>1641</v>
      </c>
      <c r="X27" s="695"/>
      <c r="Y27" s="515" t="s">
        <v>1058</v>
      </c>
      <c r="Z27" s="516">
        <v>1</v>
      </c>
      <c r="AA27" s="689"/>
      <c r="AB27" s="684"/>
      <c r="AC27" s="248"/>
      <c r="AD27" s="249"/>
    </row>
    <row r="28" spans="3:30">
      <c r="C28" s="238"/>
      <c r="E28" s="514"/>
      <c r="W28" s="694" t="s">
        <v>1642</v>
      </c>
      <c r="X28" s="695"/>
      <c r="Y28" s="517" t="s">
        <v>1058</v>
      </c>
      <c r="Z28" s="516">
        <v>2</v>
      </c>
      <c r="AA28" s="689"/>
      <c r="AB28" s="684"/>
      <c r="AC28" s="248"/>
      <c r="AD28" s="249"/>
    </row>
    <row r="29" spans="3:30">
      <c r="C29" s="238"/>
      <c r="W29" s="694" t="s">
        <v>1625</v>
      </c>
      <c r="X29" s="695"/>
      <c r="Y29" s="515" t="s">
        <v>1058</v>
      </c>
      <c r="Z29" s="516">
        <v>22</v>
      </c>
      <c r="AA29" s="689"/>
      <c r="AB29" s="684"/>
      <c r="AC29" s="248"/>
      <c r="AD29" s="249"/>
    </row>
    <row r="30" spans="3:30" ht="11.25" customHeight="1">
      <c r="C30" s="238"/>
      <c r="W30" s="694" t="s">
        <v>1636</v>
      </c>
      <c r="X30" s="695"/>
      <c r="Y30" s="515" t="s">
        <v>1058</v>
      </c>
      <c r="Z30" s="516">
        <v>2</v>
      </c>
      <c r="AA30" s="689"/>
      <c r="AB30" s="684"/>
      <c r="AC30" s="248"/>
      <c r="AD30" s="249"/>
    </row>
    <row r="31" spans="3:30">
      <c r="C31" s="238"/>
      <c r="U31" s="250"/>
      <c r="W31" s="694" t="s">
        <v>1634</v>
      </c>
      <c r="X31" s="695"/>
      <c r="Y31" s="515" t="s">
        <v>1058</v>
      </c>
      <c r="Z31" s="516">
        <v>2</v>
      </c>
      <c r="AA31" s="689"/>
      <c r="AB31" s="684"/>
      <c r="AC31" s="248"/>
      <c r="AD31" s="249"/>
    </row>
    <row r="32" spans="3:30">
      <c r="C32" s="238"/>
      <c r="U32" s="250"/>
      <c r="W32" s="696" t="s">
        <v>1635</v>
      </c>
      <c r="X32" s="697"/>
      <c r="Y32" s="517" t="s">
        <v>1058</v>
      </c>
      <c r="Z32" s="516">
        <v>2</v>
      </c>
      <c r="AA32" s="689"/>
      <c r="AB32" s="684"/>
      <c r="AC32" s="248"/>
      <c r="AD32" s="249"/>
    </row>
    <row r="33" spans="3:30">
      <c r="C33" s="238"/>
      <c r="W33" s="692" t="s">
        <v>1629</v>
      </c>
      <c r="X33" s="693"/>
      <c r="Y33" s="518" t="s">
        <v>1058</v>
      </c>
      <c r="Z33" s="519">
        <v>4</v>
      </c>
      <c r="AA33" s="689"/>
      <c r="AB33" s="684"/>
      <c r="AC33" s="248"/>
      <c r="AD33" s="249"/>
    </row>
    <row r="34" spans="3:30">
      <c r="C34" s="238"/>
      <c r="W34" s="485" t="s">
        <v>1643</v>
      </c>
      <c r="X34" s="486"/>
      <c r="Y34" s="246" t="s">
        <v>1058</v>
      </c>
      <c r="Z34" s="247">
        <v>1</v>
      </c>
      <c r="AA34" s="689"/>
      <c r="AB34" s="684"/>
      <c r="AC34" s="248"/>
      <c r="AD34" s="249"/>
    </row>
    <row r="35" spans="3:30">
      <c r="C35" s="238"/>
      <c r="W35" s="690"/>
      <c r="X35" s="691"/>
      <c r="Y35" s="246"/>
      <c r="Z35" s="247"/>
      <c r="AA35" s="689"/>
      <c r="AB35" s="684"/>
      <c r="AC35" s="248"/>
      <c r="AD35" s="249"/>
    </row>
    <row r="36" spans="3:30">
      <c r="C36" s="238"/>
      <c r="W36" s="681"/>
      <c r="X36" s="682"/>
      <c r="Y36" s="246"/>
      <c r="Z36" s="251"/>
      <c r="AA36" s="683"/>
      <c r="AB36" s="684"/>
      <c r="AC36" s="248"/>
      <c r="AD36" s="249"/>
    </row>
    <row r="37" spans="3:30" ht="12.75" customHeight="1">
      <c r="C37" s="238"/>
      <c r="W37" s="685"/>
      <c r="X37" s="686"/>
      <c r="Y37" s="246"/>
      <c r="Z37" s="251"/>
      <c r="AA37" s="687"/>
      <c r="AB37" s="688"/>
      <c r="AC37" s="252"/>
      <c r="AD37" s="253"/>
    </row>
    <row r="38" spans="3:30" ht="12.75" customHeight="1">
      <c r="C38" s="238"/>
      <c r="W38" s="685"/>
      <c r="X38" s="68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5"/>
      <c r="X39" s="686"/>
      <c r="Y39" s="254"/>
      <c r="Z39" s="257"/>
      <c r="AA39" s="677"/>
      <c r="AB39" s="678"/>
      <c r="AC39" s="252"/>
      <c r="AD39" s="253"/>
    </row>
    <row r="40" spans="3:30" ht="12" customHeight="1">
      <c r="C40" s="238"/>
      <c r="W40" s="673"/>
      <c r="X40" s="674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5"/>
      <c r="X41" s="676"/>
      <c r="Y41" s="260"/>
      <c r="Z41" s="261"/>
      <c r="AA41" s="677"/>
      <c r="AB41" s="678"/>
      <c r="AC41" s="252"/>
      <c r="AD41" s="253"/>
    </row>
    <row r="42" spans="3:30" ht="12" customHeight="1">
      <c r="C42" s="238"/>
      <c r="W42" s="679" t="s">
        <v>1459</v>
      </c>
      <c r="X42" s="680"/>
      <c r="Y42" s="680"/>
      <c r="Z42" s="68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8" t="s">
        <v>11</v>
      </c>
      <c r="X44" s="659"/>
      <c r="Y44" s="661"/>
      <c r="Z44" s="661"/>
      <c r="AA44" s="661"/>
      <c r="AB44" s="661"/>
      <c r="AC44" s="661"/>
      <c r="AD44" s="66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8" t="s">
        <v>984</v>
      </c>
      <c r="X45" s="659"/>
      <c r="Y45" s="661">
        <v>1</v>
      </c>
      <c r="Z45" s="661"/>
      <c r="AA45" s="661"/>
      <c r="AB45" s="661" t="s">
        <v>12</v>
      </c>
      <c r="AC45" s="66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8" t="s">
        <v>15</v>
      </c>
      <c r="X46" s="659"/>
      <c r="Y46" s="672"/>
      <c r="Z46" s="672"/>
      <c r="AA46" s="672"/>
      <c r="AB46" s="661" t="s">
        <v>16</v>
      </c>
      <c r="AC46" s="66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6" t="s">
        <v>17</v>
      </c>
      <c r="X47" s="666"/>
      <c r="Y47" s="666"/>
      <c r="Z47" s="666"/>
      <c r="AA47" s="666"/>
      <c r="AB47" s="666"/>
      <c r="AC47" s="666"/>
      <c r="AD47" s="66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8" t="str">
        <f>RAB!G6</f>
        <v>AGR H MUSTAIN</v>
      </c>
      <c r="X48" s="668"/>
      <c r="Y48" s="668"/>
      <c r="Z48" s="668"/>
      <c r="AA48" s="668"/>
      <c r="AB48" s="668"/>
      <c r="AC48" s="668"/>
      <c r="AD48" s="66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8"/>
      <c r="X49" s="668"/>
      <c r="Y49" s="668"/>
      <c r="Z49" s="668"/>
      <c r="AA49" s="668"/>
      <c r="AB49" s="668"/>
      <c r="AC49" s="668"/>
      <c r="AD49" s="66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8"/>
      <c r="X50" s="668"/>
      <c r="Y50" s="668"/>
      <c r="Z50" s="668"/>
      <c r="AA50" s="668"/>
      <c r="AB50" s="668"/>
      <c r="AC50" s="668"/>
      <c r="AD50" s="66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70"/>
      <c r="X51" s="670"/>
      <c r="Y51" s="670"/>
      <c r="Z51" s="670"/>
      <c r="AA51" s="670"/>
      <c r="AB51" s="670"/>
      <c r="AC51" s="670"/>
      <c r="AD51" s="67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8" t="s">
        <v>18</v>
      </c>
      <c r="X52" s="659"/>
      <c r="Y52" s="661" t="s">
        <v>1616</v>
      </c>
      <c r="Z52" s="661"/>
      <c r="AA52" s="661"/>
      <c r="AB52" s="661"/>
      <c r="AC52" s="661"/>
      <c r="AD52" s="66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8" t="s">
        <v>19</v>
      </c>
      <c r="X53" s="659"/>
      <c r="Y53" s="661" t="s">
        <v>1617</v>
      </c>
      <c r="Z53" s="661"/>
      <c r="AA53" s="661"/>
      <c r="AB53" s="661"/>
      <c r="AC53" s="661"/>
      <c r="AD53" s="66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8" t="s">
        <v>20</v>
      </c>
      <c r="X54" s="659"/>
      <c r="Y54" s="660" t="s">
        <v>1618</v>
      </c>
      <c r="Z54" s="660"/>
      <c r="AA54" s="660"/>
      <c r="AB54" s="661"/>
      <c r="AC54" s="661"/>
      <c r="AD54" s="66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63" t="s">
        <v>21</v>
      </c>
      <c r="X55" s="664"/>
      <c r="Y55" s="660" t="s">
        <v>1554</v>
      </c>
      <c r="Z55" s="660"/>
      <c r="AA55" s="660"/>
      <c r="AB55" s="660"/>
      <c r="AC55" s="660"/>
      <c r="AD55" s="665"/>
    </row>
  </sheetData>
  <mergeCells count="109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AA22:AB22"/>
    <mergeCell ref="AA23:AB23"/>
    <mergeCell ref="X18:Z18"/>
    <mergeCell ref="AA18:AB18"/>
    <mergeCell ref="AC18:AD18"/>
    <mergeCell ref="X19:Z19"/>
    <mergeCell ref="AA19:AB19"/>
    <mergeCell ref="AC19:AD19"/>
    <mergeCell ref="W22:X22"/>
    <mergeCell ref="W23:X23"/>
    <mergeCell ref="AA30:AB30"/>
    <mergeCell ref="AA31:AB31"/>
    <mergeCell ref="AA32:AB32"/>
    <mergeCell ref="AA27:AB27"/>
    <mergeCell ref="AA28:AB28"/>
    <mergeCell ref="AA29:AB29"/>
    <mergeCell ref="AA24:AB24"/>
    <mergeCell ref="AA25:AB25"/>
    <mergeCell ref="AA26:AB26"/>
    <mergeCell ref="W25:X25"/>
    <mergeCell ref="W26:X26"/>
    <mergeCell ref="W27:X27"/>
    <mergeCell ref="W24:X24"/>
    <mergeCell ref="W32:X32"/>
    <mergeCell ref="W28:X28"/>
    <mergeCell ref="W29:X29"/>
    <mergeCell ref="W30:X30"/>
    <mergeCell ref="W31:X31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70" zoomScaleNormal="55" zoomScaleSheetLayoutView="70" workbookViewId="0">
      <selection activeCell="AD35" sqref="AD35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23" t="s">
        <v>1531</v>
      </c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4"/>
      <c r="AC4" s="725"/>
      <c r="AD4" s="217"/>
      <c r="AE4" s="216"/>
      <c r="AF4" s="216"/>
    </row>
    <row r="5" spans="2:32" ht="13.5" customHeight="1">
      <c r="B5" s="215"/>
      <c r="C5" s="215"/>
      <c r="D5" s="726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7"/>
      <c r="X5" s="727"/>
      <c r="Y5" s="727"/>
      <c r="Z5" s="727"/>
      <c r="AA5" s="727"/>
      <c r="AB5" s="727"/>
      <c r="AC5" s="728"/>
      <c r="AD5" s="217"/>
      <c r="AE5" s="216"/>
      <c r="AF5" s="216"/>
    </row>
    <row r="6" spans="2:32" ht="12.75" customHeight="1">
      <c r="B6" s="215"/>
      <c r="C6" s="215"/>
      <c r="D6" s="726"/>
      <c r="E6" s="727"/>
      <c r="F6" s="727"/>
      <c r="G6" s="727"/>
      <c r="H6" s="727"/>
      <c r="I6" s="727"/>
      <c r="J6" s="727"/>
      <c r="K6" s="727"/>
      <c r="L6" s="727"/>
      <c r="M6" s="727"/>
      <c r="N6" s="727"/>
      <c r="O6" s="727"/>
      <c r="P6" s="727"/>
      <c r="Q6" s="727"/>
      <c r="R6" s="727"/>
      <c r="S6" s="727"/>
      <c r="T6" s="727"/>
      <c r="U6" s="727"/>
      <c r="V6" s="727"/>
      <c r="W6" s="727"/>
      <c r="X6" s="727"/>
      <c r="Y6" s="727"/>
      <c r="Z6" s="727"/>
      <c r="AA6" s="727"/>
      <c r="AB6" s="727"/>
      <c r="AC6" s="728"/>
      <c r="AE6" s="216"/>
      <c r="AF6" s="216"/>
    </row>
    <row r="7" spans="2:32" ht="12.75" customHeight="1" thickBot="1">
      <c r="B7" s="215"/>
      <c r="C7" s="215"/>
      <c r="D7" s="729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730"/>
      <c r="X7" s="730"/>
      <c r="Y7" s="730"/>
      <c r="Z7" s="730"/>
      <c r="AA7" s="730"/>
      <c r="AB7" s="730"/>
      <c r="AC7" s="73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1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S7" sqref="S7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7" t="s">
        <v>1530</v>
      </c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727"/>
      <c r="R3" s="727"/>
      <c r="S3" s="727"/>
      <c r="T3" s="727"/>
      <c r="U3" s="727"/>
      <c r="V3" s="727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32" t="s">
        <v>1638</v>
      </c>
      <c r="D6" s="732"/>
      <c r="E6" s="732"/>
      <c r="F6" s="732"/>
      <c r="G6" s="732"/>
      <c r="H6" s="732"/>
      <c r="I6" s="732"/>
      <c r="J6" s="732"/>
      <c r="K6" s="732"/>
      <c r="L6" s="732"/>
      <c r="M6" s="732"/>
      <c r="W6" s="182"/>
      <c r="Y6" s="432"/>
      <c r="Z6" s="432"/>
      <c r="AA6" s="432"/>
      <c r="AB6" s="433"/>
      <c r="AC6" s="433"/>
    </row>
    <row r="7" spans="1:29" ht="18" customHeight="1">
      <c r="A7" s="181"/>
      <c r="C7" s="732"/>
      <c r="D7" s="732"/>
      <c r="E7" s="732"/>
      <c r="F7" s="732"/>
      <c r="G7" s="732"/>
      <c r="H7" s="732"/>
      <c r="I7" s="732"/>
      <c r="J7" s="732"/>
      <c r="K7" s="732"/>
      <c r="L7" s="732"/>
      <c r="M7" s="732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2023-02-27T08:00:50Z</cp:lastPrinted>
  <dcterms:created xsi:type="dcterms:W3CDTF">2011-02-06T11:57:38Z</dcterms:created>
  <dcterms:modified xsi:type="dcterms:W3CDTF">2024-03-15T02:55:31Z</dcterms:modified>
</cp:coreProperties>
</file>