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4CB5221A-39EB-4465-ADCE-478022043CAE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RAB!$A$1:$K$238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97" i="11" l="1"/>
  <c r="F196" i="11"/>
  <c r="F195" i="11"/>
  <c r="F194" i="11"/>
  <c r="F193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0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G107" i="11"/>
  <c r="E107" i="11"/>
  <c r="D107" i="11"/>
  <c r="H107" i="11" s="1"/>
  <c r="G106" i="11"/>
  <c r="E106" i="11"/>
  <c r="D106" i="11"/>
  <c r="G105" i="11"/>
  <c r="E105" i="11"/>
  <c r="D105" i="11"/>
  <c r="J105" i="11" s="1"/>
  <c r="G104" i="11"/>
  <c r="E104" i="11"/>
  <c r="D104" i="11"/>
  <c r="H104" i="11" s="1"/>
  <c r="G103" i="11"/>
  <c r="E103" i="11"/>
  <c r="D103" i="11"/>
  <c r="H103" i="11" s="1"/>
  <c r="G102" i="11"/>
  <c r="E102" i="11"/>
  <c r="D102" i="11"/>
  <c r="G101" i="11"/>
  <c r="E101" i="11"/>
  <c r="D101" i="11"/>
  <c r="J101" i="11" s="1"/>
  <c r="G100" i="11"/>
  <c r="E100" i="11"/>
  <c r="D100" i="11"/>
  <c r="H100" i="11" s="1"/>
  <c r="G99" i="11"/>
  <c r="E99" i="11"/>
  <c r="D99" i="11"/>
  <c r="H99" i="11" s="1"/>
  <c r="G98" i="11"/>
  <c r="E98" i="11"/>
  <c r="D98" i="11"/>
  <c r="G97" i="11"/>
  <c r="E97" i="11"/>
  <c r="D97" i="11"/>
  <c r="J97" i="11" s="1"/>
  <c r="G96" i="11"/>
  <c r="E96" i="11"/>
  <c r="D96" i="11"/>
  <c r="H96" i="11" s="1"/>
  <c r="G95" i="11"/>
  <c r="E95" i="11"/>
  <c r="D95" i="11"/>
  <c r="H95" i="11" s="1"/>
  <c r="G94" i="11"/>
  <c r="E94" i="11"/>
  <c r="D94" i="11"/>
  <c r="J94" i="11" s="1"/>
  <c r="G93" i="11"/>
  <c r="E93" i="11"/>
  <c r="D93" i="11"/>
  <c r="J93" i="11" s="1"/>
  <c r="G92" i="11"/>
  <c r="E92" i="11"/>
  <c r="D92" i="11"/>
  <c r="G91" i="11"/>
  <c r="E91" i="11"/>
  <c r="D91" i="11"/>
  <c r="H91" i="11" s="1"/>
  <c r="G90" i="11"/>
  <c r="E90" i="11"/>
  <c r="D90" i="11"/>
  <c r="J90" i="11" s="1"/>
  <c r="G89" i="11"/>
  <c r="E89" i="11"/>
  <c r="D89" i="11"/>
  <c r="J89" i="11" s="1"/>
  <c r="G88" i="11"/>
  <c r="E88" i="11"/>
  <c r="D88" i="11"/>
  <c r="J88" i="11" s="1"/>
  <c r="G87" i="11"/>
  <c r="E87" i="11"/>
  <c r="D87" i="11"/>
  <c r="G86" i="11"/>
  <c r="E86" i="11"/>
  <c r="D86" i="11"/>
  <c r="I86" i="11" s="1"/>
  <c r="G85" i="11"/>
  <c r="E85" i="11"/>
  <c r="D85" i="11"/>
  <c r="J85" i="11" s="1"/>
  <c r="G84" i="11"/>
  <c r="E84" i="11"/>
  <c r="D84" i="11"/>
  <c r="I84" i="11" s="1"/>
  <c r="G83" i="11"/>
  <c r="E83" i="11"/>
  <c r="D83" i="11"/>
  <c r="H83" i="11" s="1"/>
  <c r="W104" i="64"/>
  <c r="N16" i="60"/>
  <c r="Y92" i="64"/>
  <c r="E62" i="64"/>
  <c r="E151" i="11"/>
  <c r="E152" i="11"/>
  <c r="H89" i="11" l="1"/>
  <c r="H90" i="11"/>
  <c r="J106" i="11"/>
  <c r="H87" i="11"/>
  <c r="I98" i="11"/>
  <c r="I92" i="11"/>
  <c r="I102" i="11"/>
  <c r="J84" i="11"/>
  <c r="H85" i="11"/>
  <c r="H86" i="11"/>
  <c r="I88" i="11"/>
  <c r="J92" i="11"/>
  <c r="H93" i="11"/>
  <c r="H94" i="11"/>
  <c r="I96" i="11"/>
  <c r="J96" i="11"/>
  <c r="H97" i="11"/>
  <c r="H98" i="11"/>
  <c r="I100" i="11"/>
  <c r="J100" i="11"/>
  <c r="H101" i="11"/>
  <c r="H102" i="11"/>
  <c r="I104" i="11"/>
  <c r="J104" i="11"/>
  <c r="H105" i="11"/>
  <c r="H106" i="11"/>
  <c r="I83" i="11"/>
  <c r="I91" i="11"/>
  <c r="I95" i="11"/>
  <c r="I103" i="11"/>
  <c r="J87" i="11"/>
  <c r="I90" i="11"/>
  <c r="K90" i="11" s="1"/>
  <c r="I94" i="11"/>
  <c r="J99" i="11"/>
  <c r="J103" i="11"/>
  <c r="I106" i="11"/>
  <c r="H84" i="11"/>
  <c r="I85" i="11"/>
  <c r="K85" i="11" s="1"/>
  <c r="J86" i="11"/>
  <c r="H88" i="11"/>
  <c r="I89" i="11"/>
  <c r="K89" i="11" s="1"/>
  <c r="H92" i="11"/>
  <c r="I93" i="11"/>
  <c r="I97" i="11"/>
  <c r="J98" i="11"/>
  <c r="I101" i="11"/>
  <c r="J102" i="11"/>
  <c r="I105" i="11"/>
  <c r="I87" i="11"/>
  <c r="I99" i="11"/>
  <c r="I107" i="11"/>
  <c r="J83" i="11"/>
  <c r="K83" i="11" s="1"/>
  <c r="J91" i="11"/>
  <c r="J95" i="11"/>
  <c r="J107" i="11"/>
  <c r="E7" i="64"/>
  <c r="K98" i="11" l="1"/>
  <c r="K92" i="11"/>
  <c r="K102" i="11"/>
  <c r="K107" i="11"/>
  <c r="K93" i="11"/>
  <c r="K86" i="11"/>
  <c r="K94" i="11"/>
  <c r="K99" i="11"/>
  <c r="K84" i="11"/>
  <c r="K106" i="11"/>
  <c r="K88" i="11"/>
  <c r="K103" i="11"/>
  <c r="K104" i="11"/>
  <c r="K100" i="11"/>
  <c r="K96" i="11"/>
  <c r="K101" i="11"/>
  <c r="K91" i="11"/>
  <c r="K87" i="11"/>
  <c r="K105" i="11"/>
  <c r="K97" i="11"/>
  <c r="K95" i="11"/>
  <c r="F154" i="11"/>
  <c r="F153" i="11"/>
  <c r="F152" i="11"/>
  <c r="F151" i="11"/>
  <c r="D150" i="11"/>
  <c r="J150" i="11" s="1"/>
  <c r="E150" i="11"/>
  <c r="G150" i="11"/>
  <c r="D151" i="11"/>
  <c r="J151" i="11" s="1"/>
  <c r="G151" i="11"/>
  <c r="D152" i="11"/>
  <c r="H152" i="11" s="1"/>
  <c r="G152" i="11"/>
  <c r="D153" i="11"/>
  <c r="J153" i="11" s="1"/>
  <c r="E153" i="11"/>
  <c r="G153" i="11"/>
  <c r="D154" i="11"/>
  <c r="H154" i="11" s="1"/>
  <c r="E154" i="11"/>
  <c r="G154" i="11"/>
  <c r="D156" i="11"/>
  <c r="J156" i="11" s="1"/>
  <c r="E156" i="11"/>
  <c r="G156" i="11"/>
  <c r="D157" i="11"/>
  <c r="H157" i="11" s="1"/>
  <c r="E157" i="11"/>
  <c r="G157" i="11"/>
  <c r="D158" i="11"/>
  <c r="H158" i="11" s="1"/>
  <c r="E158" i="11"/>
  <c r="G158" i="11"/>
  <c r="F136" i="11"/>
  <c r="F130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D60" i="11"/>
  <c r="J60" i="11" s="1"/>
  <c r="E60" i="11"/>
  <c r="G60" i="11"/>
  <c r="D61" i="11"/>
  <c r="J61" i="11" s="1"/>
  <c r="E61" i="11"/>
  <c r="G61" i="11"/>
  <c r="D62" i="11"/>
  <c r="E62" i="11"/>
  <c r="G62" i="11"/>
  <c r="D63" i="11"/>
  <c r="E63" i="11"/>
  <c r="G63" i="11"/>
  <c r="D64" i="11"/>
  <c r="J64" i="11" s="1"/>
  <c r="E64" i="11"/>
  <c r="G64" i="11"/>
  <c r="D65" i="11"/>
  <c r="E65" i="11"/>
  <c r="G65" i="11"/>
  <c r="D66" i="11"/>
  <c r="H66" i="11" s="1"/>
  <c r="E66" i="11"/>
  <c r="G66" i="11"/>
  <c r="D67" i="11"/>
  <c r="H67" i="11" s="1"/>
  <c r="E67" i="11"/>
  <c r="G67" i="11"/>
  <c r="D68" i="11"/>
  <c r="J68" i="11" s="1"/>
  <c r="E68" i="11"/>
  <c r="G68" i="11"/>
  <c r="D69" i="11"/>
  <c r="E69" i="11"/>
  <c r="G69" i="11"/>
  <c r="D70" i="11"/>
  <c r="H70" i="11" s="1"/>
  <c r="E70" i="11"/>
  <c r="G70" i="11"/>
  <c r="D71" i="11"/>
  <c r="H71" i="11" s="1"/>
  <c r="E71" i="11"/>
  <c r="G71" i="11"/>
  <c r="D72" i="11"/>
  <c r="H72" i="11" s="1"/>
  <c r="E72" i="11"/>
  <c r="G72" i="11"/>
  <c r="D73" i="11"/>
  <c r="E73" i="11"/>
  <c r="G73" i="11"/>
  <c r="D74" i="11"/>
  <c r="H74" i="11" s="1"/>
  <c r="E74" i="11"/>
  <c r="G74" i="11"/>
  <c r="D75" i="11"/>
  <c r="H75" i="11" s="1"/>
  <c r="E75" i="11"/>
  <c r="G75" i="11"/>
  <c r="D76" i="11"/>
  <c r="J76" i="11" s="1"/>
  <c r="E76" i="11"/>
  <c r="G76" i="11"/>
  <c r="D77" i="11"/>
  <c r="E77" i="11"/>
  <c r="G77" i="11"/>
  <c r="D78" i="11"/>
  <c r="H78" i="11" s="1"/>
  <c r="E78" i="11"/>
  <c r="G78" i="11"/>
  <c r="D79" i="11"/>
  <c r="H79" i="11" s="1"/>
  <c r="E79" i="11"/>
  <c r="G79" i="11"/>
  <c r="D80" i="11"/>
  <c r="J80" i="11" s="1"/>
  <c r="E80" i="11"/>
  <c r="G80" i="11"/>
  <c r="D81" i="11"/>
  <c r="E81" i="11"/>
  <c r="G81" i="11"/>
  <c r="D82" i="11"/>
  <c r="H82" i="11" s="1"/>
  <c r="E82" i="11"/>
  <c r="G82" i="11"/>
  <c r="J154" i="11" l="1"/>
  <c r="I152" i="11"/>
  <c r="I154" i="11"/>
  <c r="I158" i="11"/>
  <c r="I150" i="11"/>
  <c r="J157" i="11"/>
  <c r="I157" i="11"/>
  <c r="J152" i="11"/>
  <c r="H150" i="11"/>
  <c r="I153" i="11"/>
  <c r="J158" i="11"/>
  <c r="H153" i="11"/>
  <c r="H156" i="11"/>
  <c r="H151" i="11"/>
  <c r="I156" i="11"/>
  <c r="I151" i="11"/>
  <c r="I73" i="11"/>
  <c r="H62" i="11"/>
  <c r="H63" i="11"/>
  <c r="I64" i="11"/>
  <c r="J66" i="11"/>
  <c r="J72" i="11"/>
  <c r="I66" i="11"/>
  <c r="H64" i="11"/>
  <c r="J79" i="11"/>
  <c r="J71" i="11"/>
  <c r="I79" i="11"/>
  <c r="I71" i="11"/>
  <c r="I76" i="11"/>
  <c r="I60" i="11"/>
  <c r="J82" i="11"/>
  <c r="J78" i="11"/>
  <c r="J70" i="11"/>
  <c r="I82" i="11"/>
  <c r="I78" i="11"/>
  <c r="I75" i="11"/>
  <c r="I70" i="11"/>
  <c r="J75" i="11"/>
  <c r="I74" i="11"/>
  <c r="I80" i="11"/>
  <c r="I72" i="11"/>
  <c r="J67" i="11"/>
  <c r="J62" i="11"/>
  <c r="H60" i="11"/>
  <c r="J74" i="11"/>
  <c r="J63" i="11"/>
  <c r="H80" i="11"/>
  <c r="H76" i="11"/>
  <c r="H68" i="11"/>
  <c r="I63" i="11"/>
  <c r="I67" i="11"/>
  <c r="I62" i="11"/>
  <c r="I61" i="11"/>
  <c r="I68" i="11"/>
  <c r="J65" i="11"/>
  <c r="H65" i="11"/>
  <c r="J69" i="11"/>
  <c r="H69" i="11"/>
  <c r="J81" i="11"/>
  <c r="H81" i="11"/>
  <c r="I81" i="11"/>
  <c r="J77" i="11"/>
  <c r="H77" i="11"/>
  <c r="I65" i="11"/>
  <c r="I69" i="11"/>
  <c r="I77" i="11"/>
  <c r="J73" i="11"/>
  <c r="H73" i="11"/>
  <c r="H61" i="11"/>
  <c r="F148" i="11"/>
  <c r="F146" i="11"/>
  <c r="F145" i="11"/>
  <c r="F147" i="11" s="1"/>
  <c r="G141" i="11"/>
  <c r="G142" i="11"/>
  <c r="G143" i="11"/>
  <c r="G144" i="11"/>
  <c r="G145" i="11"/>
  <c r="G146" i="11"/>
  <c r="G147" i="11"/>
  <c r="G148" i="11"/>
  <c r="G149" i="11"/>
  <c r="G159" i="11"/>
  <c r="D141" i="11"/>
  <c r="H141" i="11" s="1"/>
  <c r="E141" i="11"/>
  <c r="D142" i="11"/>
  <c r="J142" i="11" s="1"/>
  <c r="E142" i="11"/>
  <c r="D143" i="11"/>
  <c r="I143" i="11" s="1"/>
  <c r="E143" i="11"/>
  <c r="D144" i="11"/>
  <c r="H144" i="11" s="1"/>
  <c r="E144" i="11"/>
  <c r="D145" i="11"/>
  <c r="E145" i="11"/>
  <c r="D146" i="11"/>
  <c r="J146" i="11" s="1"/>
  <c r="E146" i="11"/>
  <c r="D147" i="11"/>
  <c r="E147" i="11"/>
  <c r="D148" i="11"/>
  <c r="H148" i="11" s="1"/>
  <c r="E148" i="11"/>
  <c r="D149" i="11"/>
  <c r="H149" i="11" s="1"/>
  <c r="E149" i="11"/>
  <c r="K78" i="11" l="1"/>
  <c r="K154" i="11"/>
  <c r="K153" i="11"/>
  <c r="K150" i="11"/>
  <c r="K158" i="11"/>
  <c r="K152" i="11"/>
  <c r="K157" i="11"/>
  <c r="K151" i="11"/>
  <c r="K156" i="11"/>
  <c r="K66" i="11"/>
  <c r="K64" i="11"/>
  <c r="K60" i="11"/>
  <c r="K72" i="11"/>
  <c r="K62" i="11"/>
  <c r="K79" i="11"/>
  <c r="K82" i="11"/>
  <c r="K70" i="11"/>
  <c r="K76" i="11"/>
  <c r="K71" i="11"/>
  <c r="K67" i="11"/>
  <c r="K63" i="11"/>
  <c r="K75" i="11"/>
  <c r="K74" i="11"/>
  <c r="K69" i="11"/>
  <c r="K61" i="11"/>
  <c r="K80" i="11"/>
  <c r="K68" i="11"/>
  <c r="K77" i="11"/>
  <c r="K81" i="11"/>
  <c r="K73" i="11"/>
  <c r="K65" i="11"/>
  <c r="H145" i="11"/>
  <c r="I147" i="11"/>
  <c r="J145" i="11"/>
  <c r="H147" i="11"/>
  <c r="J149" i="11"/>
  <c r="J141" i="11"/>
  <c r="H143" i="11"/>
  <c r="I146" i="11"/>
  <c r="I142" i="11"/>
  <c r="I149" i="11"/>
  <c r="J148" i="11"/>
  <c r="H146" i="11"/>
  <c r="I145" i="11"/>
  <c r="J144" i="11"/>
  <c r="H142" i="11"/>
  <c r="I141" i="11"/>
  <c r="I148" i="11"/>
  <c r="J147" i="11"/>
  <c r="I144" i="11"/>
  <c r="J143" i="11"/>
  <c r="K148" i="11" l="1"/>
  <c r="K145" i="11"/>
  <c r="K149" i="11"/>
  <c r="K144" i="11"/>
  <c r="K142" i="11"/>
  <c r="K147" i="11"/>
  <c r="K143" i="11"/>
  <c r="K141" i="11"/>
  <c r="K146" i="11"/>
  <c r="G6" i="11" l="1"/>
  <c r="W103" i="64" s="1"/>
  <c r="F140" i="11"/>
  <c r="F139" i="11"/>
  <c r="F138" i="11"/>
  <c r="F137" i="11"/>
  <c r="F134" i="11"/>
  <c r="F133" i="11"/>
  <c r="F132" i="11"/>
  <c r="F131" i="11"/>
  <c r="F128" i="11"/>
  <c r="F127" i="11"/>
  <c r="F126" i="11"/>
  <c r="F125" i="11"/>
  <c r="F124" i="11"/>
  <c r="F123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6" i="11"/>
  <c r="G137" i="11"/>
  <c r="G138" i="11"/>
  <c r="G139" i="11"/>
  <c r="G140" i="11"/>
  <c r="D119" i="11"/>
  <c r="H119" i="11" s="1"/>
  <c r="E119" i="11"/>
  <c r="D120" i="11"/>
  <c r="J120" i="11" s="1"/>
  <c r="E120" i="11"/>
  <c r="D121" i="11"/>
  <c r="I121" i="11" s="1"/>
  <c r="E121" i="11"/>
  <c r="D122" i="11"/>
  <c r="H122" i="11" s="1"/>
  <c r="E122" i="11"/>
  <c r="D123" i="11"/>
  <c r="H123" i="11" s="1"/>
  <c r="E123" i="11"/>
  <c r="D124" i="11"/>
  <c r="J124" i="11" s="1"/>
  <c r="E124" i="11"/>
  <c r="D125" i="11"/>
  <c r="E125" i="11"/>
  <c r="D126" i="11"/>
  <c r="H126" i="11" s="1"/>
  <c r="E126" i="11"/>
  <c r="D127" i="11"/>
  <c r="H127" i="11" s="1"/>
  <c r="E127" i="11"/>
  <c r="D128" i="11"/>
  <c r="E128" i="11"/>
  <c r="D129" i="11"/>
  <c r="I129" i="11" s="1"/>
  <c r="E129" i="11"/>
  <c r="D130" i="11"/>
  <c r="H130" i="11" s="1"/>
  <c r="E130" i="11"/>
  <c r="D131" i="11"/>
  <c r="H131" i="11" s="1"/>
  <c r="E131" i="11"/>
  <c r="D132" i="11"/>
  <c r="J132" i="11" s="1"/>
  <c r="E132" i="11"/>
  <c r="D133" i="11"/>
  <c r="E133" i="11"/>
  <c r="D134" i="11"/>
  <c r="H134" i="11" s="1"/>
  <c r="E134" i="11"/>
  <c r="D136" i="11"/>
  <c r="H136" i="11" s="1"/>
  <c r="E136" i="11"/>
  <c r="D137" i="11"/>
  <c r="J137" i="11" s="1"/>
  <c r="E137" i="11"/>
  <c r="D138" i="11"/>
  <c r="E138" i="11"/>
  <c r="D139" i="11"/>
  <c r="H139" i="11" s="1"/>
  <c r="E139" i="11"/>
  <c r="D140" i="11"/>
  <c r="H140" i="11" s="1"/>
  <c r="E140" i="11"/>
  <c r="F213" i="11"/>
  <c r="F212" i="11"/>
  <c r="F211" i="11"/>
  <c r="F210" i="11"/>
  <c r="F209" i="11"/>
  <c r="F206" i="11"/>
  <c r="F205" i="11"/>
  <c r="F204" i="11"/>
  <c r="F203" i="11"/>
  <c r="F202" i="11"/>
  <c r="F201" i="11"/>
  <c r="F200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8" i="11"/>
  <c r="G209" i="11"/>
  <c r="G210" i="11"/>
  <c r="G211" i="11"/>
  <c r="G212" i="11"/>
  <c r="G213" i="11"/>
  <c r="G214" i="11"/>
  <c r="G215" i="11"/>
  <c r="G216" i="11"/>
  <c r="D189" i="11"/>
  <c r="H189" i="11" s="1"/>
  <c r="E189" i="11"/>
  <c r="D190" i="11"/>
  <c r="J190" i="11" s="1"/>
  <c r="E190" i="11"/>
  <c r="D191" i="11"/>
  <c r="I191" i="11" s="1"/>
  <c r="E191" i="11"/>
  <c r="D192" i="11"/>
  <c r="H192" i="11" s="1"/>
  <c r="E192" i="11"/>
  <c r="D193" i="11"/>
  <c r="E193" i="11"/>
  <c r="D194" i="11"/>
  <c r="J194" i="11" s="1"/>
  <c r="E194" i="11"/>
  <c r="D195" i="11"/>
  <c r="E195" i="11"/>
  <c r="D196" i="11"/>
  <c r="E196" i="11"/>
  <c r="D197" i="11"/>
  <c r="H197" i="11" s="1"/>
  <c r="E197" i="11"/>
  <c r="D198" i="11"/>
  <c r="I198" i="11" s="1"/>
  <c r="E198" i="11"/>
  <c r="D199" i="11"/>
  <c r="H199" i="11" s="1"/>
  <c r="E199" i="11"/>
  <c r="D200" i="11"/>
  <c r="H200" i="11" s="1"/>
  <c r="E200" i="11"/>
  <c r="D201" i="11"/>
  <c r="J201" i="11" s="1"/>
  <c r="E201" i="11"/>
  <c r="D202" i="11"/>
  <c r="E202" i="11"/>
  <c r="D203" i="11"/>
  <c r="H203" i="11" s="1"/>
  <c r="E203" i="11"/>
  <c r="D204" i="11"/>
  <c r="H204" i="11" s="1"/>
  <c r="E204" i="11"/>
  <c r="D205" i="11"/>
  <c r="J205" i="11" s="1"/>
  <c r="E205" i="11"/>
  <c r="D206" i="11"/>
  <c r="E206" i="11"/>
  <c r="D208" i="11"/>
  <c r="H208" i="11" s="1"/>
  <c r="E208" i="11"/>
  <c r="D209" i="11"/>
  <c r="H209" i="11" s="1"/>
  <c r="E209" i="11"/>
  <c r="D210" i="11"/>
  <c r="J210" i="11" s="1"/>
  <c r="E210" i="11"/>
  <c r="D211" i="11"/>
  <c r="E211" i="11"/>
  <c r="D212" i="11"/>
  <c r="H212" i="11" s="1"/>
  <c r="E212" i="11"/>
  <c r="D213" i="11"/>
  <c r="H213" i="11" s="1"/>
  <c r="E213" i="11"/>
  <c r="D214" i="11"/>
  <c r="J214" i="11" s="1"/>
  <c r="E214" i="11"/>
  <c r="F188" i="11"/>
  <c r="F187" i="11"/>
  <c r="F186" i="11"/>
  <c r="F185" i="11"/>
  <c r="F184" i="11"/>
  <c r="F183" i="11"/>
  <c r="F182" i="11"/>
  <c r="F181" i="11"/>
  <c r="F180" i="11"/>
  <c r="D159" i="11"/>
  <c r="E159" i="11"/>
  <c r="D160" i="11"/>
  <c r="E160" i="11"/>
  <c r="G160" i="11"/>
  <c r="D161" i="11"/>
  <c r="H161" i="11" s="1"/>
  <c r="E161" i="11"/>
  <c r="G161" i="11"/>
  <c r="D162" i="11"/>
  <c r="J162" i="11" s="1"/>
  <c r="E162" i="11"/>
  <c r="G162" i="11"/>
  <c r="D163" i="11"/>
  <c r="J163" i="11" s="1"/>
  <c r="E163" i="11"/>
  <c r="G163" i="11"/>
  <c r="D164" i="11"/>
  <c r="I164" i="11" s="1"/>
  <c r="E164" i="11"/>
  <c r="G164" i="11"/>
  <c r="D165" i="11"/>
  <c r="I165" i="11" s="1"/>
  <c r="E165" i="11"/>
  <c r="G165" i="11"/>
  <c r="D166" i="11"/>
  <c r="H166" i="11" s="1"/>
  <c r="E166" i="11"/>
  <c r="G166" i="11"/>
  <c r="D167" i="11"/>
  <c r="J167" i="11" s="1"/>
  <c r="E167" i="11"/>
  <c r="G167" i="11"/>
  <c r="D168" i="11"/>
  <c r="J168" i="11" s="1"/>
  <c r="E168" i="11"/>
  <c r="G168" i="11"/>
  <c r="D169" i="11"/>
  <c r="H169" i="11" s="1"/>
  <c r="E169" i="11"/>
  <c r="G169" i="11"/>
  <c r="D170" i="11"/>
  <c r="H170" i="11" s="1"/>
  <c r="E170" i="11"/>
  <c r="G170" i="11"/>
  <c r="D171" i="11"/>
  <c r="J171" i="11" s="1"/>
  <c r="E171" i="11"/>
  <c r="G171" i="11"/>
  <c r="D172" i="11"/>
  <c r="J172" i="11" s="1"/>
  <c r="E172" i="11"/>
  <c r="G172" i="11"/>
  <c r="D173" i="11"/>
  <c r="H173" i="11" s="1"/>
  <c r="E173" i="11"/>
  <c r="G173" i="11"/>
  <c r="D174" i="11"/>
  <c r="H174" i="11" s="1"/>
  <c r="E174" i="11"/>
  <c r="G174" i="11"/>
  <c r="D175" i="11"/>
  <c r="J175" i="11" s="1"/>
  <c r="E175" i="11"/>
  <c r="G175" i="11"/>
  <c r="D176" i="11"/>
  <c r="H176" i="11" s="1"/>
  <c r="E176" i="11"/>
  <c r="G176" i="11"/>
  <c r="D177" i="11"/>
  <c r="H177" i="11" s="1"/>
  <c r="E177" i="11"/>
  <c r="G177" i="11"/>
  <c r="D178" i="11"/>
  <c r="J178" i="11" s="1"/>
  <c r="E178" i="11"/>
  <c r="G178" i="11"/>
  <c r="D179" i="11"/>
  <c r="H179" i="11" s="1"/>
  <c r="E179" i="11"/>
  <c r="G179" i="11"/>
  <c r="D180" i="11"/>
  <c r="H180" i="11" s="1"/>
  <c r="E180" i="11"/>
  <c r="G180" i="11"/>
  <c r="D181" i="11"/>
  <c r="J181" i="11" s="1"/>
  <c r="E181" i="11"/>
  <c r="G181" i="11"/>
  <c r="D182" i="11"/>
  <c r="J182" i="11" s="1"/>
  <c r="E182" i="11"/>
  <c r="G182" i="11"/>
  <c r="D183" i="11"/>
  <c r="J183" i="11" s="1"/>
  <c r="E183" i="11"/>
  <c r="G183" i="11"/>
  <c r="D184" i="11"/>
  <c r="H184" i="11" s="1"/>
  <c r="E184" i="11"/>
  <c r="G184" i="11"/>
  <c r="D185" i="11"/>
  <c r="H185" i="11" s="1"/>
  <c r="E185" i="11"/>
  <c r="G185" i="11"/>
  <c r="D186" i="11"/>
  <c r="J186" i="11" s="1"/>
  <c r="E186" i="11"/>
  <c r="G186" i="11"/>
  <c r="D187" i="11"/>
  <c r="J187" i="11" s="1"/>
  <c r="E187" i="11"/>
  <c r="G187" i="11"/>
  <c r="D188" i="11"/>
  <c r="H188" i="11" s="1"/>
  <c r="E188" i="11"/>
  <c r="G188" i="11"/>
  <c r="D215" i="11"/>
  <c r="I215" i="11" s="1"/>
  <c r="E215" i="11"/>
  <c r="D216" i="11"/>
  <c r="H216" i="11" s="1"/>
  <c r="E216" i="11"/>
  <c r="D217" i="11"/>
  <c r="I217" i="11" s="1"/>
  <c r="E217" i="11"/>
  <c r="G217" i="11"/>
  <c r="D117" i="11"/>
  <c r="J117" i="11" s="1"/>
  <c r="E117" i="11"/>
  <c r="G117" i="11"/>
  <c r="F116" i="11"/>
  <c r="F112" i="11"/>
  <c r="F111" i="11"/>
  <c r="F110" i="11"/>
  <c r="F109" i="11"/>
  <c r="D108" i="11"/>
  <c r="J108" i="11" s="1"/>
  <c r="E108" i="11"/>
  <c r="G108" i="11"/>
  <c r="D109" i="11"/>
  <c r="J109" i="11" s="1"/>
  <c r="E109" i="11"/>
  <c r="G109" i="11"/>
  <c r="D110" i="11"/>
  <c r="H110" i="11" s="1"/>
  <c r="E110" i="11"/>
  <c r="G110" i="11"/>
  <c r="D111" i="11"/>
  <c r="H111" i="11" s="1"/>
  <c r="E111" i="11"/>
  <c r="G111" i="11"/>
  <c r="D112" i="11"/>
  <c r="E112" i="11"/>
  <c r="G112" i="11"/>
  <c r="D113" i="11"/>
  <c r="H113" i="11" s="1"/>
  <c r="E113" i="11"/>
  <c r="G113" i="11"/>
  <c r="D114" i="11"/>
  <c r="H114" i="11" s="1"/>
  <c r="E114" i="11"/>
  <c r="G114" i="11"/>
  <c r="D115" i="11"/>
  <c r="J115" i="11" s="1"/>
  <c r="E115" i="11"/>
  <c r="G115" i="11"/>
  <c r="D116" i="11"/>
  <c r="E116" i="11"/>
  <c r="G116" i="11"/>
  <c r="D118" i="11"/>
  <c r="H118" i="11" s="1"/>
  <c r="E118" i="11"/>
  <c r="G118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D52" i="11"/>
  <c r="H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H55" i="11" s="1"/>
  <c r="E55" i="11"/>
  <c r="G55" i="11"/>
  <c r="D56" i="11"/>
  <c r="H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40" i="11"/>
  <c r="J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H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H47" i="11" s="1"/>
  <c r="E47" i="11"/>
  <c r="G47" i="11"/>
  <c r="D48" i="11"/>
  <c r="J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H51" i="11" s="1"/>
  <c r="E51" i="11"/>
  <c r="G51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D16" i="11"/>
  <c r="H16" i="11" s="1"/>
  <c r="E16" i="11"/>
  <c r="G16" i="11"/>
  <c r="D17" i="11"/>
  <c r="J17" i="11" s="1"/>
  <c r="E17" i="11"/>
  <c r="G17" i="11"/>
  <c r="D18" i="11"/>
  <c r="H18" i="11" s="1"/>
  <c r="E18" i="11"/>
  <c r="G18" i="11"/>
  <c r="D19" i="11"/>
  <c r="H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E25" i="11"/>
  <c r="G25" i="11"/>
  <c r="D26" i="11"/>
  <c r="E26" i="11"/>
  <c r="G26" i="11"/>
  <c r="D27" i="11"/>
  <c r="H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H35" i="11" s="1"/>
  <c r="E35" i="11"/>
  <c r="G35" i="11"/>
  <c r="J128" i="11" l="1"/>
  <c r="I159" i="11"/>
  <c r="J159" i="11"/>
  <c r="H159" i="11"/>
  <c r="I133" i="11"/>
  <c r="I138" i="11"/>
  <c r="I125" i="11"/>
  <c r="I137" i="11"/>
  <c r="J134" i="11"/>
  <c r="H132" i="11"/>
  <c r="I120" i="11"/>
  <c r="H137" i="11"/>
  <c r="I124" i="11"/>
  <c r="J122" i="11"/>
  <c r="H120" i="11"/>
  <c r="I128" i="11"/>
  <c r="J126" i="11"/>
  <c r="H124" i="11"/>
  <c r="I132" i="11"/>
  <c r="J130" i="11"/>
  <c r="H128" i="11"/>
  <c r="J140" i="11"/>
  <c r="H138" i="11"/>
  <c r="J136" i="11"/>
  <c r="H133" i="11"/>
  <c r="J131" i="11"/>
  <c r="H129" i="11"/>
  <c r="J127" i="11"/>
  <c r="H125" i="11"/>
  <c r="J123" i="11"/>
  <c r="H121" i="11"/>
  <c r="J119" i="11"/>
  <c r="I211" i="11"/>
  <c r="I206" i="11"/>
  <c r="I202" i="11"/>
  <c r="I140" i="11"/>
  <c r="J139" i="11"/>
  <c r="I136" i="11"/>
  <c r="I131" i="11"/>
  <c r="I127" i="11"/>
  <c r="I123" i="11"/>
  <c r="I119" i="11"/>
  <c r="I139" i="11"/>
  <c r="J138" i="11"/>
  <c r="I134" i="11"/>
  <c r="J133" i="11"/>
  <c r="I130" i="11"/>
  <c r="J129" i="11"/>
  <c r="I126" i="11"/>
  <c r="K126" i="11" s="1"/>
  <c r="J125" i="11"/>
  <c r="I122" i="11"/>
  <c r="J121" i="11"/>
  <c r="H193" i="11"/>
  <c r="H196" i="11"/>
  <c r="I195" i="11"/>
  <c r="J197" i="11"/>
  <c r="I190" i="11"/>
  <c r="J213" i="11"/>
  <c r="I205" i="11"/>
  <c r="H198" i="11"/>
  <c r="I210" i="11"/>
  <c r="H202" i="11"/>
  <c r="J200" i="11"/>
  <c r="I194" i="11"/>
  <c r="I214" i="11"/>
  <c r="H206" i="11"/>
  <c r="J204" i="11"/>
  <c r="H191" i="11"/>
  <c r="J189" i="11"/>
  <c r="J164" i="11"/>
  <c r="H211" i="11"/>
  <c r="J209" i="11"/>
  <c r="I201" i="11"/>
  <c r="H195" i="11"/>
  <c r="J193" i="11"/>
  <c r="H215" i="11"/>
  <c r="J216" i="11"/>
  <c r="H214" i="11"/>
  <c r="I213" i="11"/>
  <c r="J212" i="11"/>
  <c r="H210" i="11"/>
  <c r="I209" i="11"/>
  <c r="J208" i="11"/>
  <c r="H205" i="11"/>
  <c r="I204" i="11"/>
  <c r="J203" i="11"/>
  <c r="H201" i="11"/>
  <c r="I200" i="11"/>
  <c r="J199" i="11"/>
  <c r="I197" i="11"/>
  <c r="J196" i="11"/>
  <c r="H194" i="11"/>
  <c r="I193" i="11"/>
  <c r="J192" i="11"/>
  <c r="H190" i="11"/>
  <c r="I189" i="11"/>
  <c r="I216" i="11"/>
  <c r="J215" i="11"/>
  <c r="I212" i="11"/>
  <c r="J211" i="11"/>
  <c r="I208" i="11"/>
  <c r="J206" i="11"/>
  <c r="I203" i="11"/>
  <c r="J202" i="11"/>
  <c r="I199" i="11"/>
  <c r="J198" i="11"/>
  <c r="I196" i="11"/>
  <c r="J195" i="11"/>
  <c r="I192" i="11"/>
  <c r="J191" i="11"/>
  <c r="I183" i="11"/>
  <c r="H183" i="11"/>
  <c r="J179" i="11"/>
  <c r="H164" i="11"/>
  <c r="J166" i="11"/>
  <c r="I162" i="11"/>
  <c r="J174" i="11"/>
  <c r="J217" i="11"/>
  <c r="I179" i="11"/>
  <c r="I177" i="11"/>
  <c r="J176" i="11"/>
  <c r="J185" i="11"/>
  <c r="H160" i="11"/>
  <c r="I185" i="11"/>
  <c r="I176" i="11"/>
  <c r="I174" i="11"/>
  <c r="I160" i="11"/>
  <c r="I168" i="11"/>
  <c r="I166" i="11"/>
  <c r="J170" i="11"/>
  <c r="H168" i="11"/>
  <c r="H165" i="11"/>
  <c r="H162" i="11"/>
  <c r="I161" i="11"/>
  <c r="J160" i="11"/>
  <c r="I181" i="11"/>
  <c r="H187" i="11"/>
  <c r="H172" i="11"/>
  <c r="I170" i="11"/>
  <c r="H217" i="11"/>
  <c r="I184" i="11"/>
  <c r="I169" i="11"/>
  <c r="I187" i="11"/>
  <c r="I172" i="11"/>
  <c r="H181" i="11"/>
  <c r="I180" i="11"/>
  <c r="I188" i="11"/>
  <c r="I173" i="11"/>
  <c r="J188" i="11"/>
  <c r="H186" i="11"/>
  <c r="J184" i="11"/>
  <c r="H182" i="11"/>
  <c r="J180" i="11"/>
  <c r="H178" i="11"/>
  <c r="J177" i="11"/>
  <c r="H175" i="11"/>
  <c r="J173" i="11"/>
  <c r="H171" i="11"/>
  <c r="J169" i="11"/>
  <c r="H167" i="11"/>
  <c r="J165" i="11"/>
  <c r="H163" i="11"/>
  <c r="J161" i="11"/>
  <c r="I186" i="11"/>
  <c r="I182" i="11"/>
  <c r="I178" i="11"/>
  <c r="I167" i="11"/>
  <c r="I175" i="11"/>
  <c r="I171" i="11"/>
  <c r="I163" i="11"/>
  <c r="I117" i="11"/>
  <c r="H117" i="11"/>
  <c r="J111" i="11"/>
  <c r="J113" i="11"/>
  <c r="I115" i="11"/>
  <c r="I113" i="11"/>
  <c r="I111" i="11"/>
  <c r="J116" i="11"/>
  <c r="J112" i="11"/>
  <c r="I118" i="11"/>
  <c r="H115" i="11"/>
  <c r="I114" i="11"/>
  <c r="H109" i="11"/>
  <c r="I108" i="11"/>
  <c r="I109" i="11"/>
  <c r="I116" i="11"/>
  <c r="I112" i="11"/>
  <c r="I110" i="11"/>
  <c r="J118" i="11"/>
  <c r="H116" i="11"/>
  <c r="J114" i="11"/>
  <c r="H112" i="11"/>
  <c r="J110" i="11"/>
  <c r="H108" i="11"/>
  <c r="J52" i="11"/>
  <c r="I52" i="11"/>
  <c r="J59" i="11"/>
  <c r="J58" i="11"/>
  <c r="I43" i="11"/>
  <c r="I59" i="11"/>
  <c r="J54" i="11"/>
  <c r="I58" i="11"/>
  <c r="I57" i="11"/>
  <c r="J56" i="11"/>
  <c r="I54" i="11"/>
  <c r="K54" i="11" s="1"/>
  <c r="J55" i="11"/>
  <c r="I56" i="11"/>
  <c r="I55" i="11"/>
  <c r="I53" i="11"/>
  <c r="H57" i="11"/>
  <c r="H53" i="11"/>
  <c r="J43" i="11"/>
  <c r="J42" i="11"/>
  <c r="J51" i="11"/>
  <c r="J47" i="11"/>
  <c r="I47" i="11"/>
  <c r="J46" i="11"/>
  <c r="I51" i="11"/>
  <c r="J50" i="11"/>
  <c r="I48" i="11"/>
  <c r="I44" i="11"/>
  <c r="I40" i="11"/>
  <c r="I50" i="11"/>
  <c r="H48" i="11"/>
  <c r="I46" i="11"/>
  <c r="H44" i="11"/>
  <c r="I42" i="11"/>
  <c r="H40" i="11"/>
  <c r="I45" i="11"/>
  <c r="I41" i="11"/>
  <c r="I49" i="11"/>
  <c r="H26" i="11"/>
  <c r="H49" i="11"/>
  <c r="H45" i="11"/>
  <c r="H41" i="11"/>
  <c r="H25" i="11"/>
  <c r="J30" i="11"/>
  <c r="I30" i="11"/>
  <c r="J29" i="11"/>
  <c r="J26" i="11"/>
  <c r="J33" i="11"/>
  <c r="J16" i="11"/>
  <c r="I26" i="11"/>
  <c r="I35" i="11"/>
  <c r="J34" i="11"/>
  <c r="J22" i="11"/>
  <c r="I31" i="11"/>
  <c r="I27" i="11"/>
  <c r="J19" i="11"/>
  <c r="I34" i="11"/>
  <c r="I22" i="11"/>
  <c r="J21" i="11"/>
  <c r="I19" i="11"/>
  <c r="J18" i="11"/>
  <c r="I16" i="11"/>
  <c r="J35" i="11"/>
  <c r="I33" i="11"/>
  <c r="I32" i="11"/>
  <c r="J31" i="11"/>
  <c r="I29" i="11"/>
  <c r="I28" i="11"/>
  <c r="J27" i="11"/>
  <c r="I25" i="11"/>
  <c r="I24" i="11"/>
  <c r="J23" i="11"/>
  <c r="I21" i="11"/>
  <c r="I20" i="11"/>
  <c r="I23" i="11"/>
  <c r="I18" i="11"/>
  <c r="I17" i="11"/>
  <c r="J25" i="11"/>
  <c r="H32" i="11"/>
  <c r="H28" i="11"/>
  <c r="H24" i="11"/>
  <c r="H20" i="11"/>
  <c r="H17" i="11"/>
  <c r="K120" i="11" l="1"/>
  <c r="K134" i="11"/>
  <c r="K137" i="11"/>
  <c r="K159" i="11"/>
  <c r="K111" i="11"/>
  <c r="K123" i="11"/>
  <c r="K198" i="11"/>
  <c r="K212" i="11"/>
  <c r="K189" i="11"/>
  <c r="K190" i="11"/>
  <c r="K124" i="11"/>
  <c r="K128" i="11"/>
  <c r="K131" i="11"/>
  <c r="K132" i="11"/>
  <c r="K130" i="11"/>
  <c r="K139" i="11"/>
  <c r="K140" i="11"/>
  <c r="K119" i="11"/>
  <c r="K209" i="11"/>
  <c r="K214" i="11"/>
  <c r="K191" i="11"/>
  <c r="K136" i="11"/>
  <c r="K202" i="11"/>
  <c r="K210" i="11"/>
  <c r="K122" i="11"/>
  <c r="K127" i="11"/>
  <c r="K125" i="11"/>
  <c r="K121" i="11"/>
  <c r="K129" i="11"/>
  <c r="K138" i="11"/>
  <c r="K133" i="11"/>
  <c r="K196" i="11"/>
  <c r="K197" i="11"/>
  <c r="K208" i="11"/>
  <c r="K176" i="11"/>
  <c r="K192" i="11"/>
  <c r="K206" i="11"/>
  <c r="K201" i="11"/>
  <c r="K213" i="11"/>
  <c r="K199" i="11"/>
  <c r="K216" i="11"/>
  <c r="K188" i="11"/>
  <c r="K177" i="11"/>
  <c r="K179" i="11"/>
  <c r="K195" i="11"/>
  <c r="K204" i="11"/>
  <c r="K164" i="11"/>
  <c r="K203" i="11"/>
  <c r="K200" i="11"/>
  <c r="K205" i="11"/>
  <c r="K217" i="11"/>
  <c r="K174" i="11"/>
  <c r="K193" i="11"/>
  <c r="K211" i="11"/>
  <c r="K194" i="11"/>
  <c r="K173" i="11"/>
  <c r="K183" i="11"/>
  <c r="K166" i="11"/>
  <c r="K215" i="11"/>
  <c r="K181" i="11"/>
  <c r="K160" i="11"/>
  <c r="K165" i="11"/>
  <c r="K162" i="11"/>
  <c r="K168" i="11"/>
  <c r="K163" i="11"/>
  <c r="K170" i="11"/>
  <c r="K185" i="11"/>
  <c r="K161" i="11"/>
  <c r="K180" i="11"/>
  <c r="K178" i="11"/>
  <c r="K172" i="11"/>
  <c r="K117" i="11"/>
  <c r="K187" i="11"/>
  <c r="K169" i="11"/>
  <c r="K184" i="11"/>
  <c r="K186" i="11"/>
  <c r="K167" i="11"/>
  <c r="K175" i="11"/>
  <c r="K182" i="11"/>
  <c r="K171" i="11"/>
  <c r="K115" i="11"/>
  <c r="K113" i="11"/>
  <c r="K108" i="11"/>
  <c r="K118" i="11"/>
  <c r="K114" i="11"/>
  <c r="K109" i="11"/>
  <c r="K59" i="11"/>
  <c r="K112" i="11"/>
  <c r="K116" i="11"/>
  <c r="K58" i="11"/>
  <c r="K110" i="11"/>
  <c r="K53" i="11"/>
  <c r="K52" i="11"/>
  <c r="K49" i="11"/>
  <c r="K56" i="11"/>
  <c r="K43" i="11"/>
  <c r="K50" i="11"/>
  <c r="K57" i="11"/>
  <c r="K55" i="11"/>
  <c r="K47" i="11"/>
  <c r="K40" i="11"/>
  <c r="K42" i="11"/>
  <c r="K51" i="11"/>
  <c r="K48" i="11"/>
  <c r="K44" i="11"/>
  <c r="K30" i="11"/>
  <c r="K41" i="11"/>
  <c r="K46" i="11"/>
  <c r="K45" i="11"/>
  <c r="K16" i="11"/>
  <c r="K22" i="11"/>
  <c r="K26" i="11"/>
  <c r="K34" i="11"/>
  <c r="K29" i="11"/>
  <c r="K20" i="11"/>
  <c r="K21" i="11"/>
  <c r="K27" i="11"/>
  <c r="K19" i="11"/>
  <c r="K33" i="11"/>
  <c r="K17" i="11"/>
  <c r="K35" i="11"/>
  <c r="K24" i="11"/>
  <c r="K28" i="11"/>
  <c r="K23" i="11"/>
  <c r="K18" i="11"/>
  <c r="K31" i="11"/>
  <c r="K32" i="11"/>
  <c r="K25" i="11"/>
  <c r="D21" i="59" l="1"/>
  <c r="K6" i="60"/>
  <c r="D36" i="11"/>
  <c r="H36" i="11" s="1"/>
  <c r="E36" i="11"/>
  <c r="G36" i="11"/>
  <c r="D37" i="11"/>
  <c r="H37" i="11" s="1"/>
  <c r="E37" i="11"/>
  <c r="G37" i="11"/>
  <c r="D38" i="11"/>
  <c r="E38" i="11"/>
  <c r="G38" i="11"/>
  <c r="D39" i="11"/>
  <c r="H39" i="11" s="1"/>
  <c r="E39" i="11"/>
  <c r="G39" i="11"/>
  <c r="J38" i="11" l="1"/>
  <c r="J37" i="11"/>
  <c r="I39" i="11"/>
  <c r="I37" i="11"/>
  <c r="J36" i="11"/>
  <c r="I36" i="11"/>
  <c r="J39" i="11"/>
  <c r="I38" i="11"/>
  <c r="H38" i="11"/>
  <c r="K36" i="11" l="1"/>
  <c r="K37" i="11"/>
  <c r="K38" i="11"/>
  <c r="K39" i="11"/>
  <c r="D15" i="11" l="1"/>
  <c r="H15" i="11" s="1"/>
  <c r="E15" i="11"/>
  <c r="G15" i="11"/>
  <c r="J15" i="11" l="1"/>
  <c r="I15" i="11"/>
  <c r="K15" i="11" l="1"/>
  <c r="D14" i="11" l="1"/>
  <c r="J14" i="11" s="1"/>
  <c r="J218" i="11" s="1"/>
  <c r="E14" i="11"/>
  <c r="G14" i="11"/>
  <c r="K19" i="60"/>
  <c r="D19" i="60"/>
  <c r="H14" i="11" l="1"/>
  <c r="I14" i="11"/>
  <c r="I218" i="11" s="1"/>
  <c r="H218" i="11" l="1"/>
  <c r="K218" i="11" s="1"/>
  <c r="K14" i="1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22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218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18" i="11"/>
  <c r="D219" i="11"/>
  <c r="H219" i="11" s="1"/>
  <c r="E219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219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226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63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18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219" i="11"/>
  <c r="I219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94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219" i="11"/>
  <c r="K221" i="11" s="1"/>
  <c r="E267" i="29" l="1"/>
  <c r="E236" i="29"/>
  <c r="F278" i="29"/>
  <c r="E227" i="29"/>
  <c r="F246" i="29"/>
  <c r="F244" i="29"/>
  <c r="F287" i="29"/>
  <c r="E309" i="29"/>
  <c r="F292" i="29"/>
  <c r="F274" i="29"/>
  <c r="E280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221" i="11"/>
  <c r="H222" i="11" s="1"/>
  <c r="I221" i="11"/>
  <c r="I222" i="11" s="1"/>
  <c r="F330" i="29"/>
  <c r="F325" i="29"/>
  <c r="F714" i="41"/>
  <c r="F345" i="29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E352" i="29"/>
  <c r="E9" i="54"/>
  <c r="L9" i="54" s="1"/>
  <c r="M9" i="54" s="1"/>
  <c r="I10" i="54"/>
  <c r="H10" i="54"/>
  <c r="C11" i="54"/>
  <c r="D10" i="54"/>
  <c r="F339" i="29" l="1"/>
  <c r="F297" i="29"/>
  <c r="F315" i="29"/>
  <c r="F352" i="29"/>
  <c r="F319" i="29"/>
  <c r="F300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223" i="11"/>
  <c r="I223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222" i="1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221" i="11"/>
  <c r="J222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223" i="11"/>
  <c r="B224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23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9" i="41" l="1"/>
  <c r="F787" i="41"/>
  <c r="F805" i="41"/>
  <c r="F790" i="41"/>
  <c r="F842" i="41"/>
  <c r="F809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<sst xmlns="http://schemas.openxmlformats.org/spreadsheetml/2006/main" count="4946" uniqueCount="1657">
  <si>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</si>
  <si>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</si>
  <si>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</si>
  <si>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</si>
  <si>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</si>
  <si>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</si>
  <si>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</si>
  <si>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</si>
  <si>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</si>
  <si>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</si>
  <si>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</si>
  <si>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</si>
  <si>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</si>
  <si>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</si>
  <si>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</si>
  <si>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</si>
  <si>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</si>
  <si>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</si>
  <si>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</si>
  <si>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</si>
  <si>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</si>
  <si>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</si>
  <si>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</si>
  <si>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</si>
  <si>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</si>
  <si>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</si>
  <si>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</si>
  <si>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</si>
  <si>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</si>
  <si>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</si>
  <si>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</si>
  <si>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</si>
  <si>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</si>
  <si>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</si>
  <si>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</si>
  <si>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</si>
  <si>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</si>
  <si>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</si>
  <si>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</si>
  <si>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</si>
  <si>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</si>
  <si>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</si>
  <si>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</si>
  <si>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</si>
  <si>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</si>
  <si>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</si>
  <si>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</si>
  <si>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</si>
  <si>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</si>
  <si>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</si>
  <si>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</si>
  <si>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</si>
  <si>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</si>
  <si>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</si>
  <si>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</si>
  <si>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</si>
  <si>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</si>
  <si>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</si>
  <si>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</si>
  <si>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</si>
  <si>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</si>
  <si>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</si>
  <si>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</si>
  <si>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</si>
  <si>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</si>
  <si>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</si>
  <si>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</si>
  <si>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</si>
  <si>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</si>
  <si>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</si>
  <si>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</si>
  <si>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</si>
  <si>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</si>
  <si>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</si>
  <si>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</si>
  <si>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</si>
  <si>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</si>
  <si>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</si>
  <si>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</si>
  <si>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</si>
  <si>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</si>
  <si>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</si>
  <si>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</si>
  <si>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</si>
  <si>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</si>
  <si>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</si>
  <si>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</si>
  <si>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</si>
  <si>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</si>
  <si>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</si>
  <si>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</si>
  <si>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</si>
  <si>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</si>
  <si>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</si>
  <si>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</si>
  <si>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</si>
  <si>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</si>
  <si>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</si>
  <si>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</si>
  <si>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</si>
  <si>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</si>
  <si>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</si>
  <si>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</si>
  <si>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</si>
  <si>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</si>
  <si>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</si>
  <si>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</si>
  <si>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</si>
  <si>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</si>
  <si>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</si>
  <si>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</si>
  <si>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</si>
  <si>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</si>
  <si>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</si>
  <si>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</si>
  <si>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</si>
  <si>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</si>
  <si>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</si>
  <si>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</si>
  <si>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</si>
  <si>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</si>
  <si>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</si>
  <si>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</si>
  <si>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</si>
  <si>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</si>
  <si>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</si>
  <si>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</si>
  <si>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</si>
  <si>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</si>
  <si>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</si>
  <si>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</si>
  <si>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</si>
  <si>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</si>
  <si>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</si>
  <si>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</si>
  <si>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</si>
  <si>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</si>
  <si>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</si>
  <si>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</si>
  <si>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</si>
  <si>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</si>
  <si>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</si>
  <si>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</si>
  <si>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</si>
  <si>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</si>
  <si>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</si>
  <si>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</si>
  <si>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</si>
  <si>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</si>
  <si>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</si>
  <si>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</si>
  <si>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</si>
  <si>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</si>
  <si>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</si>
  <si>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</si>
  <si>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</si>
  <si>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</si>
  <si>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</si>
  <si>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</si>
  <si>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</si>
  <si>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</si>
  <si>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</si>
  <si>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</si>
  <si>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</si>
  <si>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</si>
  <si>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</si>
  <si>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</si>
  <si>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</si>
  <si>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</si>
  <si>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</si>
  <si>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</si>
  <si>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</si>
  <si>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</si>
  <si>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</si>
  <si>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</si>
  <si>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</si>
  <si>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</si>
  <si>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</si>
  <si>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</si>
  <si>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</si>
  <si>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</si>
  <si>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</si>
  <si>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</si>
  <si>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</si>
  <si>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</si>
  <si>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</si>
  <si>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</si>
  <si>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</si>
  <si>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</si>
  <si>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</si>
  <si>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</si>
  <si>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</si>
  <si>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</si>
  <si>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</si>
  <si>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</si>
  <si>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</si>
  <si>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</si>
  <si>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</si>
  <si>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</si>
  <si>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</si>
  <si>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</si>
  <si>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</si>
  <si>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</si>
  <si>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</si>
  <si>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</si>
  <si>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</si>
  <si>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</si>
  <si>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</si>
  <si>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</si>
  <si>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</si>
  <si>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</si>
  <si>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</si>
  <si>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</si>
  <si>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</si>
  <si>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</si>
  <si>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</si>
  <si>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</si>
  <si>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</si>
  <si>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</si>
  <si>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</si>
  <si>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</si>
  <si>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</si>
  <si>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</si>
  <si>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</si>
  <si>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</si>
  <si>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</si>
  <si>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</si>
  <si>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</si>
  <si>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</si>
  <si>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</si>
  <si>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</si>
  <si>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</si>
  <si>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</si>
  <si>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</si>
  <si>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</si>
  <si>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</si>
  <si>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</si>
  <si>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</si>
  <si>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</si>
  <si>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</si>
  <si>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</si>
  <si>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</si>
  <si>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</si>
  <si>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</si>
  <si>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</si>
  <si>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</si>
  <si>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</si>
  <si>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</si>
  <si>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</si>
  <si>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</si>
  <si>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</si>
  <si>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</si>
  <si>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</si>
  <si>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</si>
  <si>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</si>
  <si>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</si>
  <si>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</si>
  <si>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</si>
  <si>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</si>
  <si>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</si>
  <si>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</si>
  <si>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</si>
  <si>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</si>
  <si>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</si>
  <si>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</si>
  <si>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</si>
  <si>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</si>
  <si>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</si>
  <si>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</si>
  <si>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</si>
  <si>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</si>
  <si>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</si>
  <si>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</si>
  <si>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</si>
  <si>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</si>
  <si>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</si>
  <si>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</si>
  <si>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</si>
  <si>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</si>
  <si>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</si>
  <si>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</si>
  <si>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</si>
  <si>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</si>
  <si>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</si>
  <si>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</si>
  <si>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</si>
  <si>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</si>
  <si>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</si>
  <si>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</si>
  <si>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</si>
  <si>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</si>
  <si>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</si>
  <si>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</si>
  <si>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</si>
  <si>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</si>
  <si>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</si>
  <si>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</si>
  <si>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</si>
  <si>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</si>
  <si>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</si>
  <si>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</si>
  <si>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</si>
  <si>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</si>
  <si>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</si>
  <si>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</si>
  <si>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</si>
  <si>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</si>
  <si>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</si>
  <si>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</si>
  <si>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</si>
  <si>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</si>
  <si>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</si>
  <si>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</si>
  <si>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</si>
  <si>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</si>
  <si>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</si>
  <si>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</si>
  <si>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</si>
  <si>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</si>
  <si>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</si>
  <si>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</si>
  <si>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</si>
  <si>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</si>
  <si>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</si>
  <si>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</si>
  <si>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</si>
  <si>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</si>
  <si>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</si>
  <si>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</si>
  <si>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</si>
  <si>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</si>
  <si>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</si>
  <si>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</si>
  <si>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</si>
  <si>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</si>
  <si>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</si>
  <si>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</si>
  <si>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</si>
  <si>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</si>
  <si>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</si>
  <si>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</si>
  <si>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</si>
  <si>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</si>
  <si>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</si>
  <si>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</si>
  <si>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</si>
  <si>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</si>
  <si>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</si>
  <si>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</si>
  <si>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</si>
  <si>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</si>
  <si>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</si>
  <si>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</si>
  <si>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</si>
  <si>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</si>
  <si>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</si>
  <si>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</si>
  <si>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</si>
  <si>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</si>
  <si>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</si>
  <si>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</si>
  <si>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</si>
  <si>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</si>
  <si>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</si>
  <si>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</si>
  <si>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</si>
  <si>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</si>
  <si>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</si>
  <si>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</si>
  <si>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</si>
  <si>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</si>
  <si>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</si>
  <si>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</si>
  <si>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</si>
  <si>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</si>
  <si>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</si>
  <si>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</si>
  <si>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</si>
  <si>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</si>
  <si>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</si>
  <si>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</si>
  <si>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</si>
  <si>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</si>
  <si>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</si>
  <si>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</si>
  <si>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</si>
  <si>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</si>
  <si>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</si>
  <si>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</si>
  <si>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</si>
  <si>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</si>
  <si>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</si>
  <si>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</si>
  <si>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</si>
  <si>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</si>
  <si>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</si>
  <si>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</si>
  <si>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</si>
  <si>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</si>
  <si>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</si>
  <si>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</si>
  <si>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</si>
  <si>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</si>
  <si>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</si>
  <si>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</si>
  <si>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</si>
  <si>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</si>
  <si>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</si>
  <si>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</si>
  <si>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</si>
  <si>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</si>
  <si>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</si>
  <si>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</si>
  <si>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</si>
  <si>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</si>
  <si>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</si>
  <si>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</si>
  <si>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</si>
  <si>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</si>
  <si>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</si>
  <si>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</si>
  <si>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</si>
  <si>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</si>
  <si>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</si>
  <si>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</si>
  <si>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</si>
  <si>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</si>
  <si>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</si>
  <si>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</si>
  <si>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</si>
  <si>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</si>
  <si>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</si>
  <si>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</si>
  <si>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</si>
  <si>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</si>
  <si>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</si>
  <si>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</si>
  <si>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</si>
  <si>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</si>
  <si>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</si>
  <si>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</si>
  <si>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</si>
  <si>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</si>
  <si>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</si>
  <si>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</si>
  <si>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</si>
  <si>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</si>
  <si>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</si>
  <si>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</si>
  <si>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</si>
  <si>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</si>
  <si>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</si>
  <si>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</si>
  <si>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</si>
  <si>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</si>
  <si>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</si>
  <si>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</si>
  <si>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</si>
  <si>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</si>
  <si>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</si>
  <si>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</si>
  <si>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</si>
  <si>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</si>
  <si>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</si>
  <si>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</si>
  <si>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</si>
  <si>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</si>
  <si>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</si>
  <si>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</si>
  <si>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</si>
  <si>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</si>
  <si>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</si>
  <si>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</si>
  <si>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</si>
  <si>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</si>
  <si>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</si>
  <si>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</si>
  <si>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</si>
  <si>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</si>
  <si>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</si>
  <si>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</si>
  <si>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</si>
  <si>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</si>
  <si>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</si>
  <si>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</si>
  <si>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</si>
  <si>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</si>
  <si>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</si>
  <si>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</si>
  <si>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</si>
  <si>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</si>
  <si>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</si>
  <si>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</si>
  <si>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</si>
  <si>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</si>
  <si>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</si>
  <si>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</si>
  <si>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</si>
  <si>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</si>
  <si>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</si>
  <si>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</si>
  <si>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</si>
  <si>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</si>
  <si>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</si>
  <si>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</si>
  <si>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</si>
  <si>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</si>
  <si>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</si>
  <si>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</si>
  <si>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</si>
  <si>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</si>
  <si>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</si>
  <si>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</si>
  <si>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</si>
  <si>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</si>
  <si>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</si>
  <si>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</si>
  <si>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</si>
  <si>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</si>
  <si>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</si>
  <si>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</si>
  <si>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</si>
  <si>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</si>
  <si>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</si>
  <si>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</si>
  <si>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</si>
  <si>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</si>
  <si>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</si>
  <si>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</si>
  <si>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</si>
  <si>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</si>
  <si>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</si>
  <si>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</si>
  <si>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</si>
  <si>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</si>
  <si>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</si>
  <si>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</si>
  <si>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</si>
  <si>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</si>
  <si>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</si>
  <si>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</si>
  <si>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</si>
  <si>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</si>
  <si>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</si>
  <si>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</si>
  <si>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</si>
  <si>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</si>
  <si>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</si>
  <si>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</si>
  <si>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</si>
  <si>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</si>
  <si>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</si>
  <si>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</si>
  <si>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</si>
  <si>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</si>
  <si>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</si>
  <si>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</si>
  <si>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</si>
  <si>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</si>
  <si>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</si>
  <si>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</si>
  <si>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</si>
  <si>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</si>
  <si>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</si>
  <si>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</si>
  <si>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</si>
  <si>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</si>
  <si>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</si>
  <si>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</si>
  <si>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</si>
  <si>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</si>
  <si>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</si>
  <si>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</si>
  <si>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</si>
  <si>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</si>
  <si>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</si>
  <si>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</si>
  <si>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</si>
  <si>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</si>
  <si>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</si>
  <si>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</si>
  <si>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</si>
  <si>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</si>
  <si>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</si>
  <si>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</si>
  <si>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</si>
  <si>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</si>
  <si>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</si>
  <si>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</si>
  <si>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</si>
  <si>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</si>
  <si>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</si>
  <si>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</si>
  <si>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</si>
  <si>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</si>
  <si>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</si>
  <si>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</si>
  <si>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</si>
  <si>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</si>
  <si>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</si>
  <si>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</si>
  <si>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</si>
  <si>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</si>
  <si>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</si>
  <si>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</si>
  <si>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</si>
  <si>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</si>
  <si>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</si>
  <si>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</si>
  <si>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</si>
  <si>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</si>
  <si>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</si>
  <si>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</si>
  <si>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</si>
  <si>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</si>
  <si>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</si>
  <si>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</si>
  <si>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</si>
  <si>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</si>
  <si>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</si>
  <si>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</si>
  <si>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</si>
  <si>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</si>
  <si>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</si>
  <si>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</si>
  <si>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</si>
  <si>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</si>
  <si>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</si>
  <si>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</si>
  <si>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</si>
  <si>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</si>
  <si>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</si>
  <si>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</si>
  <si>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</si>
  <si>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</si>
  <si>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</si>
  <si>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</si>
  <si>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</si>
  <si>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</si>
  <si>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</si>
  <si>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</si>
  <si>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</si>
  <si>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</si>
  <si>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</si>
  <si>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</si>
  <si>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</si>
  <si>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</si>
  <si>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</si>
  <si>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</si>
  <si>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</si>
  <si>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</si>
  <si>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</si>
  <si>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</si>
  <si>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</si>
  <si>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</si>
  <si>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</si>
  <si>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</si>
  <si>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</si>
  <si>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</si>
  <si>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</si>
  <si>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</si>
  <si>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</si>
  <si>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</si>
  <si>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</si>
  <si>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</si>
  <si>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</si>
  <si>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</si>
  <si>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</si>
  <si>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</si>
  <si>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</si>
  <si>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</si>
  <si>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</si>
  <si>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</si>
  <si>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</si>
  <si>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</si>
  <si>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</si>
  <si>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</si>
  <si>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</si>
  <si>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</si>
  <si>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</si>
  <si>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</si>
  <si>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</si>
  <si>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</si>
  <si>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</si>
  <si>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</si>
  <si>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</si>
  <si>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</si>
  <si>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</si>
  <si>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</si>
  <si>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</si>
  <si>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</si>
  <si>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</si>
  <si>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</si>
  <si>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</si>
  <si>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</si>
  <si>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</si>
  <si>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</si>
  <si>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</si>
  <si>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</si>
  <si>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</si>
  <si>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</si>
  <si>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</si>
  <si>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</si>
  <si>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</si>
  <si>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</si>
  <si>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</si>
  <si>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</si>
  <si>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</si>
  <si>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</si>
  <si>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</si>
  <si>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</si>
  <si>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</si>
  <si>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</si>
  <si>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</si>
  <si>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</si>
  <si>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</si>
  <si>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</si>
  <si>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</si>
  <si>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</si>
  <si>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</si>
  <si>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</si>
  <si>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</si>
  <si>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</si>
  <si>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</si>
  <si>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</si>
  <si>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</si>
  <si>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</si>
  <si>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</si>
  <si>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</si>
  <si>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</si>
  <si>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</si>
  <si>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</si>
  <si>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</si>
  <si>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</si>
  <si>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</si>
  <si>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</si>
  <si>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</si>
  <si>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</si>
  <si>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</si>
  <si>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</si>
  <si>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</si>
  <si>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</si>
  <si>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</si>
  <si>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</si>
  <si>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</si>
  <si>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</si>
  <si>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</si>
  <si>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</si>
  <si>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</si>
  <si>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</si>
  <si>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</si>
  <si>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</si>
  <si>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</si>
  <si>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</si>
  <si>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</si>
  <si>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</si>
  <si>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</si>
  <si>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</si>
  <si>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</si>
  <si>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</si>
  <si>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</si>
  <si>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</si>
  <si>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</si>
  <si>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</si>
  <si>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</si>
  <si>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</si>
  <si>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</si>
  <si>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</si>
  <si>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</si>
  <si>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</si>
  <si>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</si>
  <si>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</si>
  <si>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</si>
  <si>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</si>
  <si>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</si>
  <si>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</si>
  <si>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</si>
  <si>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</si>
  <si>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</si>
  <si>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</si>
  <si>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</si>
  <si>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</si>
  <si>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</si>
  <si>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</si>
  <si>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</si>
  <si>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</si>
  <si>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</si>
  <si>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</si>
  <si>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</si>
  <si>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</si>
  <si>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</si>
  <si>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</si>
  <si>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</si>
  <si>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</si>
  <si>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</si>
  <si>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</si>
  <si>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</si>
  <si>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</si>
  <si>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</si>
  <si>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</si>
  <si>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</si>
  <si>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</si>
  <si>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</si>
  <si>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</si>
  <si>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</si>
  <si>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</si>
  <si>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</si>
  <si>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</si>
  <si>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</si>
  <si>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</si>
  <si>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</si>
  <si>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</si>
  <si>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</si>
  <si>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</si>
  <si>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</si>
  <si>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</si>
  <si>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</si>
  <si>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</si>
  <si>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</si>
  <si>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</si>
  <si>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</si>
  <si>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</si>
  <si>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</si>
  <si>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</si>
  <si>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</si>
  <si>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</si>
  <si>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</si>
  <si>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</si>
  <si>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</si>
  <si>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</si>
  <si>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</si>
  <si>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</si>
  <si>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</si>
  <si>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</si>
  <si>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</si>
  <si>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</si>
  <si>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</si>
  <si>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</si>
  <si>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</si>
  <si>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</si>
  <si>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</si>
  <si>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</si>
  <si>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</si>
  <si>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</si>
  <si>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</si>
  <si>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</si>
  <si>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</si>
  <si>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</si>
  <si>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</si>
  <si>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</si>
  <si>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</si>
  <si>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</si>
  <si>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</si>
  <si>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</si>
  <si>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</si>
  <si>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</si>
  <si>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</si>
  <si>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</si>
  <si>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</si>
  <si>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</si>
  <si>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</si>
  <si>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</si>
  <si>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</si>
  <si>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</si>
  <si>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</si>
  <si>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</si>
  <si>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</si>
  <si>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</si>
  <si>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</si>
  <si>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</si>
  <si>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</si>
  <si>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</si>
  <si>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</si>
  <si>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</si>
  <si>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</si>
  <si>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</si>
  <si>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</si>
  <si>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</si>
  <si>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</si>
  <si>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</si>
  <si>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</si>
  <si>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</si>
  <si>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</si>
  <si>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</si>
  <si>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</si>
  <si>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</si>
  <si>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</si>
  <si>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</si>
  <si>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</si>
  <si>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</si>
  <si>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</si>
  <si>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</si>
  <si>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</si>
  <si>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</si>
  <si>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</si>
  <si>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</si>
  <si>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</si>
  <si>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</si>
  <si>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</si>
  <si>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</si>
  <si>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</si>
  <si>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</si>
  <si>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</si>
  <si>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</si>
  <si>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</si>
  <si>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</si>
  <si>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</si>
  <si>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</si>
  <si>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</si>
  <si>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</si>
  <si>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</si>
  <si>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</si>
  <si>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</si>
  <si>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</si>
  <si>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</si>
  <si>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</si>
  <si>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</si>
  <si>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</si>
  <si>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</si>
  <si>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</si>
  <si>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</si>
  <si>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</si>
  <si>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</si>
  <si>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</si>
  <si>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</si>
  <si>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</si>
  <si>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</si>
  <si>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</si>
  <si>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</si>
  <si>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</si>
  <si>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</si>
  <si>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</si>
  <si>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</si>
  <si>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</si>
  <si>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</si>
  <si>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</si>
  <si>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</si>
  <si>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</si>
  <si>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</si>
  <si>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</si>
  <si>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</si>
  <si>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</si>
  <si>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</si>
  <si>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</si>
  <si>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</si>
  <si>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</si>
  <si>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</si>
  <si>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</si>
  <si>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</si>
  <si>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</si>
  <si>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</si>
  <si>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</si>
  <si>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</si>
  <si>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</si>
  <si>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</si>
  <si>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</si>
  <si>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</si>
  <si>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</si>
  <si>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</si>
  <si>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</si>
  <si>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</si>
  <si>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</si>
  <si>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</si>
  <si>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</si>
  <si>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</si>
  <si>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</si>
  <si>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</si>
  <si>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</si>
  <si>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</si>
  <si>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</si>
  <si>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</si>
  <si>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</si>
  <si>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</si>
  <si>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</si>
  <si>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</si>
  <si>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</si>
  <si>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</si>
  <si>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</si>
  <si>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</si>
  <si>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</si>
  <si>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</si>
  <si>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</si>
  <si>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</si>
  <si>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</si>
  <si>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</si>
  <si>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</si>
  <si>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</si>
  <si>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</si>
  <si>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</si>
  <si>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</si>
  <si>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</si>
  <si>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</si>
  <si>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</si>
  <si>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</si>
  <si>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</si>
  <si>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</si>
  <si>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</si>
  <si>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</si>
  <si>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</si>
  <si>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</si>
  <si>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</si>
  <si>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</si>
  <si>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</si>
  <si>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</si>
  <si>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</si>
  <si>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</si>
  <si>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</si>
  <si>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</si>
  <si>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</si>
  <si>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</si>
  <si>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</si>
  <si>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</si>
  <si>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</si>
  <si>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</si>
  <si>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</si>
  <si>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</si>
  <si>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</si>
  <si>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</si>
  <si>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</si>
  <si>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</si>
  <si>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</si>
  <si>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</si>
  <si>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</si>
  <si>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</si>
  <si>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</si>
  <si>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</si>
  <si>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</si>
  <si>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</si>
  <si>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</si>
  <si>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</si>
  <si>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</si>
  <si>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</si>
  <si>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</si>
  <si>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</si>
  <si>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</si>
  <si>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</si>
  <si>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</si>
  <si>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</si>
  <si>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</si>
  <si>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</si>
  <si>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</si>
  <si>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</si>
  <si>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</si>
  <si>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</si>
  <si>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</si>
  <si>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</si>
  <si>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</si>
  <si>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</si>
  <si>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</si>
  <si>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</si>
  <si>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</si>
  <si>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</si>
  <si>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</si>
  <si>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</si>
  <si>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</si>
  <si>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</si>
  <si>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</si>
  <si>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</si>
  <si>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</si>
  <si>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</si>
  <si>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</si>
  <si>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</si>
  <si>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</si>
  <si>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</si>
  <si>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</si>
  <si>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</si>
  <si>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</si>
  <si>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</si>
  <si>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</si>
  <si>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</si>
  <si>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</si>
  <si>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</si>
  <si>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</si>
  <si>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</si>
  <si>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</si>
  <si>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</si>
  <si>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</si>
  <si>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</si>
  <si>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</si>
  <si>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</si>
  <si>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</si>
  <si>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</si>
  <si>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</si>
  <si>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</si>
  <si>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</si>
  <si>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</si>
  <si>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</si>
  <si>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</si>
  <si>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</si>
  <si>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</si>
  <si>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</si>
  <si>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</si>
  <si>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</si>
  <si>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</si>
  <si>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</si>
  <si>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</si>
  <si>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</si>
  <si>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</si>
  <si>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</si>
  <si>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</si>
  <si>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</si>
  <si>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</si>
  <si>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</si>
  <si>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</si>
  <si>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</si>
  <si>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</si>
  <si>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</si>
  <si>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</si>
  <si>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</si>
  <si>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</si>
  <si>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</si>
  <si>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</si>
  <si>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</si>
  <si>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</si>
  <si>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</si>
  <si>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</si>
  <si>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</si>
  <si>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</si>
  <si>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</si>
  <si>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</si>
  <si>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</si>
  <si>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</si>
  <si>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</si>
  <si>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</si>
  <si>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</si>
  <si>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</si>
  <si>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</si>
  <si>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</si>
  <si>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</si>
  <si>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</si>
  <si>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</si>
  <si>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</si>
  <si>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</si>
  <si>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</si>
  <si>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</si>
  <si>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</si>
  <si>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</si>
  <si>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</si>
  <si>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</si>
  <si>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</si>
  <si>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</si>
  <si>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</si>
  <si>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</si>
  <si>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</si>
  <si>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</si>
  <si>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</si>
  <si>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</si>
  <si>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</si>
  <si>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</si>
  <si>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</si>
  <si>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</si>
  <si>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</si>
  <si>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</si>
  <si>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</si>
  <si>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</si>
  <si>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</si>
  <si>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</si>
  <si>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</si>
  <si>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</si>
  <si>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</si>
  <si>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</si>
  <si>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</si>
  <si>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</si>
  <si>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</si>
  <si>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</si>
  <si>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</si>
  <si>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</si>
  <si>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</si>
  <si>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</si>
  <si>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</si>
  <si>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</si>
  <si>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</si>
  <si>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</si>
  <si>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</si>
  <si>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</si>
  <si>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</si>
  <si>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</si>
  <si>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</si>
  <si>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</si>
  <si>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</si>
  <si>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</si>
  <si>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</si>
  <si>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</si>
  <si>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</si>
  <si>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</si>
  <si>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</si>
  <si>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</si>
  <si>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</si>
  <si>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</si>
  <si>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</si>
  <si>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</si>
  <si>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</si>
  <si>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</si>
  <si>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</si>
  <si>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</si>
  <si>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</si>
  <si>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</si>
  <si>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</si>
  <si>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</si>
  <si>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</si>
  <si>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</si>
  <si>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</si>
  <si>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</si>
  <si>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</si>
  <si>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</si>
  <si>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</si>
  <si>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</si>
  <si>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</si>
  <si>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</si>
  <si>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</si>
  <si>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</si>
  <si>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</si>
  <si>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</si>
  <si>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</si>
  <si>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</si>
  <si>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</si>
  <si>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</si>
  <si>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</si>
  <si>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</si>
  <si>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</si>
  <si>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</si>
  <si>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</si>
  <si>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</si>
  <si>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</si>
  <si>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</si>
  <si>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</si>
  <si>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</si>
  <si>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</si>
  <si>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</si>
  <si>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</si>
  <si>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</si>
  <si>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</si>
  <si>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</si>
  <si>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</si>
  <si>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</si>
  <si>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</si>
  <si>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</si>
  <si>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</si>
  <si>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</si>
  <si>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</si>
  <si>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</si>
  <si>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</si>
  <si>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</si>
  <si>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</si>
  <si>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</si>
  <si>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</si>
  <si>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</si>
  <si>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</si>
  <si>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</si>
  <si>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</si>
  <si>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</si>
  <si>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</si>
  <si>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</si>
  <si>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</si>
  <si>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</si>
  <si>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</si>
  <si>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</si>
  <si>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</si>
  <si>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</si>
  <si>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</si>
  <si>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</si>
  <si>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</si>
  <si>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</si>
  <si>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</si>
  <si>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</si>
  <si>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</si>
  <si>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</si>
  <si>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</si>
  <si>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</si>
  <si>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</si>
  <si>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</si>
  <si>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</si>
  <si>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</si>
  <si>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</si>
  <si>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</si>
  <si>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</si>
  <si>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</si>
  <si>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</si>
  <si>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</si>
  <si>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</si>
  <si>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</si>
  <si>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</si>
  <si>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</si>
  <si>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</si>
  <si>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</si>
  <si>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</si>
  <si>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</si>
  <si>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</si>
  <si>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</si>
  <si>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</si>
  <si>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</si>
  <si>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</si>
  <si>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</si>
  <si>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</si>
  <si>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</si>
  <si>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</si>
  <si>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</si>
  <si>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</si>
  <si>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</si>
  <si>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</si>
  <si>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</si>
  <si>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</si>
  <si>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</si>
  <si>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</si>
  <si>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</si>
  <si>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</si>
  <si>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</si>
  <si>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</si>
  <si>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</si>
  <si>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</si>
  <si>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</si>
  <si>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</si>
  <si>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</si>
  <si>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</si>
  <si>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</si>
  <si>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</si>
  <si>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</si>
  <si>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</si>
  <si>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</si>
  <si>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</si>
  <si>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</si>
  <si>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</si>
  <si>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</si>
  <si>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</si>
  <si>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</si>
  <si>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</si>
  <si>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</si>
  <si>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</si>
  <si>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</si>
  <si>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</si>
  <si>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</si>
  <si>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</si>
  <si>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</si>
  <si>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</si>
  <si>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</si>
  <si>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</si>
  <si>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</si>
  <si>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</si>
  <si>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</si>
  <si>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</si>
  <si>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</si>
  <si>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</si>
  <si>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</si>
  <si>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</si>
  <si>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</si>
  <si>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</si>
  <si>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</si>
  <si>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</si>
  <si>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</si>
  <si>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</si>
  <si>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</si>
  <si>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</si>
  <si>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</si>
  <si>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</si>
  <si>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</si>
  <si>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</si>
  <si>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</si>
  <si>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</si>
  <si>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</si>
  <si>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</si>
  <si>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</si>
  <si>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</si>
  <si>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</si>
  <si>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</si>
  <si>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</si>
  <si>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</si>
  <si>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</si>
  <si>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</si>
  <si>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</si>
  <si>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</si>
  <si>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</si>
  <si>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</si>
  <si>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</si>
  <si>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</si>
  <si>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</si>
  <si>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</si>
  <si>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</si>
  <si>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</si>
  <si>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</si>
  <si>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</si>
  <si>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</si>
  <si>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</si>
  <si>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</si>
  <si>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</si>
  <si>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</si>
  <si>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</si>
  <si>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</si>
  <si>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</si>
  <si>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</si>
  <si>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</si>
  <si>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</si>
  <si>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</si>
  <si>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</si>
  <si>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</si>
  <si>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</si>
  <si>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</si>
  <si>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</si>
  <si>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</si>
  <si>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</si>
  <si>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</si>
  <si>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</si>
  <si>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</si>
  <si>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</si>
  <si>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</si>
  <si>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</si>
  <si>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</si>
  <si>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</si>
  <si>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</si>
  <si>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</si>
  <si>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</si>
  <si>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</si>
  <si>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</si>
  <si>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</si>
  <si>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</si>
  <si>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</si>
  <si>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</si>
  <si>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</si>
  <si>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</si>
  <si>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</si>
  <si>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</si>
  <si>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</si>
  <si>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</si>
  <si>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</si>
  <si>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</si>
  <si>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</si>
  <si>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</si>
  <si>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</si>
  <si>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</si>
  <si>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</si>
  <si>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</si>
  <si>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</si>
  <si>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</si>
  <si>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</si>
  <si>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</si>
  <si>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</si>
  <si>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</si>
  <si>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</si>
  <si>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</si>
  <si>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</si>
  <si>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</si>
  <si>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</si>
  <si>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</si>
  <si>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</si>
  <si>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</si>
  <si>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</si>
  <si>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</si>
  <si>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</si>
  <si>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</si>
  <si>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</si>
  <si>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</si>
  <si>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</si>
  <si>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</si>
  <si>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</si>
  <si>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</si>
  <si>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</si>
  <si>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</si>
  <si>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</si>
  <si>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</si>
  <si>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</si>
  <si>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</si>
  <si>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</si>
  <si>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</si>
  <si>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</si>
  <si>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</si>
  <si>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</si>
  <si>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</si>
  <si>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</si>
  <si>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</si>
  <si>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</si>
  <si>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</si>
  <si>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</si>
  <si>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</si>
  <si>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</si>
  <si>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</si>
  <si>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</si>
  <si>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</si>
  <si>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</si>
  <si>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</si>
  <si>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</si>
  <si>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</si>
  <si>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</si>
  <si>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</si>
  <si>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</si>
  <si>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</si>
  <si>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</si>
  <si>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</si>
  <si>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</si>
  <si>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</si>
  <si>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</si>
  <si>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</si>
  <si>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</si>
  <si>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</si>
  <si>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</si>
  <si>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</si>
  <si>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</si>
  <si>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</si>
  <si>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</si>
  <si>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</si>
  <si>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</si>
  <si>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</si>
  <si>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</si>
  <si>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</si>
  <si>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</si>
  <si>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</si>
  <si>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</si>
  <si>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</si>
  <si>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</si>
  <si>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</si>
  <si>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</si>
  <si>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</si>
  <si>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</si>
  <si>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</si>
  <si>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</si>
  <si>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</si>
  <si>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</si>
  <si>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</si>
  <si>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</si>
  <si>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</si>
  <si>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</si>
  <si>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</si>
  <si>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</si>
  <si>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</si>
  <si>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</si>
  <si>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</si>
  <si>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</si>
  <si>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</si>
  <si>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</si>
  <si>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</si>
  <si>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</si>
  <si>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</si>
  <si>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</si>
  <si>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</si>
  <si>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</si>
  <si>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</si>
  <si>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</si>
  <si>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</si>
  <si>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</si>
  <si>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</si>
  <si>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</si>
  <si>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</si>
  <si>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</si>
  <si>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</si>
  <si>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</si>
  <si>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</si>
  <si>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</si>
  <si>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</si>
  <si>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</si>
  <si>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</si>
  <si>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</si>
  <si>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</si>
  <si>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</si>
  <si>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</si>
  <si>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</si>
  <si>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</si>
  <si>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</si>
  <si>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</si>
  <si>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</si>
  <si>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</si>
  <si>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</si>
  <si>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</si>
  <si>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</si>
  <si>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</si>
  <si>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</si>
  <si>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</si>
  <si>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</si>
  <si>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</si>
  <si>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</si>
  <si>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</si>
  <si>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</si>
  <si>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</si>
  <si>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</si>
  <si>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</si>
  <si>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</si>
  <si>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</si>
  <si>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</si>
  <si>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</si>
  <si>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</si>
  <si>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</si>
  <si>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</si>
  <si>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</si>
  <si>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</si>
  <si>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</si>
  <si>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</si>
  <si>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</si>
  <si>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</si>
  <si>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</si>
  <si>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</si>
  <si>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</si>
  <si>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</si>
  <si>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</si>
  <si>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</si>
  <si>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</si>
  <si>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</si>
  <si>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</si>
  <si>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</si>
  <si>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</si>
  <si>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</si>
  <si>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</si>
  <si>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</si>
  <si>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</si>
  <si>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</si>
  <si>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</si>
  <si>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</si>
  <si>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</si>
  <si>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</si>
  <si>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</si>
  <si>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</si>
  <si>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</si>
  <si>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</si>
  <si>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</si>
  <si>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</si>
  <si>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</si>
  <si>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</si>
  <si>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</si>
  <si>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</si>
  <si>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UPAH LAIN-LAIN</t>
  </si>
  <si>
    <t>Staff Teknik</t>
  </si>
  <si>
    <t>TL. Teknik</t>
  </si>
  <si>
    <t>MULP</t>
  </si>
  <si>
    <t>PEMASANGAN TRAFO</t>
  </si>
  <si>
    <t>I2</t>
  </si>
  <si>
    <t>CC1-A</t>
  </si>
  <si>
    <t>CC7</t>
  </si>
  <si>
    <t>CM2-12</t>
  </si>
  <si>
    <t>CONDUKTOR</t>
  </si>
  <si>
    <t>PEMBANGUNAN JARINGAN TM</t>
  </si>
  <si>
    <t xml:space="preserve">Jumper Wire : </t>
  </si>
  <si>
    <t>CM2-11M</t>
  </si>
  <si>
    <t>Stainless Steel Strap 20 X 0.7 mm</t>
  </si>
  <si>
    <t>Pemasangan APP Di Tiang</t>
  </si>
  <si>
    <t>CM2-11</t>
  </si>
  <si>
    <t>SCHOOR</t>
  </si>
  <si>
    <t>CE1-3</t>
  </si>
  <si>
    <t>F1-3</t>
  </si>
  <si>
    <t>CM2-12A</t>
  </si>
  <si>
    <t>PEJUMPERAN</t>
  </si>
  <si>
    <t>CM5-5</t>
  </si>
  <si>
    <t>C12-200</t>
  </si>
  <si>
    <t>C12-350</t>
  </si>
  <si>
    <t>CG313</t>
  </si>
  <si>
    <t>CC8-A</t>
  </si>
  <si>
    <t>CM5-4</t>
  </si>
  <si>
    <t>TRF 100 KVA</t>
  </si>
  <si>
    <t>AAAC 70</t>
  </si>
  <si>
    <t>CC8</t>
  </si>
  <si>
    <t>TRF 160 KVA</t>
  </si>
  <si>
    <t>AAAC 150</t>
  </si>
  <si>
    <t>APP PAS DAYA 131 KVA</t>
  </si>
  <si>
    <t>KOORDINAT : -6.9392797,110.7497741</t>
  </si>
  <si>
    <t>AGR IMAM SISWANTO DS. GEMPOL DENOK</t>
  </si>
  <si>
    <t>K3-27/37/1T</t>
  </si>
  <si>
    <t>KDS 16</t>
  </si>
  <si>
    <t>DS GEMPOLDENOK KEC. DEMPET</t>
  </si>
  <si>
    <t>Trafo 3 Fasa 160 KVA 2 Tiang (G313)</t>
  </si>
  <si>
    <t>NFA2X-T 3 x 70 + N 50 mm²</t>
  </si>
  <si>
    <t>Sepatu Kabel AL/CU Ring-70 mm²</t>
  </si>
  <si>
    <t>Daya 131.000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</si>
</sst>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202124"/>
      <name val="Inherit"/>
    </font>
    <font>
      <sz val="11"/>
      <color rgb="FF000000"/>
      <name val="Arial"/>
      <family val="2"/>
    </font>
    <font>
      <sz val="11"/>
      <name val="Calibri"/>
      <family val="2"/>
      <charset val="1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7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79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20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4" fontId="37" fillId="0" borderId="3"/>
    <xf numFmtId="184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71" fillId="0" borderId="0" applyFont="0" applyFill="0" applyBorder="0" applyAlignment="0" applyProtection="0"/>
    <xf numFmtId="186" fontId="73" fillId="0" borderId="0">
      <protection locked="0"/>
    </xf>
    <xf numFmtId="14" fontId="65" fillId="0" borderId="0" applyFill="0" applyBorder="0" applyAlignment="0"/>
    <xf numFmtId="187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5" fontId="37" fillId="0" borderId="0" applyFill="0" applyBorder="0" applyAlignment="0"/>
    <xf numFmtId="175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8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89" fontId="78" fillId="0" borderId="0">
      <protection locked="0"/>
    </xf>
    <xf numFmtId="189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5" fontId="37" fillId="0" borderId="0" applyFill="0" applyBorder="0" applyAlignment="0"/>
    <xf numFmtId="175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0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1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1" fontId="37" fillId="0" borderId="0"/>
    <xf numFmtId="191" fontId="23" fillId="0" borderId="0"/>
    <xf numFmtId="191" fontId="37" fillId="0" borderId="0"/>
    <xf numFmtId="191" fontId="23" fillId="0" borderId="0"/>
    <xf numFmtId="191" fontId="37" fillId="0" borderId="0"/>
    <xf numFmtId="191" fontId="23" fillId="0" borderId="0"/>
    <xf numFmtId="191" fontId="23" fillId="0" borderId="0"/>
    <xf numFmtId="191" fontId="37" fillId="0" borderId="0"/>
    <xf numFmtId="170" fontId="84" fillId="0" borderId="0"/>
    <xf numFmtId="170" fontId="85" fillId="0" borderId="0"/>
    <xf numFmtId="170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2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0" fontId="85" fillId="0" borderId="0"/>
    <xf numFmtId="0" fontId="85" fillId="0" borderId="0"/>
    <xf numFmtId="193" fontId="85" fillId="0" borderId="0"/>
    <xf numFmtId="194" fontId="85" fillId="0" borderId="0"/>
    <xf numFmtId="0" fontId="85" fillId="0" borderId="0"/>
    <xf numFmtId="195" fontId="85" fillId="0" borderId="0"/>
    <xf numFmtId="195" fontId="85" fillId="0" borderId="0"/>
    <xf numFmtId="195" fontId="85" fillId="0" borderId="0"/>
    <xf numFmtId="193" fontId="85" fillId="0" borderId="0"/>
    <xf numFmtId="0" fontId="85" fillId="0" borderId="0"/>
    <xf numFmtId="0" fontId="37" fillId="0" borderId="0"/>
    <xf numFmtId="0" fontId="23" fillId="0" borderId="0"/>
    <xf numFmtId="180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6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5" fontId="85" fillId="0" borderId="0"/>
    <xf numFmtId="195" fontId="85" fillId="0" borderId="0"/>
    <xf numFmtId="195" fontId="85" fillId="0" borderId="0"/>
    <xf numFmtId="195" fontId="85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2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2" fontId="44" fillId="0" borderId="0"/>
    <xf numFmtId="192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4" fontId="37" fillId="0" borderId="0" applyFont="0" applyFill="0" applyBorder="0" applyAlignment="0" applyProtection="0"/>
    <xf numFmtId="174" fontId="23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5" fontId="37" fillId="0" borderId="0" applyFill="0" applyBorder="0" applyAlignment="0"/>
    <xf numFmtId="175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75" fillId="0" borderId="0"/>
    <xf numFmtId="199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0" fontId="37" fillId="0" borderId="0" applyFill="0" applyBorder="0" applyAlignment="0"/>
    <xf numFmtId="200" fontId="23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4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4" fontId="176" fillId="0" borderId="0" applyFont="0" applyFill="0" applyBorder="0" applyAlignment="0" applyProtection="0"/>
    <xf numFmtId="0" fontId="23" fillId="0" borderId="0"/>
    <xf numFmtId="0" fontId="178" fillId="0" borderId="0" applyNumberFormat="0" applyFill="0" applyBorder="0" applyAlignment="0" applyProtection="0"/>
  </cellStyleXfs>
  <cellXfs count="739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7" fontId="46" fillId="0" borderId="0" xfId="714" applyFont="1" applyFill="1" applyAlignment="1">
      <alignment horizontal="center" wrapText="1"/>
    </xf>
    <xf numFmtId="167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7" fontId="46" fillId="0" borderId="21" xfId="715" applyNumberFormat="1" applyFont="1" applyFill="1" applyBorder="1" applyAlignment="1">
      <alignment horizontal="center" vertical="center" wrapText="1"/>
    </xf>
    <xf numFmtId="167" fontId="46" fillId="0" borderId="21" xfId="714" applyFont="1" applyFill="1" applyBorder="1" applyAlignment="1">
      <alignment horizontal="center" vertical="center" wrapText="1"/>
    </xf>
    <xf numFmtId="167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5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7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7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7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7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7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7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7" fontId="114" fillId="29" borderId="3" xfId="1538" applyNumberFormat="1" applyFill="1" applyBorder="1" applyAlignment="1">
      <alignment horizontal="right"/>
    </xf>
    <xf numFmtId="165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8" fillId="0" borderId="20" xfId="1653" applyFont="1" applyBorder="1" applyAlignment="1">
      <alignment horizontal="center" vertical="center"/>
    </xf>
    <xf numFmtId="0" fontId="158" fillId="0" borderId="21" xfId="1653" applyFont="1" applyBorder="1" applyAlignment="1">
      <alignment vertical="center" wrapText="1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5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37" fontId="154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0" xfId="1614" applyNumberFormat="1" applyFont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51" fillId="0" borderId="0" xfId="1614" applyFont="1" applyAlignment="1">
      <alignment horizontal="center" vertic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43" fontId="143" fillId="40" borderId="85" xfId="2672" applyFont="1" applyFill="1" applyBorder="1" applyAlignment="1" applyProtection="1">
      <alignment horizontal="right" vertical="center" wrapText="1"/>
      <protection locked="0"/>
    </xf>
    <xf numFmtId="43" fontId="143" fillId="40" borderId="87" xfId="2672" applyFont="1" applyFill="1" applyBorder="1" applyAlignment="1" applyProtection="1">
      <alignment horizontal="right" vertical="center"/>
      <protection locked="0"/>
    </xf>
    <xf numFmtId="167" fontId="143" fillId="40" borderId="87" xfId="2672" applyNumberFormat="1" applyFont="1" applyFill="1" applyBorder="1" applyAlignment="1" applyProtection="1">
      <alignment horizontal="right" vertical="center"/>
      <protection locked="0"/>
    </xf>
    <xf numFmtId="167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12" fillId="0" borderId="21" xfId="1614" applyFont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1" xfId="0" applyNumberFormat="1" applyFont="1" applyFill="1" applyBorder="1" applyAlignment="1">
      <alignment horizontal="left" vertical="center"/>
    </xf>
    <xf numFmtId="164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5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7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22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78" fillId="33" borderId="0" xfId="2678" applyFill="1"/>
    <xf numFmtId="0" fontId="5" fillId="0" borderId="21" xfId="1652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6" fillId="0" borderId="21" xfId="1450" applyFont="1" applyBorder="1" applyAlignment="1">
      <alignment vertical="center" wrapText="1"/>
    </xf>
    <xf numFmtId="0" fontId="158" fillId="48" borderId="21" xfId="1652" applyFont="1" applyFill="1" applyBorder="1" applyAlignment="1">
      <alignment vertical="center" wrapText="1"/>
    </xf>
    <xf numFmtId="0" fontId="116" fillId="0" borderId="20" xfId="1652" applyFont="1" applyBorder="1" applyAlignment="1">
      <alignment horizontal="center" vertical="center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5" fillId="0" borderId="21" xfId="1652" applyFont="1" applyBorder="1" applyAlignment="1">
      <alignment horizontal="left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 wrapText="1"/>
    </xf>
    <xf numFmtId="0" fontId="179" fillId="0" borderId="0" xfId="0" applyFont="1" applyAlignment="1">
      <alignment horizontal="left" vertical="center" wrapText="1"/>
    </xf>
    <xf numFmtId="0" fontId="180" fillId="0" borderId="0" xfId="0" applyFont="1" applyAlignment="1">
      <alignment vertical="center" wrapText="1"/>
    </xf>
    <xf numFmtId="49" fontId="94" fillId="33" borderId="60" xfId="0" applyNumberFormat="1" applyFont="1" applyFill="1" applyBorder="1" applyAlignment="1">
      <alignment horizontal="left" vertical="center"/>
    </xf>
    <xf numFmtId="0" fontId="2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81" fillId="0" borderId="20" xfId="1614" applyFont="1" applyBorder="1" applyAlignment="1">
      <alignment horizontal="center" vertical="center"/>
    </xf>
    <xf numFmtId="0" fontId="181" fillId="0" borderId="21" xfId="1614" applyFont="1" applyBorder="1" applyAlignment="1">
      <alignment vertical="center" wrapText="1"/>
    </xf>
    <xf numFmtId="0" fontId="113" fillId="0" borderId="21" xfId="1614" applyBorder="1" applyAlignment="1">
      <alignment horizontal="center" vertical="center"/>
    </xf>
    <xf numFmtId="0" fontId="94" fillId="33" borderId="80" xfId="0" applyFont="1" applyFill="1" applyBorder="1" applyAlignment="1">
      <alignment horizontal="left" vertical="center"/>
    </xf>
    <xf numFmtId="0" fontId="94" fillId="33" borderId="81" xfId="0" applyFont="1" applyFill="1" applyBorder="1" applyAlignment="1">
      <alignment horizontal="left"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7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5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5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165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6" fontId="122" fillId="0" borderId="73" xfId="1450" applyNumberFormat="1" applyFont="1" applyBorder="1" applyAlignment="1">
      <alignment horizontal="left" vertical="center"/>
    </xf>
    <xf numFmtId="206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0" fontId="94" fillId="33" borderId="80" xfId="0" applyFont="1" applyFill="1" applyBorder="1" applyAlignment="1">
      <alignment horizontal="left" vertical="center"/>
    </xf>
    <xf numFmtId="0" fontId="94" fillId="33" borderId="81" xfId="0" applyFont="1" applyFill="1" applyBorder="1" applyAlignment="1">
      <alignment horizontal="left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  <xf numFmtId="0" fontId="117" fillId="33" borderId="0" xfId="0" applyFont="1" applyFill="1" applyAlignment="1">
      <alignment vertical="center" wrapText="1"/>
    </xf>
    <xf numFmtId="0" fontId="117" fillId="33" borderId="37" xfId="0" applyFont="1" applyFill="1" applyBorder="1" applyAlignment="1">
      <alignment vertical="center" wrapText="1"/>
    </xf>
    <xf numFmtId="0" fontId="117" fillId="33" borderId="44" xfId="0" applyFont="1" applyFill="1" applyBorder="1" applyAlignment="1">
      <alignment vertical="center" wrapText="1"/>
    </xf>
    <xf numFmtId="0" fontId="117" fillId="33" borderId="45" xfId="0" applyFont="1" applyFill="1" applyBorder="1" applyAlignment="1">
      <alignment vertical="center" wrapText="1"/>
    </xf>
    <xf numFmtId="0" fontId="117" fillId="33" borderId="18" xfId="0" applyFont="1" applyFill="1" applyBorder="1" applyAlignment="1">
      <alignment horizontal="center" vertical="center" wrapText="1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8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0.81874999999999998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9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25</xdr:row>
          <xdr:rowOff>1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9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233</xdr:row>
      <xdr:rowOff>81642</xdr:rowOff>
    </xdr:from>
    <xdr:to>
      <xdr:col>11</xdr:col>
      <xdr:colOff>93061</xdr:colOff>
      <xdr:row>236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366624</xdr:colOff>
      <xdr:row>66</xdr:row>
      <xdr:rowOff>139095</xdr:rowOff>
    </xdr:from>
    <xdr:to>
      <xdr:col>18</xdr:col>
      <xdr:colOff>107445</xdr:colOff>
      <xdr:row>94</xdr:row>
      <xdr:rowOff>109433</xdr:rowOff>
    </xdr:to>
    <xdr:cxnSp macro="">
      <xdr:nvCxnSpPr>
        <xdr:cNvPr id="354" name="Straight Connector 353">
          <a:extLst>
            <a:ext uri="{FF2B5EF4-FFF2-40B4-BE49-F238E27FC236}">
              <a16:creationId xmlns:a16="http://schemas.microsoft.com/office/drawing/2014/main" id="{2E03F539-92DE-B236-5DAD-2BCD51EFBF02}"/>
            </a:ext>
          </a:extLst>
        </xdr:cNvPr>
        <xdr:cNvCxnSpPr>
          <a:endCxn id="227" idx="1"/>
        </xdr:cNvCxnSpPr>
      </xdr:nvCxnSpPr>
      <xdr:spPr>
        <a:xfrm>
          <a:off x="2585389" y="10594183"/>
          <a:ext cx="3931821" cy="435183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10849</xdr:colOff>
      <xdr:row>1</xdr:row>
      <xdr:rowOff>54428</xdr:rowOff>
    </xdr:from>
    <xdr:to>
      <xdr:col>21</xdr:col>
      <xdr:colOff>107148</xdr:colOff>
      <xdr:row>6</xdr:row>
      <xdr:rowOff>81879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8D461F8-B1C8-4FA1-B8EF-3501ADDBD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87206" y="217714"/>
          <a:ext cx="858299" cy="789451"/>
        </a:xfrm>
        <a:prstGeom prst="rect">
          <a:avLst/>
        </a:prstGeom>
      </xdr:spPr>
    </xdr:pic>
    <xdr:clientData/>
  </xdr:twoCellAnchor>
  <xdr:twoCellAnchor>
    <xdr:from>
      <xdr:col>26</xdr:col>
      <xdr:colOff>65006</xdr:colOff>
      <xdr:row>5</xdr:row>
      <xdr:rowOff>40289</xdr:rowOff>
    </xdr:from>
    <xdr:to>
      <xdr:col>29</xdr:col>
      <xdr:colOff>354335</xdr:colOff>
      <xdr:row>17</xdr:row>
      <xdr:rowOff>35534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05115714-B700-464A-A407-0E81AE03C8E4}"/>
            </a:ext>
          </a:extLst>
        </xdr:cNvPr>
        <xdr:cNvGrpSpPr/>
      </xdr:nvGrpSpPr>
      <xdr:grpSpPr>
        <a:xfrm>
          <a:off x="9565158" y="818854"/>
          <a:ext cx="1490307" cy="1817419"/>
          <a:chOff x="9713886" y="808452"/>
          <a:chExt cx="1342558" cy="1766630"/>
        </a:xfrm>
      </xdr:grpSpPr>
      <xdr:grpSp>
        <xdr:nvGrpSpPr>
          <xdr:cNvPr id="122" name="Group 13">
            <a:extLst>
              <a:ext uri="{FF2B5EF4-FFF2-40B4-BE49-F238E27FC236}">
                <a16:creationId xmlns:a16="http://schemas.microsoft.com/office/drawing/2014/main" id="{322D9EED-0037-49FB-9725-68E4205BE03A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4" name="Oval 1">
              <a:extLst>
                <a:ext uri="{FF2B5EF4-FFF2-40B4-BE49-F238E27FC236}">
                  <a16:creationId xmlns:a16="http://schemas.microsoft.com/office/drawing/2014/main" id="{4C7E8E0D-0112-41C7-9492-5761FB99658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5" name="Straight Connector 3">
              <a:extLst>
                <a:ext uri="{FF2B5EF4-FFF2-40B4-BE49-F238E27FC236}">
                  <a16:creationId xmlns:a16="http://schemas.microsoft.com/office/drawing/2014/main" id="{BEFFAADE-B334-48EC-B107-B60989DB8F47}"/>
                </a:ext>
              </a:extLst>
            </xdr:cNvPr>
            <xdr:cNvCxnSpPr>
              <a:stCxn id="251" idx="1"/>
              <a:endCxn id="25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7">
              <a:extLst>
                <a:ext uri="{FF2B5EF4-FFF2-40B4-BE49-F238E27FC236}">
                  <a16:creationId xmlns:a16="http://schemas.microsoft.com/office/drawing/2014/main" id="{1C691B42-4D67-4F97-851E-58DD76A23346}"/>
                </a:ext>
              </a:extLst>
            </xdr:cNvPr>
            <xdr:cNvCxnSpPr>
              <a:stCxn id="251" idx="3"/>
              <a:endCxn id="25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3" name="Oval 122">
            <a:extLst>
              <a:ext uri="{FF2B5EF4-FFF2-40B4-BE49-F238E27FC236}">
                <a16:creationId xmlns:a16="http://schemas.microsoft.com/office/drawing/2014/main" id="{8221F988-6436-45FB-A959-1AD9EBFE233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24" name="Group 123">
            <a:extLst>
              <a:ext uri="{FF2B5EF4-FFF2-40B4-BE49-F238E27FC236}">
                <a16:creationId xmlns:a16="http://schemas.microsoft.com/office/drawing/2014/main" id="{631092A4-9D8B-472B-BFC6-565ABBCB9A7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1" name="Oval 290">
              <a:extLst>
                <a:ext uri="{FF2B5EF4-FFF2-40B4-BE49-F238E27FC236}">
                  <a16:creationId xmlns:a16="http://schemas.microsoft.com/office/drawing/2014/main" id="{7031EA64-C986-4E93-9C9E-20D68B2455B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93ADC1E5-FF80-451B-BF66-6E7A0BD43F1D}"/>
                </a:ext>
              </a:extLst>
            </xdr:cNvPr>
            <xdr:cNvCxnSpPr>
              <a:stCxn id="291" idx="1"/>
              <a:endCxn id="29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Connector 292">
              <a:extLst>
                <a:ext uri="{FF2B5EF4-FFF2-40B4-BE49-F238E27FC236}">
                  <a16:creationId xmlns:a16="http://schemas.microsoft.com/office/drawing/2014/main" id="{EA6C8A38-A05B-467B-BA8B-7391B1582950}"/>
                </a:ext>
              </a:extLst>
            </xdr:cNvPr>
            <xdr:cNvCxnSpPr>
              <a:stCxn id="291" idx="3"/>
              <a:endCxn id="29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B78F020-B547-4273-9B71-87FC0C1F49C1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64B8EF6B-8869-4DC3-A94D-B05124330D7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BA124CCE-062E-4515-A623-E78CCF244AA9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25187F7D-B3C9-40B5-86AD-F2D1B83E8CC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2BFD10CB-1E66-4D8A-ADD5-96ED88CD46F5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3EAFC62F-44E1-4865-BBA6-BD763D1EF0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4E715725-1010-4D18-B0AA-2DD0CB79ABC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F5D616DA-DF4F-4BA4-AD94-6EB92BACC3D2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96705679-BB9A-49C3-B8D2-96990801374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B5523762-7EDF-41DD-A1B2-2F17063E548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C46FB4A5-9165-4FBD-9A66-138278FD532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13A5078-27F3-4423-B473-D9A9B58C411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8F1502A1-2DA7-43AB-9160-4D59D90DCC14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50">
            <a:extLst>
              <a:ext uri="{FF2B5EF4-FFF2-40B4-BE49-F238E27FC236}">
                <a16:creationId xmlns:a16="http://schemas.microsoft.com/office/drawing/2014/main" id="{B89F7CB2-F58C-4BC0-985D-93842D3FE2A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A4D5BE8-FDCD-4D9F-8BCE-E0C0012229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52">
            <a:extLst>
              <a:ext uri="{FF2B5EF4-FFF2-40B4-BE49-F238E27FC236}">
                <a16:creationId xmlns:a16="http://schemas.microsoft.com/office/drawing/2014/main" id="{FF53BE85-913B-4707-A9C0-831E4C4318F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9E3BF716-FBB1-4919-8EBF-61BED2317A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B98BD33D-2E38-4EF4-981C-3E6D4C725071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E218835-804C-4CEF-A7C2-7D89375FB21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8C6D5ADD-30A2-450E-A6D0-F7FC0348D576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E0969FF-23A2-4034-B297-5FEA6ACEFCF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A86B9EB8-785C-41AC-B135-D66CDCCAE8D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4CAAF39F-51D9-4A48-AA83-D0B21F34DE6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D993CF49-4A99-4FBA-ABF3-92AA2478A1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2" name="Isosceles Triangle 261">
            <a:extLst>
              <a:ext uri="{FF2B5EF4-FFF2-40B4-BE49-F238E27FC236}">
                <a16:creationId xmlns:a16="http://schemas.microsoft.com/office/drawing/2014/main" id="{11FAD728-1FC9-4A18-A1D3-E61EB2D51555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3" name="Group 73">
            <a:extLst>
              <a:ext uri="{FF2B5EF4-FFF2-40B4-BE49-F238E27FC236}">
                <a16:creationId xmlns:a16="http://schemas.microsoft.com/office/drawing/2014/main" id="{8F3FE792-8157-4292-A6B4-847E2EE8C35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89" name="TextBox 288">
              <a:extLst>
                <a:ext uri="{FF2B5EF4-FFF2-40B4-BE49-F238E27FC236}">
                  <a16:creationId xmlns:a16="http://schemas.microsoft.com/office/drawing/2014/main" id="{3EF49135-53FF-4926-B860-3BB22B3E60D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90" name="Straight Connector 289">
              <a:extLst>
                <a:ext uri="{FF2B5EF4-FFF2-40B4-BE49-F238E27FC236}">
                  <a16:creationId xmlns:a16="http://schemas.microsoft.com/office/drawing/2014/main" id="{7E2450D6-3D61-4C85-A169-FB242E5E60C9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74">
            <a:extLst>
              <a:ext uri="{FF2B5EF4-FFF2-40B4-BE49-F238E27FC236}">
                <a16:creationId xmlns:a16="http://schemas.microsoft.com/office/drawing/2014/main" id="{D67E7275-C1C8-43A2-80D1-33FD1684518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7" name="TextBox 286">
              <a:extLst>
                <a:ext uri="{FF2B5EF4-FFF2-40B4-BE49-F238E27FC236}">
                  <a16:creationId xmlns:a16="http://schemas.microsoft.com/office/drawing/2014/main" id="{26E14622-662E-4469-B9A9-D5295A06DC2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5213537B-459B-4287-82F0-B67C094467A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89">
            <a:extLst>
              <a:ext uri="{FF2B5EF4-FFF2-40B4-BE49-F238E27FC236}">
                <a16:creationId xmlns:a16="http://schemas.microsoft.com/office/drawing/2014/main" id="{37AAF8B1-9866-4AD4-B0C8-5C9B0D04229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3" name="Straight Connector 282">
              <a:extLst>
                <a:ext uri="{FF2B5EF4-FFF2-40B4-BE49-F238E27FC236}">
                  <a16:creationId xmlns:a16="http://schemas.microsoft.com/office/drawing/2014/main" id="{D6197572-D248-4710-80E2-83370235AEA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79">
              <a:extLst>
                <a:ext uri="{FF2B5EF4-FFF2-40B4-BE49-F238E27FC236}">
                  <a16:creationId xmlns:a16="http://schemas.microsoft.com/office/drawing/2014/main" id="{2049E36F-1E40-4B48-AF5E-75793A3D545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0">
              <a:extLst>
                <a:ext uri="{FF2B5EF4-FFF2-40B4-BE49-F238E27FC236}">
                  <a16:creationId xmlns:a16="http://schemas.microsoft.com/office/drawing/2014/main" id="{ED19E9FF-C357-4ABA-8750-2044C56997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88">
              <a:extLst>
                <a:ext uri="{FF2B5EF4-FFF2-40B4-BE49-F238E27FC236}">
                  <a16:creationId xmlns:a16="http://schemas.microsoft.com/office/drawing/2014/main" id="{FCCC9C45-8FBC-4363-B895-303EB27C8F7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6" name="Group 90">
            <a:extLst>
              <a:ext uri="{FF2B5EF4-FFF2-40B4-BE49-F238E27FC236}">
                <a16:creationId xmlns:a16="http://schemas.microsoft.com/office/drawing/2014/main" id="{5D66F161-992A-47F3-AD7B-5625CAFB84E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B979314-FB79-4AEB-B09D-5A3E8FA1D39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4BD98B72-2416-438C-8212-7BA286D388A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A542C0A3-9694-4905-B2A0-C01FC058FCB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7AE4D199-69DF-4E4E-81C8-25BEE2B20E1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3B6C73D9-C9E9-4561-B2A0-7E5E5F403A0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BB3A20F0-DD59-4638-8E0A-BAF8224B61B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87ABA211-5A30-4AE9-ABA6-4B57EEEE8AE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Arrow Connector 269">
            <a:extLst>
              <a:ext uri="{FF2B5EF4-FFF2-40B4-BE49-F238E27FC236}">
                <a16:creationId xmlns:a16="http://schemas.microsoft.com/office/drawing/2014/main" id="{908C0AB8-2D9E-45E0-834E-0409EB3D8E5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1" name="Group 155">
            <a:extLst>
              <a:ext uri="{FF2B5EF4-FFF2-40B4-BE49-F238E27FC236}">
                <a16:creationId xmlns:a16="http://schemas.microsoft.com/office/drawing/2014/main" id="{FD0D0E27-BB2A-4018-B4E8-C067D67FAD61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CDCF7C7D-D7C3-449E-A0CF-5FA1FF65BBC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6D846C6F-CF7A-4981-ABC4-9672C7617FFC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8" name="Isosceles Triangle 277">
              <a:extLst>
                <a:ext uri="{FF2B5EF4-FFF2-40B4-BE49-F238E27FC236}">
                  <a16:creationId xmlns:a16="http://schemas.microsoft.com/office/drawing/2014/main" id="{A389252E-9C22-4CD3-8F48-D6D3745B7574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2" name="Group 134">
            <a:extLst>
              <a:ext uri="{FF2B5EF4-FFF2-40B4-BE49-F238E27FC236}">
                <a16:creationId xmlns:a16="http://schemas.microsoft.com/office/drawing/2014/main" id="{D51EBE46-A9DD-4D69-9C90-180B511C5F9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4818A71E-3A2B-4A45-B33B-274A37C25F8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45E22B30-6C7B-4349-A0E6-C4A4576887C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30F7F71B-D06A-461F-A2E5-AD833F51C71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269242</xdr:colOff>
      <xdr:row>42</xdr:row>
      <xdr:rowOff>154554</xdr:rowOff>
    </xdr:from>
    <xdr:to>
      <xdr:col>12</xdr:col>
      <xdr:colOff>211893</xdr:colOff>
      <xdr:row>53</xdr:row>
      <xdr:rowOff>38711</xdr:rowOff>
    </xdr:to>
    <xdr:cxnSp macro="">
      <xdr:nvCxnSpPr>
        <xdr:cNvPr id="299" name="Straight Connector 298">
          <a:extLst>
            <a:ext uri="{FF2B5EF4-FFF2-40B4-BE49-F238E27FC236}">
              <a16:creationId xmlns:a16="http://schemas.microsoft.com/office/drawing/2014/main" id="{D336887B-4057-4FA0-9CF2-E11904B5C442}"/>
            </a:ext>
          </a:extLst>
        </xdr:cNvPr>
        <xdr:cNvCxnSpPr/>
      </xdr:nvCxnSpPr>
      <xdr:spPr>
        <a:xfrm>
          <a:off x="2488007" y="6732407"/>
          <a:ext cx="1847651" cy="172192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199966</xdr:colOff>
      <xdr:row>10</xdr:row>
      <xdr:rowOff>42714</xdr:rowOff>
    </xdr:from>
    <xdr:to>
      <xdr:col>18</xdr:col>
      <xdr:colOff>259837</xdr:colOff>
      <xdr:row>11</xdr:row>
      <xdr:rowOff>84126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594B172-B4F9-441D-8332-EFBB1878CE87}"/>
            </a:ext>
          </a:extLst>
        </xdr:cNvPr>
        <xdr:cNvSpPr txBox="1"/>
      </xdr:nvSpPr>
      <xdr:spPr>
        <a:xfrm>
          <a:off x="6219766" y="1595289"/>
          <a:ext cx="440871" cy="193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19</xdr:col>
      <xdr:colOff>97306</xdr:colOff>
      <xdr:row>7</xdr:row>
      <xdr:rowOff>114840</xdr:rowOff>
    </xdr:from>
    <xdr:to>
      <xdr:col>20</xdr:col>
      <xdr:colOff>353353</xdr:colOff>
      <xdr:row>12</xdr:row>
      <xdr:rowOff>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EB2CDCC-AE71-467C-B45C-09CE8E71790A}"/>
            </a:ext>
          </a:extLst>
        </xdr:cNvPr>
        <xdr:cNvSpPr txBox="1"/>
      </xdr:nvSpPr>
      <xdr:spPr>
        <a:xfrm>
          <a:off x="6883047" y="1198719"/>
          <a:ext cx="637047" cy="65372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K3-27/37/1</a:t>
          </a:r>
          <a:endParaRPr lang="en-US" sz="6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CC8-A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CM5-5</a:t>
          </a: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362415</xdr:colOff>
      <xdr:row>8</xdr:row>
      <xdr:rowOff>109436</xdr:rowOff>
    </xdr:from>
    <xdr:to>
      <xdr:col>18</xdr:col>
      <xdr:colOff>102353</xdr:colOff>
      <xdr:row>42</xdr:row>
      <xdr:rowOff>120805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3BDACF61-D0C9-44C3-A3BA-EE8B69D37F30}"/>
            </a:ext>
          </a:extLst>
        </xdr:cNvPr>
        <xdr:cNvCxnSpPr>
          <a:stCxn id="38" idx="3"/>
        </xdr:cNvCxnSpPr>
      </xdr:nvCxnSpPr>
      <xdr:spPr>
        <a:xfrm flipH="1">
          <a:off x="2959720" y="1354656"/>
          <a:ext cx="3549938" cy="5252442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369794</xdr:colOff>
      <xdr:row>8</xdr:row>
      <xdr:rowOff>41413</xdr:rowOff>
    </xdr:from>
    <xdr:to>
      <xdr:col>17</xdr:col>
      <xdr:colOff>248478</xdr:colOff>
      <xdr:row>47</xdr:row>
      <xdr:rowOff>100853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A66394ED-0074-93CB-1F0C-089F0835D3AB}"/>
            </a:ext>
          </a:extLst>
        </xdr:cNvPr>
        <xdr:cNvCxnSpPr/>
      </xdr:nvCxnSpPr>
      <xdr:spPr>
        <a:xfrm flipH="1">
          <a:off x="2207559" y="1296472"/>
          <a:ext cx="4069684" cy="618905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243716</xdr:colOff>
      <xdr:row>43</xdr:row>
      <xdr:rowOff>14004</xdr:rowOff>
    </xdr:from>
    <xdr:to>
      <xdr:col>8</xdr:col>
      <xdr:colOff>354234</xdr:colOff>
      <xdr:row>43</xdr:row>
      <xdr:rowOff>127080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8866E929-822C-3792-373F-6AC5525FADCF}"/>
            </a:ext>
          </a:extLst>
        </xdr:cNvPr>
        <xdr:cNvGrpSpPr/>
      </xdr:nvGrpSpPr>
      <xdr:grpSpPr>
        <a:xfrm>
          <a:off x="2844455" y="6515852"/>
          <a:ext cx="110518" cy="1130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B521E0D7-E7AF-0CBD-D905-D4E3F88DE5D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32A9E7F4-2244-E31F-AA64-F41248C0A910}"/>
              </a:ext>
            </a:extLst>
          </xdr:cNvPr>
          <xdr:cNvCxnSpPr>
            <a:stCxn id="34" idx="1"/>
            <a:endCxn id="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F366C3F8-5BA5-799F-76ED-326187186E6D}"/>
              </a:ext>
            </a:extLst>
          </xdr:cNvPr>
          <xdr:cNvCxnSpPr>
            <a:stCxn id="34" idx="3"/>
            <a:endCxn id="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86168</xdr:colOff>
      <xdr:row>8</xdr:row>
      <xdr:rowOff>21049</xdr:rowOff>
    </xdr:from>
    <xdr:to>
      <xdr:col>18</xdr:col>
      <xdr:colOff>196686</xdr:colOff>
      <xdr:row>8</xdr:row>
      <xdr:rowOff>124601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D1386B04-E48B-68B0-A578-0D1CFBA4CEAA}"/>
            </a:ext>
          </a:extLst>
        </xdr:cNvPr>
        <xdr:cNvGrpSpPr/>
      </xdr:nvGrpSpPr>
      <xdr:grpSpPr>
        <a:xfrm>
          <a:off x="6496907" y="1246875"/>
          <a:ext cx="110518" cy="1035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" name="Oval 37">
            <a:extLst>
              <a:ext uri="{FF2B5EF4-FFF2-40B4-BE49-F238E27FC236}">
                <a16:creationId xmlns:a16="http://schemas.microsoft.com/office/drawing/2014/main" id="{F162469D-381A-3121-EE2F-4A9C8071AE0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8F05B6E1-0E72-8B8E-02DF-F12F0DDB15E4}"/>
              </a:ext>
            </a:extLst>
          </xdr:cNvPr>
          <xdr:cNvCxnSpPr>
            <a:stCxn id="38" idx="1"/>
            <a:endCxn id="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38B38DE3-C31A-FE4B-73FF-AA3F1EB58987}"/>
              </a:ext>
            </a:extLst>
          </xdr:cNvPr>
          <xdr:cNvCxnSpPr>
            <a:stCxn id="38" idx="3"/>
            <a:endCxn id="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338049</xdr:colOff>
      <xdr:row>43</xdr:row>
      <xdr:rowOff>110520</xdr:rowOff>
    </xdr:from>
    <xdr:to>
      <xdr:col>13</xdr:col>
      <xdr:colOff>0</xdr:colOff>
      <xdr:row>52</xdr:row>
      <xdr:rowOff>38100</xdr:rowOff>
    </xdr:to>
    <xdr:cxnSp macro="">
      <xdr:nvCxnSpPr>
        <xdr:cNvPr id="332" name="Straight Connector 331">
          <a:extLst>
            <a:ext uri="{FF2B5EF4-FFF2-40B4-BE49-F238E27FC236}">
              <a16:creationId xmlns:a16="http://schemas.microsoft.com/office/drawing/2014/main" id="{1277F013-DE2B-4339-93C0-0BB2D9EF3325}"/>
            </a:ext>
          </a:extLst>
        </xdr:cNvPr>
        <xdr:cNvCxnSpPr>
          <a:stCxn id="34" idx="5"/>
        </xdr:cNvCxnSpPr>
      </xdr:nvCxnSpPr>
      <xdr:spPr>
        <a:xfrm>
          <a:off x="2928849" y="6711345"/>
          <a:ext cx="1566951" cy="14325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226571</xdr:colOff>
      <xdr:row>17</xdr:row>
      <xdr:rowOff>86964</xdr:rowOff>
    </xdr:from>
    <xdr:to>
      <xdr:col>15</xdr:col>
      <xdr:colOff>337089</xdr:colOff>
      <xdr:row>18</xdr:row>
      <xdr:rowOff>50199</xdr:rowOff>
    </xdr:to>
    <xdr:grpSp>
      <xdr:nvGrpSpPr>
        <xdr:cNvPr id="305" name="Group 304">
          <a:extLst>
            <a:ext uri="{FF2B5EF4-FFF2-40B4-BE49-F238E27FC236}">
              <a16:creationId xmlns:a16="http://schemas.microsoft.com/office/drawing/2014/main" id="{D2526469-0C69-4570-9794-A4386CF74ED3}"/>
            </a:ext>
          </a:extLst>
        </xdr:cNvPr>
        <xdr:cNvGrpSpPr/>
      </xdr:nvGrpSpPr>
      <xdr:grpSpPr>
        <a:xfrm>
          <a:off x="5494310" y="2687703"/>
          <a:ext cx="110518" cy="11232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6" name="Oval 305">
            <a:extLst>
              <a:ext uri="{FF2B5EF4-FFF2-40B4-BE49-F238E27FC236}">
                <a16:creationId xmlns:a16="http://schemas.microsoft.com/office/drawing/2014/main" id="{A5B88D9C-0E71-4BED-99DA-FD5638E66C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809ED240-3D15-4528-A87F-BF493DE55305}"/>
              </a:ext>
            </a:extLst>
          </xdr:cNvPr>
          <xdr:cNvCxnSpPr>
            <a:stCxn id="306" idx="1"/>
            <a:endCxn id="3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F8BFCC3C-BCDF-479C-ADCE-9CD35341AC58}"/>
              </a:ext>
            </a:extLst>
          </xdr:cNvPr>
          <xdr:cNvCxnSpPr>
            <a:stCxn id="306" idx="3"/>
            <a:endCxn id="3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103623</xdr:colOff>
      <xdr:row>22</xdr:row>
      <xdr:rowOff>65508</xdr:rowOff>
    </xdr:from>
    <xdr:to>
      <xdr:col>14</xdr:col>
      <xdr:colOff>214141</xdr:colOff>
      <xdr:row>23</xdr:row>
      <xdr:rowOff>38690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17D1F059-E419-4C48-8075-2CF2383960E5}"/>
            </a:ext>
          </a:extLst>
        </xdr:cNvPr>
        <xdr:cNvGrpSpPr/>
      </xdr:nvGrpSpPr>
      <xdr:grpSpPr>
        <a:xfrm>
          <a:off x="4990362" y="3411682"/>
          <a:ext cx="110518" cy="1222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ADA8078E-B28F-4048-B681-FF1AECCE48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96726D84-3430-4AC1-AC2B-8B9385A4677D}"/>
              </a:ext>
            </a:extLst>
          </xdr:cNvPr>
          <xdr:cNvCxnSpPr>
            <a:stCxn id="115" idx="1"/>
            <a:endCxn id="1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4192BE38-3480-4048-9F4C-71533D72D33D}"/>
              </a:ext>
            </a:extLst>
          </xdr:cNvPr>
          <xdr:cNvCxnSpPr>
            <a:stCxn id="115" idx="3"/>
            <a:endCxn id="1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205409</xdr:colOff>
      <xdr:row>39</xdr:row>
      <xdr:rowOff>105307</xdr:rowOff>
    </xdr:from>
    <xdr:to>
      <xdr:col>10</xdr:col>
      <xdr:colOff>265280</xdr:colOff>
      <xdr:row>40</xdr:row>
      <xdr:rowOff>146719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7ACEEED2-D320-8A9E-E574-39DA2AEC1D8D}"/>
            </a:ext>
          </a:extLst>
        </xdr:cNvPr>
        <xdr:cNvSpPr txBox="1"/>
      </xdr:nvSpPr>
      <xdr:spPr>
        <a:xfrm>
          <a:off x="3182652" y="6103336"/>
          <a:ext cx="440871" cy="193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9</xdr:col>
      <xdr:colOff>318662</xdr:colOff>
      <xdr:row>45</xdr:row>
      <xdr:rowOff>36224</xdr:rowOff>
    </xdr:from>
    <xdr:to>
      <xdr:col>10</xdr:col>
      <xdr:colOff>378533</xdr:colOff>
      <xdr:row>46</xdr:row>
      <xdr:rowOff>79102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F13CB021-F1BF-5C87-9193-B39FCF78D1E3}"/>
            </a:ext>
          </a:extLst>
        </xdr:cNvPr>
        <xdr:cNvSpPr txBox="1"/>
      </xdr:nvSpPr>
      <xdr:spPr>
        <a:xfrm>
          <a:off x="3295905" y="6975867"/>
          <a:ext cx="440871" cy="1952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8</xdr:col>
      <xdr:colOff>308422</xdr:colOff>
      <xdr:row>42</xdr:row>
      <xdr:rowOff>37914</xdr:rowOff>
    </xdr:from>
    <xdr:to>
      <xdr:col>9</xdr:col>
      <xdr:colOff>368293</xdr:colOff>
      <xdr:row>43</xdr:row>
      <xdr:rowOff>77966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4357531C-887F-D1B6-B9A1-8F9D014BD490}"/>
            </a:ext>
          </a:extLst>
        </xdr:cNvPr>
        <xdr:cNvSpPr txBox="1"/>
      </xdr:nvSpPr>
      <xdr:spPr>
        <a:xfrm>
          <a:off x="2904665" y="6493143"/>
          <a:ext cx="440871" cy="192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30mtr</a:t>
          </a:r>
        </a:p>
      </xdr:txBody>
    </xdr:sp>
    <xdr:clientData/>
  </xdr:twoCellAnchor>
  <xdr:twoCellAnchor>
    <xdr:from>
      <xdr:col>16</xdr:col>
      <xdr:colOff>359759</xdr:colOff>
      <xdr:row>12</xdr:row>
      <xdr:rowOff>101548</xdr:rowOff>
    </xdr:from>
    <xdr:to>
      <xdr:col>17</xdr:col>
      <xdr:colOff>82746</xdr:colOff>
      <xdr:row>13</xdr:row>
      <xdr:rowOff>58994</xdr:rowOff>
    </xdr:to>
    <xdr:grpSp>
      <xdr:nvGrpSpPr>
        <xdr:cNvPr id="319" name="Group 318">
          <a:extLst>
            <a:ext uri="{FF2B5EF4-FFF2-40B4-BE49-F238E27FC236}">
              <a16:creationId xmlns:a16="http://schemas.microsoft.com/office/drawing/2014/main" id="{1FC1E7F7-20AE-49A6-8E2C-A58130108776}"/>
            </a:ext>
          </a:extLst>
        </xdr:cNvPr>
        <xdr:cNvGrpSpPr/>
      </xdr:nvGrpSpPr>
      <xdr:grpSpPr>
        <a:xfrm>
          <a:off x="6008498" y="1940287"/>
          <a:ext cx="103987" cy="12309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0" name="Oval 319">
            <a:extLst>
              <a:ext uri="{FF2B5EF4-FFF2-40B4-BE49-F238E27FC236}">
                <a16:creationId xmlns:a16="http://schemas.microsoft.com/office/drawing/2014/main" id="{B6F36E56-F8E9-4205-8983-07368969BB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DE7FB05A-9D4B-4AC8-B612-9329C471E870}"/>
              </a:ext>
            </a:extLst>
          </xdr:cNvPr>
          <xdr:cNvCxnSpPr>
            <a:stCxn id="320" idx="1"/>
            <a:endCxn id="3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321">
            <a:extLst>
              <a:ext uri="{FF2B5EF4-FFF2-40B4-BE49-F238E27FC236}">
                <a16:creationId xmlns:a16="http://schemas.microsoft.com/office/drawing/2014/main" id="{AF3EC902-4C97-4351-A9B4-F643DF094203}"/>
              </a:ext>
            </a:extLst>
          </xdr:cNvPr>
          <xdr:cNvCxnSpPr>
            <a:stCxn id="320" idx="3"/>
            <a:endCxn id="3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175223</xdr:colOff>
      <xdr:row>7</xdr:row>
      <xdr:rowOff>66261</xdr:rowOff>
    </xdr:from>
    <xdr:to>
      <xdr:col>16</xdr:col>
      <xdr:colOff>50270</xdr:colOff>
      <xdr:row>10</xdr:row>
      <xdr:rowOff>115957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5DD8B9C1-D06E-68A6-99A3-8F900019DE56}"/>
            </a:ext>
          </a:extLst>
        </xdr:cNvPr>
        <xdr:cNvSpPr txBox="1"/>
      </xdr:nvSpPr>
      <xdr:spPr>
        <a:xfrm>
          <a:off x="5061962" y="1143000"/>
          <a:ext cx="637047" cy="5135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K3-27/37/1A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341510</xdr:colOff>
      <xdr:row>27</xdr:row>
      <xdr:rowOff>68500</xdr:rowOff>
    </xdr:from>
    <xdr:to>
      <xdr:col>13</xdr:col>
      <xdr:colOff>71028</xdr:colOff>
      <xdr:row>28</xdr:row>
      <xdr:rowOff>41683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3DD7EC4-275D-8A8F-3FCE-FB52F16A2784}"/>
            </a:ext>
          </a:extLst>
        </xdr:cNvPr>
        <xdr:cNvGrpSpPr/>
      </xdr:nvGrpSpPr>
      <xdr:grpSpPr>
        <a:xfrm>
          <a:off x="4466249" y="4160109"/>
          <a:ext cx="110518" cy="1222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4B11DAD7-65BA-705F-72A2-471CFDAA0CE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598C6816-C6DD-820D-2CD9-46C8C28B4C46}"/>
              </a:ext>
            </a:extLst>
          </xdr:cNvPr>
          <xdr:cNvCxnSpPr>
            <a:stCxn id="8" idx="1"/>
            <a:endCxn id="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ED5DF36-8EC9-148D-BF53-37ABAF3BACBF}"/>
              </a:ext>
            </a:extLst>
          </xdr:cNvPr>
          <xdr:cNvCxnSpPr>
            <a:stCxn id="8" idx="3"/>
            <a:endCxn id="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169702</xdr:colOff>
      <xdr:row>32</xdr:row>
      <xdr:rowOff>153795</xdr:rowOff>
    </xdr:from>
    <xdr:to>
      <xdr:col>11</xdr:col>
      <xdr:colOff>280220</xdr:colOff>
      <xdr:row>33</xdr:row>
      <xdr:rowOff>126976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EC365AAA-FF78-494D-ADC3-170140946385}"/>
            </a:ext>
          </a:extLst>
        </xdr:cNvPr>
        <xdr:cNvGrpSpPr/>
      </xdr:nvGrpSpPr>
      <xdr:grpSpPr>
        <a:xfrm>
          <a:off x="3913441" y="4982556"/>
          <a:ext cx="110518" cy="1222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94217797-0489-5B29-A48A-A7AAA826B7D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FD4F384D-D93D-1FC0-1676-A1B6595F2DD5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13BB5DB4-2C98-89B0-15EE-E21BE7C2FF2E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49885</xdr:colOff>
      <xdr:row>37</xdr:row>
      <xdr:rowOff>107673</xdr:rowOff>
    </xdr:from>
    <xdr:to>
      <xdr:col>10</xdr:col>
      <xdr:colOff>173935</xdr:colOff>
      <xdr:row>38</xdr:row>
      <xdr:rowOff>70514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F6674404-7219-84F7-C3C8-1009C66F1597}"/>
            </a:ext>
          </a:extLst>
        </xdr:cNvPr>
        <xdr:cNvGrpSpPr/>
      </xdr:nvGrpSpPr>
      <xdr:grpSpPr>
        <a:xfrm>
          <a:off x="3412624" y="5698434"/>
          <a:ext cx="124050" cy="12849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" name="Oval 17">
            <a:extLst>
              <a:ext uri="{FF2B5EF4-FFF2-40B4-BE49-F238E27FC236}">
                <a16:creationId xmlns:a16="http://schemas.microsoft.com/office/drawing/2014/main" id="{CE93220D-9FF8-9E97-6DD8-CB1491AA3F6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625F0384-27A1-0E06-A504-8CC28FF7F567}"/>
              </a:ext>
            </a:extLst>
          </xdr:cNvPr>
          <xdr:cNvCxnSpPr>
            <a:stCxn id="18" idx="1"/>
            <a:endCxn id="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EEBF682C-A452-56E8-46C4-694189AC9EB1}"/>
              </a:ext>
            </a:extLst>
          </xdr:cNvPr>
          <xdr:cNvCxnSpPr>
            <a:stCxn id="18" idx="3"/>
            <a:endCxn id="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306645</xdr:colOff>
      <xdr:row>47</xdr:row>
      <xdr:rowOff>99391</xdr:rowOff>
    </xdr:from>
    <xdr:to>
      <xdr:col>11</xdr:col>
      <xdr:colOff>49695</xdr:colOff>
      <xdr:row>48</xdr:row>
      <xdr:rowOff>62232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23AA071B-ECF6-312F-46CF-54A7E8A559EC}"/>
            </a:ext>
          </a:extLst>
        </xdr:cNvPr>
        <xdr:cNvGrpSpPr/>
      </xdr:nvGrpSpPr>
      <xdr:grpSpPr>
        <a:xfrm>
          <a:off x="3669384" y="7230717"/>
          <a:ext cx="124050" cy="12849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3" name="Oval 42">
            <a:extLst>
              <a:ext uri="{FF2B5EF4-FFF2-40B4-BE49-F238E27FC236}">
                <a16:creationId xmlns:a16="http://schemas.microsoft.com/office/drawing/2014/main" id="{D7442705-C9ED-5453-A3F3-B7277636D2D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25C1B417-5F8A-4644-AB53-4891B17047A3}"/>
              </a:ext>
            </a:extLst>
          </xdr:cNvPr>
          <xdr:cNvCxnSpPr>
            <a:stCxn id="43" idx="1"/>
            <a:endCxn id="4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04512648-3090-77CE-6B1B-51307336F701}"/>
              </a:ext>
            </a:extLst>
          </xdr:cNvPr>
          <xdr:cNvCxnSpPr>
            <a:stCxn id="43" idx="3"/>
            <a:endCxn id="4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41602</xdr:colOff>
      <xdr:row>41</xdr:row>
      <xdr:rowOff>41412</xdr:rowOff>
    </xdr:from>
    <xdr:to>
      <xdr:col>9</xdr:col>
      <xdr:colOff>165652</xdr:colOff>
      <xdr:row>42</xdr:row>
      <xdr:rowOff>20818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D3F51AC0-B404-9566-BDB3-DCCBD9C2F325}"/>
            </a:ext>
          </a:extLst>
        </xdr:cNvPr>
        <xdr:cNvGrpSpPr/>
      </xdr:nvGrpSpPr>
      <xdr:grpSpPr>
        <a:xfrm>
          <a:off x="3023341" y="6245086"/>
          <a:ext cx="124050" cy="12849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7" name="Oval 46">
            <a:extLst>
              <a:ext uri="{FF2B5EF4-FFF2-40B4-BE49-F238E27FC236}">
                <a16:creationId xmlns:a16="http://schemas.microsoft.com/office/drawing/2014/main" id="{5CDCC3E3-BB6E-CDBE-46C3-2257CB19FC4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7639BBAD-C762-ADAC-3E37-FC0A34A42702}"/>
              </a:ext>
            </a:extLst>
          </xdr:cNvPr>
          <xdr:cNvCxnSpPr>
            <a:stCxn id="47" idx="1"/>
            <a:endCxn id="4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4764B147-9299-A0D3-CB43-5C5A469B8089}"/>
              </a:ext>
            </a:extLst>
          </xdr:cNvPr>
          <xdr:cNvCxnSpPr>
            <a:stCxn id="47" idx="3"/>
            <a:endCxn id="4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338049</xdr:colOff>
      <xdr:row>42</xdr:row>
      <xdr:rowOff>1379</xdr:rowOff>
    </xdr:from>
    <xdr:to>
      <xdr:col>9</xdr:col>
      <xdr:colOff>59769</xdr:colOff>
      <xdr:row>43</xdr:row>
      <xdr:rowOff>30564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8A149ED3-EE7D-9E48-9C2A-BF48C495944A}"/>
            </a:ext>
          </a:extLst>
        </xdr:cNvPr>
        <xdr:cNvCxnSpPr>
          <a:stCxn id="47" idx="3"/>
          <a:endCxn id="34" idx="7"/>
        </xdr:cNvCxnSpPr>
      </xdr:nvCxnSpPr>
      <xdr:spPr>
        <a:xfrm flipH="1">
          <a:off x="2935354" y="6487672"/>
          <a:ext cx="102720" cy="18251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83419</xdr:colOff>
      <xdr:row>44</xdr:row>
      <xdr:rowOff>59997</xdr:rowOff>
    </xdr:from>
    <xdr:to>
      <xdr:col>9</xdr:col>
      <xdr:colOff>207469</xdr:colOff>
      <xdr:row>45</xdr:row>
      <xdr:rowOff>11525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D3E7944B-B2D8-7CED-77E2-22571D886E20}"/>
            </a:ext>
          </a:extLst>
        </xdr:cNvPr>
        <xdr:cNvGrpSpPr/>
      </xdr:nvGrpSpPr>
      <xdr:grpSpPr>
        <a:xfrm>
          <a:off x="3065158" y="6710932"/>
          <a:ext cx="124050" cy="13374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4" name="Oval 63">
            <a:extLst>
              <a:ext uri="{FF2B5EF4-FFF2-40B4-BE49-F238E27FC236}">
                <a16:creationId xmlns:a16="http://schemas.microsoft.com/office/drawing/2014/main" id="{8BBF3DFF-18CE-E06D-753F-1C2F0E56332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0B327074-6CC5-F517-6F0B-F752A8BC67FE}"/>
              </a:ext>
            </a:extLst>
          </xdr:cNvPr>
          <xdr:cNvCxnSpPr>
            <a:stCxn id="64" idx="1"/>
            <a:endCxn id="6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Straight Connector 65">
            <a:extLst>
              <a:ext uri="{FF2B5EF4-FFF2-40B4-BE49-F238E27FC236}">
                <a16:creationId xmlns:a16="http://schemas.microsoft.com/office/drawing/2014/main" id="{8B9C56F4-05BC-BA76-4EE8-E6C843488DC2}"/>
              </a:ext>
            </a:extLst>
          </xdr:cNvPr>
          <xdr:cNvCxnSpPr>
            <a:stCxn id="64" idx="3"/>
            <a:endCxn id="6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376354</xdr:colOff>
      <xdr:row>43</xdr:row>
      <xdr:rowOff>144037</xdr:rowOff>
    </xdr:from>
    <xdr:to>
      <xdr:col>9</xdr:col>
      <xdr:colOff>101586</xdr:colOff>
      <xdr:row>44</xdr:row>
      <xdr:rowOff>79436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74758D52-1497-C2A0-51DD-7B5C9113BA4E}"/>
            </a:ext>
          </a:extLst>
        </xdr:cNvPr>
        <xdr:cNvCxnSpPr>
          <a:stCxn id="64" idx="1"/>
        </xdr:cNvCxnSpPr>
      </xdr:nvCxnSpPr>
      <xdr:spPr>
        <a:xfrm flipH="1" flipV="1">
          <a:off x="2973659" y="6783659"/>
          <a:ext cx="106232" cy="88728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196889</xdr:colOff>
      <xdr:row>97</xdr:row>
      <xdr:rowOff>115956</xdr:rowOff>
    </xdr:from>
    <xdr:to>
      <xdr:col>17</xdr:col>
      <xdr:colOff>256761</xdr:colOff>
      <xdr:row>108</xdr:row>
      <xdr:rowOff>151335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9B4210DF-573E-4E45-9B48-0CF154A77A5A}"/>
            </a:ext>
          </a:extLst>
        </xdr:cNvPr>
        <xdr:cNvSpPr txBox="1"/>
      </xdr:nvSpPr>
      <xdr:spPr>
        <a:xfrm>
          <a:off x="3940628" y="14941826"/>
          <a:ext cx="2345872" cy="1824422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b"/>
        <a:lstStyle/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AGR IMAM SISWANTO</a:t>
          </a:r>
        </a:p>
      </xdr:txBody>
    </xdr:sp>
    <xdr:clientData/>
  </xdr:twoCellAnchor>
  <xdr:oneCellAnchor>
    <xdr:from>
      <xdr:col>19</xdr:col>
      <xdr:colOff>10849</xdr:colOff>
      <xdr:row>56</xdr:row>
      <xdr:rowOff>54428</xdr:rowOff>
    </xdr:from>
    <xdr:ext cx="858299" cy="800336"/>
    <xdr:pic>
      <xdr:nvPicPr>
        <xdr:cNvPr id="75" name="Picture 74">
          <a:extLst>
            <a:ext uri="{FF2B5EF4-FFF2-40B4-BE49-F238E27FC236}">
              <a16:creationId xmlns:a16="http://schemas.microsoft.com/office/drawing/2014/main" id="{D3A6B345-9A7D-48F9-AA08-ED23F194E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98092" y="217714"/>
          <a:ext cx="858299" cy="800336"/>
        </a:xfrm>
        <a:prstGeom prst="rect">
          <a:avLst/>
        </a:prstGeom>
      </xdr:spPr>
    </xdr:pic>
    <xdr:clientData/>
  </xdr:oneCellAnchor>
  <xdr:twoCellAnchor>
    <xdr:from>
      <xdr:col>26</xdr:col>
      <xdr:colOff>65006</xdr:colOff>
      <xdr:row>60</xdr:row>
      <xdr:rowOff>40289</xdr:rowOff>
    </xdr:from>
    <xdr:to>
      <xdr:col>29</xdr:col>
      <xdr:colOff>354335</xdr:colOff>
      <xdr:row>72</xdr:row>
      <xdr:rowOff>35534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2063008E-DAEE-45FC-8927-5AAF67FEC5D5}"/>
            </a:ext>
          </a:extLst>
        </xdr:cNvPr>
        <xdr:cNvGrpSpPr/>
      </xdr:nvGrpSpPr>
      <xdr:grpSpPr>
        <a:xfrm>
          <a:off x="9565158" y="9291963"/>
          <a:ext cx="1490307" cy="1817419"/>
          <a:chOff x="9713886" y="808452"/>
          <a:chExt cx="1342558" cy="1766630"/>
        </a:xfrm>
      </xdr:grpSpPr>
      <xdr:grpSp>
        <xdr:nvGrpSpPr>
          <xdr:cNvPr id="82" name="Group 13">
            <a:extLst>
              <a:ext uri="{FF2B5EF4-FFF2-40B4-BE49-F238E27FC236}">
                <a16:creationId xmlns:a16="http://schemas.microsoft.com/office/drawing/2014/main" id="{BFD87E7A-FEDB-778B-A5E1-C2F62FF721FB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2" name="Oval 1">
              <a:extLst>
                <a:ext uri="{FF2B5EF4-FFF2-40B4-BE49-F238E27FC236}">
                  <a16:creationId xmlns:a16="http://schemas.microsoft.com/office/drawing/2014/main" id="{7643F706-2297-4228-4C95-84214D231465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3" name="Straight Connector 3">
              <a:extLst>
                <a:ext uri="{FF2B5EF4-FFF2-40B4-BE49-F238E27FC236}">
                  <a16:creationId xmlns:a16="http://schemas.microsoft.com/office/drawing/2014/main" id="{D2D658BA-6644-804C-DF2A-46DB2D7E1C2A}"/>
                </a:ext>
              </a:extLst>
            </xdr:cNvPr>
            <xdr:cNvCxnSpPr>
              <a:stCxn id="106" idx="1"/>
              <a:endCxn id="106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7">
              <a:extLst>
                <a:ext uri="{FF2B5EF4-FFF2-40B4-BE49-F238E27FC236}">
                  <a16:creationId xmlns:a16="http://schemas.microsoft.com/office/drawing/2014/main" id="{2466D51B-0A0B-0996-BA3D-0FF8E5814748}"/>
                </a:ext>
              </a:extLst>
            </xdr:cNvPr>
            <xdr:cNvCxnSpPr>
              <a:stCxn id="106" idx="3"/>
              <a:endCxn id="106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44119606-CCA6-8D60-3B74-E937B9C795A6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84" name="Group 83">
            <a:extLst>
              <a:ext uri="{FF2B5EF4-FFF2-40B4-BE49-F238E27FC236}">
                <a16:creationId xmlns:a16="http://schemas.microsoft.com/office/drawing/2014/main" id="{D8AF690C-0AE1-A7F5-E0AD-CECD5DB7DD9F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9" name="Oval 158">
              <a:extLst>
                <a:ext uri="{FF2B5EF4-FFF2-40B4-BE49-F238E27FC236}">
                  <a16:creationId xmlns:a16="http://schemas.microsoft.com/office/drawing/2014/main" id="{A43A8FEB-9016-0F7C-8457-2C32884EC16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CAC703F-DB95-34BB-F097-7A68CBD0A3D7}"/>
                </a:ext>
              </a:extLst>
            </xdr:cNvPr>
            <xdr:cNvCxnSpPr>
              <a:stCxn id="159" idx="1"/>
              <a:endCxn id="15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46583E9B-7D88-CE4A-17AB-B6D42310F580}"/>
                </a:ext>
              </a:extLst>
            </xdr:cNvPr>
            <xdr:cNvCxnSpPr>
              <a:stCxn id="159" idx="3"/>
              <a:endCxn id="15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6BF0F5BE-0C5A-8A1F-45D1-EAE5312D518F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BA813BF6-B01D-D4D1-A5CF-45366235C254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325A2CF6-26F6-05AC-1159-F18097D28F55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0CB7DFFA-2266-282C-4389-27902EA57164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BCB8D029-FBCB-1B75-296E-3894695F2F1B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B3BFFBF0-3E7E-C7F0-45D6-BA75D5D4C96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4DE0613E-B80A-53BA-F03F-F22DB86FC9D8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19F03269-4D33-7C67-D0F4-C2AB4C44998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996E588D-3F4E-A42B-2445-D049C599A57B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AA99D5C7-BDC4-9E0C-E23C-4EDF63211CAE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D2EA34E4-04CB-7E31-A751-6FD28ED8EFF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28F9F6ED-E8FA-697B-1B41-B486E705B71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DA8CD8D5-7C25-E1DB-55EC-A65A5682CE9C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50">
            <a:extLst>
              <a:ext uri="{FF2B5EF4-FFF2-40B4-BE49-F238E27FC236}">
                <a16:creationId xmlns:a16="http://schemas.microsoft.com/office/drawing/2014/main" id="{457C2A36-F00B-8281-43D0-868D42092EC6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72C71251-CE73-25A0-5FF1-A46B3C4F310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52">
            <a:extLst>
              <a:ext uri="{FF2B5EF4-FFF2-40B4-BE49-F238E27FC236}">
                <a16:creationId xmlns:a16="http://schemas.microsoft.com/office/drawing/2014/main" id="{7E9802DC-EFCF-E063-A0CE-535BED4AAA2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CF50257C-7002-8B88-8130-1DA854FF12C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2D82EF47-2097-BBB4-64EE-39B53B24023C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A5C6DA51-51B2-BEAA-799E-810EBA9E5653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73360835-9A8B-643A-9D37-2DB4A58CEF29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0A9010B0-5CB7-B434-ED87-E6669E53C67F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D28B25FC-E749-B4AD-A228-480BB931AA79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31B4F790-E0ED-6C5C-1BDB-F1EBE9EE62E8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34167AEA-9925-CACC-380A-5403008CB1E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6AD48D33-396D-B58A-6A7E-9E0FFA145C2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1" name="Group 73">
            <a:extLst>
              <a:ext uri="{FF2B5EF4-FFF2-40B4-BE49-F238E27FC236}">
                <a16:creationId xmlns:a16="http://schemas.microsoft.com/office/drawing/2014/main" id="{9C692136-D56D-1417-5064-90F0637D00E2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7" name="TextBox 156">
              <a:extLst>
                <a:ext uri="{FF2B5EF4-FFF2-40B4-BE49-F238E27FC236}">
                  <a16:creationId xmlns:a16="http://schemas.microsoft.com/office/drawing/2014/main" id="{F191E05A-AEE7-B708-8E12-8FC202A1FB2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913A8BA5-C780-83F7-8E92-8619FE7580C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74">
            <a:extLst>
              <a:ext uri="{FF2B5EF4-FFF2-40B4-BE49-F238E27FC236}">
                <a16:creationId xmlns:a16="http://schemas.microsoft.com/office/drawing/2014/main" id="{B6F191F0-C61E-B36B-9150-294F3FD66015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5" name="TextBox 154">
              <a:extLst>
                <a:ext uri="{FF2B5EF4-FFF2-40B4-BE49-F238E27FC236}">
                  <a16:creationId xmlns:a16="http://schemas.microsoft.com/office/drawing/2014/main" id="{31379F1E-18AC-52BE-034E-1E1DB7576D7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6" name="Straight Connector 155">
              <a:extLst>
                <a:ext uri="{FF2B5EF4-FFF2-40B4-BE49-F238E27FC236}">
                  <a16:creationId xmlns:a16="http://schemas.microsoft.com/office/drawing/2014/main" id="{F7C69C8F-98EF-7198-7753-EF3082C2738A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89">
            <a:extLst>
              <a:ext uri="{FF2B5EF4-FFF2-40B4-BE49-F238E27FC236}">
                <a16:creationId xmlns:a16="http://schemas.microsoft.com/office/drawing/2014/main" id="{EE858BED-1ECD-5A06-FA44-E911D84A641D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1" name="Straight Connector 150">
              <a:extLst>
                <a:ext uri="{FF2B5EF4-FFF2-40B4-BE49-F238E27FC236}">
                  <a16:creationId xmlns:a16="http://schemas.microsoft.com/office/drawing/2014/main" id="{BCF1B888-8629-7CAB-0BFF-B805C56FC3D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79">
              <a:extLst>
                <a:ext uri="{FF2B5EF4-FFF2-40B4-BE49-F238E27FC236}">
                  <a16:creationId xmlns:a16="http://schemas.microsoft.com/office/drawing/2014/main" id="{00F1E684-26D1-45E7-CA96-AF6094C6BC6C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0">
              <a:extLst>
                <a:ext uri="{FF2B5EF4-FFF2-40B4-BE49-F238E27FC236}">
                  <a16:creationId xmlns:a16="http://schemas.microsoft.com/office/drawing/2014/main" id="{F5F0DA57-D4A9-2942-C97D-0257C5F841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4" name="Straight Connector 88">
              <a:extLst>
                <a:ext uri="{FF2B5EF4-FFF2-40B4-BE49-F238E27FC236}">
                  <a16:creationId xmlns:a16="http://schemas.microsoft.com/office/drawing/2014/main" id="{F38A2556-7E95-51E1-6F98-5EDE27E5428E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4" name="Group 90">
            <a:extLst>
              <a:ext uri="{FF2B5EF4-FFF2-40B4-BE49-F238E27FC236}">
                <a16:creationId xmlns:a16="http://schemas.microsoft.com/office/drawing/2014/main" id="{D3A241B7-84FF-4135-862C-16E1EB316CE3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B4A5FD5D-5BBB-48CE-F58F-3D235B9C370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6D3B37EA-3F74-0BDD-01DF-8E25F9F7A65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E2163C56-8BFE-2502-6731-7315391DD34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B6D469D0-B519-C344-E68F-F3E693371522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31756B8-8020-D6F4-1742-2850E491D98D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5AFD4060-1670-7C95-AEE2-558C71B1779A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40BF63E8-39C8-BF7D-85AD-D4924E18AA13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Arrow Connector 137">
            <a:extLst>
              <a:ext uri="{FF2B5EF4-FFF2-40B4-BE49-F238E27FC236}">
                <a16:creationId xmlns:a16="http://schemas.microsoft.com/office/drawing/2014/main" id="{A8792191-AF5B-731E-9E07-68D7816535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9" name="Group 155">
            <a:extLst>
              <a:ext uri="{FF2B5EF4-FFF2-40B4-BE49-F238E27FC236}">
                <a16:creationId xmlns:a16="http://schemas.microsoft.com/office/drawing/2014/main" id="{A5ACD7FE-1A2B-6AD3-995C-3F67B330BB5E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C84A13E-91B7-272B-1BE8-4B53D93ECEC6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904A8C16-A183-20F6-47CF-750B2CD4B52F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6" name="Isosceles Triangle 145">
              <a:extLst>
                <a:ext uri="{FF2B5EF4-FFF2-40B4-BE49-F238E27FC236}">
                  <a16:creationId xmlns:a16="http://schemas.microsoft.com/office/drawing/2014/main" id="{B7B3A949-E014-D76E-84B7-042ECACB64B4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40" name="Group 134">
            <a:extLst>
              <a:ext uri="{FF2B5EF4-FFF2-40B4-BE49-F238E27FC236}">
                <a16:creationId xmlns:a16="http://schemas.microsoft.com/office/drawing/2014/main" id="{B052CC17-3D1C-DFFA-D2E6-03804835A895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A6DD079B-72CE-40CC-FE6B-497767F04774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6BC3769F-7232-1377-9F11-D5C408CC918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74BE7B0B-C365-B5E3-DDF5-AD3AA36F2E2F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142475</xdr:colOff>
      <xdr:row>67</xdr:row>
      <xdr:rowOff>18090</xdr:rowOff>
    </xdr:from>
    <xdr:to>
      <xdr:col>21</xdr:col>
      <xdr:colOff>60832</xdr:colOff>
      <xdr:row>105</xdr:row>
      <xdr:rowOff>72519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6E279A0-E757-47D7-B81F-F106962D4DC8}"/>
            </a:ext>
          </a:extLst>
        </xdr:cNvPr>
        <xdr:cNvCxnSpPr/>
      </xdr:nvCxnSpPr>
      <xdr:spPr>
        <a:xfrm>
          <a:off x="2352275" y="10457490"/>
          <a:ext cx="5252357" cy="590277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185593</xdr:colOff>
      <xdr:row>95</xdr:row>
      <xdr:rowOff>41349</xdr:rowOff>
    </xdr:from>
    <xdr:to>
      <xdr:col>18</xdr:col>
      <xdr:colOff>257735</xdr:colOff>
      <xdr:row>96</xdr:row>
      <xdr:rowOff>0</xdr:rowOff>
    </xdr:to>
    <xdr:cxnSp macro="">
      <xdr:nvCxnSpPr>
        <xdr:cNvPr id="166" name="Straight Arrow Connector 165">
          <a:extLst>
            <a:ext uri="{FF2B5EF4-FFF2-40B4-BE49-F238E27FC236}">
              <a16:creationId xmlns:a16="http://schemas.microsoft.com/office/drawing/2014/main" id="{092E246E-DC86-49F9-89B9-11CA914BFC0D}"/>
            </a:ext>
          </a:extLst>
        </xdr:cNvPr>
        <xdr:cNvCxnSpPr>
          <a:stCxn id="227" idx="5"/>
        </xdr:cNvCxnSpPr>
      </xdr:nvCxnSpPr>
      <xdr:spPr>
        <a:xfrm>
          <a:off x="6595358" y="15034820"/>
          <a:ext cx="72142" cy="115533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193265</xdr:colOff>
      <xdr:row>100</xdr:row>
      <xdr:rowOff>41830</xdr:rowOff>
    </xdr:from>
    <xdr:to>
      <xdr:col>13</xdr:col>
      <xdr:colOff>14552</xdr:colOff>
      <xdr:row>108</xdr:row>
      <xdr:rowOff>93653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3FF48176-366B-4F9A-9879-CC111C054F9F}"/>
            </a:ext>
          </a:extLst>
        </xdr:cNvPr>
        <xdr:cNvSpPr txBox="1"/>
      </xdr:nvSpPr>
      <xdr:spPr>
        <a:xfrm>
          <a:off x="3556004" y="15348091"/>
          <a:ext cx="964287" cy="13604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K3-27/37/1T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160 KVA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PENGHALANG PANJAT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TANDA BAHAYA</a:t>
          </a:r>
        </a:p>
      </xdr:txBody>
    </xdr:sp>
    <xdr:clientData/>
  </xdr:twoCellAnchor>
  <xdr:twoCellAnchor>
    <xdr:from>
      <xdr:col>13</xdr:col>
      <xdr:colOff>214722</xdr:colOff>
      <xdr:row>101</xdr:row>
      <xdr:rowOff>97691</xdr:rowOff>
    </xdr:from>
    <xdr:to>
      <xdr:col>15</xdr:col>
      <xdr:colOff>65636</xdr:colOff>
      <xdr:row>103</xdr:row>
      <xdr:rowOff>64490</xdr:rowOff>
    </xdr:to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D96D85E2-1245-42E7-9BA4-1EB28891AC6D}"/>
            </a:ext>
          </a:extLst>
        </xdr:cNvPr>
        <xdr:cNvSpPr txBox="1"/>
      </xdr:nvSpPr>
      <xdr:spPr>
        <a:xfrm>
          <a:off x="4714463" y="15705553"/>
          <a:ext cx="612914" cy="28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100 kVA</a:t>
          </a:r>
        </a:p>
      </xdr:txBody>
    </xdr:sp>
    <xdr:clientData/>
  </xdr:twoCellAnchor>
  <xdr:twoCellAnchor>
    <xdr:from>
      <xdr:col>15</xdr:col>
      <xdr:colOff>190931</xdr:colOff>
      <xdr:row>96</xdr:row>
      <xdr:rowOff>146576</xdr:rowOff>
    </xdr:from>
    <xdr:to>
      <xdr:col>18</xdr:col>
      <xdr:colOff>131677</xdr:colOff>
      <xdr:row>105</xdr:row>
      <xdr:rowOff>12499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4C0349B2-4189-4F2B-AE11-73C5175DB784}"/>
            </a:ext>
          </a:extLst>
        </xdr:cNvPr>
        <xdr:cNvCxnSpPr/>
      </xdr:nvCxnSpPr>
      <xdr:spPr>
        <a:xfrm flipH="1">
          <a:off x="5457696" y="15296929"/>
          <a:ext cx="1083746" cy="1300276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334874</xdr:colOff>
      <xdr:row>100</xdr:row>
      <xdr:rowOff>87825</xdr:rowOff>
    </xdr:from>
    <xdr:to>
      <xdr:col>14</xdr:col>
      <xdr:colOff>305492</xdr:colOff>
      <xdr:row>101</xdr:row>
      <xdr:rowOff>96722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070509E2-9CBA-4F20-9A7D-2F5B1ECB35D4}"/>
            </a:ext>
          </a:extLst>
        </xdr:cNvPr>
        <xdr:cNvGrpSpPr/>
      </xdr:nvGrpSpPr>
      <xdr:grpSpPr>
        <a:xfrm>
          <a:off x="4840613" y="15394086"/>
          <a:ext cx="351618" cy="157984"/>
          <a:chOff x="5553123" y="2297950"/>
          <a:chExt cx="351618" cy="162337"/>
        </a:xfrm>
      </xdr:grpSpPr>
      <xdr:sp macro="" textlink="">
        <xdr:nvSpPr>
          <xdr:cNvPr id="199" name="Isosceles Triangle 198">
            <a:extLst>
              <a:ext uri="{FF2B5EF4-FFF2-40B4-BE49-F238E27FC236}">
                <a16:creationId xmlns:a16="http://schemas.microsoft.com/office/drawing/2014/main" id="{416B1917-3DD3-D3C6-71EE-08F4A183CF6F}"/>
              </a:ext>
            </a:extLst>
          </xdr:cNvPr>
          <xdr:cNvSpPr/>
        </xdr:nvSpPr>
        <xdr:spPr>
          <a:xfrm>
            <a:off x="5553123" y="2307624"/>
            <a:ext cx="217862" cy="132398"/>
          </a:xfrm>
          <a:prstGeom prst="triangle">
            <a:avLst/>
          </a:prstGeom>
          <a:solidFill>
            <a:srgbClr val="FF0000"/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0" name="Isosceles Triangle 199">
            <a:extLst>
              <a:ext uri="{FF2B5EF4-FFF2-40B4-BE49-F238E27FC236}">
                <a16:creationId xmlns:a16="http://schemas.microsoft.com/office/drawing/2014/main" id="{D0DC95C3-E3D3-090F-1D68-048D67194FD5}"/>
              </a:ext>
            </a:extLst>
          </xdr:cNvPr>
          <xdr:cNvSpPr/>
        </xdr:nvSpPr>
        <xdr:spPr>
          <a:xfrm>
            <a:off x="5686879" y="2303571"/>
            <a:ext cx="217862" cy="132398"/>
          </a:xfrm>
          <a:prstGeom prst="triangle">
            <a:avLst/>
          </a:prstGeom>
          <a:solidFill>
            <a:srgbClr val="FF0000"/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1" name="Isosceles Triangle 200">
            <a:extLst>
              <a:ext uri="{FF2B5EF4-FFF2-40B4-BE49-F238E27FC236}">
                <a16:creationId xmlns:a16="http://schemas.microsoft.com/office/drawing/2014/main" id="{70027DA5-122A-6340-A0BC-DA94D36E21E9}"/>
              </a:ext>
            </a:extLst>
          </xdr:cNvPr>
          <xdr:cNvSpPr/>
        </xdr:nvSpPr>
        <xdr:spPr>
          <a:xfrm>
            <a:off x="5625831" y="2297950"/>
            <a:ext cx="217862" cy="162337"/>
          </a:xfrm>
          <a:prstGeom prst="triangle">
            <a:avLst/>
          </a:prstGeom>
          <a:solidFill>
            <a:srgbClr val="FF0000"/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14</xdr:col>
      <xdr:colOff>53329</xdr:colOff>
      <xdr:row>82</xdr:row>
      <xdr:rowOff>116193</xdr:rowOff>
    </xdr:from>
    <xdr:to>
      <xdr:col>15</xdr:col>
      <xdr:colOff>113200</xdr:colOff>
      <xdr:row>84</xdr:row>
      <xdr:rowOff>5205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841B635A-E29A-4569-9004-4822E747E55A}"/>
            </a:ext>
          </a:extLst>
        </xdr:cNvPr>
        <xdr:cNvSpPr txBox="1"/>
      </xdr:nvSpPr>
      <xdr:spPr>
        <a:xfrm>
          <a:off x="4939094" y="13081399"/>
          <a:ext cx="440871" cy="2027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15</xdr:col>
      <xdr:colOff>332109</xdr:colOff>
      <xdr:row>87</xdr:row>
      <xdr:rowOff>28540</xdr:rowOff>
    </xdr:from>
    <xdr:to>
      <xdr:col>17</xdr:col>
      <xdr:colOff>10980</xdr:colOff>
      <xdr:row>88</xdr:row>
      <xdr:rowOff>71419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33712C05-2681-479A-9FF4-C0C33B396BD1}"/>
            </a:ext>
          </a:extLst>
        </xdr:cNvPr>
        <xdr:cNvSpPr txBox="1"/>
      </xdr:nvSpPr>
      <xdr:spPr>
        <a:xfrm>
          <a:off x="5598874" y="13766952"/>
          <a:ext cx="440871" cy="199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16</xdr:col>
      <xdr:colOff>245140</xdr:colOff>
      <xdr:row>90</xdr:row>
      <xdr:rowOff>46088</xdr:rowOff>
    </xdr:from>
    <xdr:to>
      <xdr:col>16</xdr:col>
      <xdr:colOff>355658</xdr:colOff>
      <xdr:row>91</xdr:row>
      <xdr:rowOff>19271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50B7E581-1B15-4764-9FD1-8239E751C85C}"/>
            </a:ext>
          </a:extLst>
        </xdr:cNvPr>
        <xdr:cNvGrpSpPr/>
      </xdr:nvGrpSpPr>
      <xdr:grpSpPr>
        <a:xfrm>
          <a:off x="5893879" y="13795218"/>
          <a:ext cx="110518" cy="1222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3" name="Oval 222">
            <a:extLst>
              <a:ext uri="{FF2B5EF4-FFF2-40B4-BE49-F238E27FC236}">
                <a16:creationId xmlns:a16="http://schemas.microsoft.com/office/drawing/2014/main" id="{F91D2912-D144-7D9C-029A-2A72718D59C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744608A4-0A4B-3E89-6D68-DC1E2DBC72F7}"/>
              </a:ext>
            </a:extLst>
          </xdr:cNvPr>
          <xdr:cNvCxnSpPr>
            <a:stCxn id="223" idx="1"/>
            <a:endCxn id="2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C2BCA21D-5EB3-159B-A3F5-364727C5AAD7}"/>
              </a:ext>
            </a:extLst>
          </xdr:cNvPr>
          <xdr:cNvCxnSpPr>
            <a:stCxn id="223" idx="3"/>
            <a:endCxn id="2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91260</xdr:colOff>
      <xdr:row>94</xdr:row>
      <xdr:rowOff>91042</xdr:rowOff>
    </xdr:from>
    <xdr:to>
      <xdr:col>18</xdr:col>
      <xdr:colOff>201778</xdr:colOff>
      <xdr:row>95</xdr:row>
      <xdr:rowOff>59740</xdr:rowOff>
    </xdr:to>
    <xdr:grpSp>
      <xdr:nvGrpSpPr>
        <xdr:cNvPr id="226" name="Group 225">
          <a:extLst>
            <a:ext uri="{FF2B5EF4-FFF2-40B4-BE49-F238E27FC236}">
              <a16:creationId xmlns:a16="http://schemas.microsoft.com/office/drawing/2014/main" id="{213791EC-D159-42F6-ABEC-B81A55EDCCBD}"/>
            </a:ext>
          </a:extLst>
        </xdr:cNvPr>
        <xdr:cNvGrpSpPr/>
      </xdr:nvGrpSpPr>
      <xdr:grpSpPr>
        <a:xfrm>
          <a:off x="6501999" y="14469651"/>
          <a:ext cx="110518" cy="11778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7" name="Oval 226">
            <a:extLst>
              <a:ext uri="{FF2B5EF4-FFF2-40B4-BE49-F238E27FC236}">
                <a16:creationId xmlns:a16="http://schemas.microsoft.com/office/drawing/2014/main" id="{10241475-965A-E74B-0F0E-27B7BBD5EA5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690F63B3-FCE5-A2F7-3BC9-CB50F4F96FE9}"/>
              </a:ext>
            </a:extLst>
          </xdr:cNvPr>
          <xdr:cNvCxnSpPr>
            <a:stCxn id="227" idx="1"/>
            <a:endCxn id="2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ED69966C-ABDE-9D18-4528-1FCF3088C805}"/>
              </a:ext>
            </a:extLst>
          </xdr:cNvPr>
          <xdr:cNvCxnSpPr>
            <a:stCxn id="227" idx="3"/>
            <a:endCxn id="2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28386</xdr:colOff>
      <xdr:row>86</xdr:row>
      <xdr:rowOff>21757</xdr:rowOff>
    </xdr:from>
    <xdr:to>
      <xdr:col>15</xdr:col>
      <xdr:colOff>138904</xdr:colOff>
      <xdr:row>86</xdr:row>
      <xdr:rowOff>147340</xdr:rowOff>
    </xdr:to>
    <xdr:grpSp>
      <xdr:nvGrpSpPr>
        <xdr:cNvPr id="324" name="Group 323">
          <a:extLst>
            <a:ext uri="{FF2B5EF4-FFF2-40B4-BE49-F238E27FC236}">
              <a16:creationId xmlns:a16="http://schemas.microsoft.com/office/drawing/2014/main" id="{26806C10-5D9D-9672-7D4C-A3CBF06E315A}"/>
            </a:ext>
          </a:extLst>
        </xdr:cNvPr>
        <xdr:cNvGrpSpPr/>
      </xdr:nvGrpSpPr>
      <xdr:grpSpPr>
        <a:xfrm>
          <a:off x="5296125" y="13174540"/>
          <a:ext cx="110518" cy="12558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5" name="Oval 324">
            <a:extLst>
              <a:ext uri="{FF2B5EF4-FFF2-40B4-BE49-F238E27FC236}">
                <a16:creationId xmlns:a16="http://schemas.microsoft.com/office/drawing/2014/main" id="{70933D96-92E0-ECE5-CAA5-43EB38B98B4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6" name="Straight Connector 325">
            <a:extLst>
              <a:ext uri="{FF2B5EF4-FFF2-40B4-BE49-F238E27FC236}">
                <a16:creationId xmlns:a16="http://schemas.microsoft.com/office/drawing/2014/main" id="{15E5279B-8FDE-6484-EB01-54DA76F5CD8F}"/>
              </a:ext>
            </a:extLst>
          </xdr:cNvPr>
          <xdr:cNvCxnSpPr>
            <a:stCxn id="325" idx="1"/>
            <a:endCxn id="32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Straight Connector 326">
            <a:extLst>
              <a:ext uri="{FF2B5EF4-FFF2-40B4-BE49-F238E27FC236}">
                <a16:creationId xmlns:a16="http://schemas.microsoft.com/office/drawing/2014/main" id="{8C8C328D-BFD0-4EE4-1114-3938D3F26237}"/>
              </a:ext>
            </a:extLst>
          </xdr:cNvPr>
          <xdr:cNvCxnSpPr>
            <a:stCxn id="325" idx="3"/>
            <a:endCxn id="32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180785</xdr:colOff>
      <xdr:row>81</xdr:row>
      <xdr:rowOff>117806</xdr:rowOff>
    </xdr:from>
    <xdr:to>
      <xdr:col>13</xdr:col>
      <xdr:colOff>291303</xdr:colOff>
      <xdr:row>82</xdr:row>
      <xdr:rowOff>90989</xdr:rowOff>
    </xdr:to>
    <xdr:grpSp>
      <xdr:nvGrpSpPr>
        <xdr:cNvPr id="328" name="Group 327">
          <a:extLst>
            <a:ext uri="{FF2B5EF4-FFF2-40B4-BE49-F238E27FC236}">
              <a16:creationId xmlns:a16="http://schemas.microsoft.com/office/drawing/2014/main" id="{D0159C87-1A50-FEEB-FD9F-F428949E47ED}"/>
            </a:ext>
          </a:extLst>
        </xdr:cNvPr>
        <xdr:cNvGrpSpPr/>
      </xdr:nvGrpSpPr>
      <xdr:grpSpPr>
        <a:xfrm>
          <a:off x="4686524" y="12533436"/>
          <a:ext cx="110518" cy="1222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9" name="Oval 328">
            <a:extLst>
              <a:ext uri="{FF2B5EF4-FFF2-40B4-BE49-F238E27FC236}">
                <a16:creationId xmlns:a16="http://schemas.microsoft.com/office/drawing/2014/main" id="{B107FB94-5ABA-4A13-9A0A-96D446313FC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30" name="Straight Connector 329">
            <a:extLst>
              <a:ext uri="{FF2B5EF4-FFF2-40B4-BE49-F238E27FC236}">
                <a16:creationId xmlns:a16="http://schemas.microsoft.com/office/drawing/2014/main" id="{63EE7D7B-AA4F-D002-5FAF-C9FBB5C3C6F2}"/>
              </a:ext>
            </a:extLst>
          </xdr:cNvPr>
          <xdr:cNvCxnSpPr>
            <a:stCxn id="329" idx="1"/>
            <a:endCxn id="3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1" name="Straight Connector 330">
            <a:extLst>
              <a:ext uri="{FF2B5EF4-FFF2-40B4-BE49-F238E27FC236}">
                <a16:creationId xmlns:a16="http://schemas.microsoft.com/office/drawing/2014/main" id="{6C40CF3A-E234-B233-D76F-219640C86967}"/>
              </a:ext>
            </a:extLst>
          </xdr:cNvPr>
          <xdr:cNvCxnSpPr>
            <a:stCxn id="329" idx="3"/>
            <a:endCxn id="3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17820</xdr:colOff>
      <xdr:row>77</xdr:row>
      <xdr:rowOff>128373</xdr:rowOff>
    </xdr:from>
    <xdr:to>
      <xdr:col>12</xdr:col>
      <xdr:colOff>128338</xdr:colOff>
      <xdr:row>78</xdr:row>
      <xdr:rowOff>101556</xdr:rowOff>
    </xdr:to>
    <xdr:grpSp>
      <xdr:nvGrpSpPr>
        <xdr:cNvPr id="333" name="Group 332">
          <a:extLst>
            <a:ext uri="{FF2B5EF4-FFF2-40B4-BE49-F238E27FC236}">
              <a16:creationId xmlns:a16="http://schemas.microsoft.com/office/drawing/2014/main" id="{E81835E5-0E60-D07B-3316-473C62B67E48}"/>
            </a:ext>
          </a:extLst>
        </xdr:cNvPr>
        <xdr:cNvGrpSpPr/>
      </xdr:nvGrpSpPr>
      <xdr:grpSpPr>
        <a:xfrm>
          <a:off x="4142559" y="11947656"/>
          <a:ext cx="110518" cy="1222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4" name="Oval 333">
            <a:extLst>
              <a:ext uri="{FF2B5EF4-FFF2-40B4-BE49-F238E27FC236}">
                <a16:creationId xmlns:a16="http://schemas.microsoft.com/office/drawing/2014/main" id="{7C77A16F-0051-A250-087C-61FC4E09F5C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35" name="Straight Connector 334">
            <a:extLst>
              <a:ext uri="{FF2B5EF4-FFF2-40B4-BE49-F238E27FC236}">
                <a16:creationId xmlns:a16="http://schemas.microsoft.com/office/drawing/2014/main" id="{ABC40F5F-19F2-8E54-048B-32115F080650}"/>
              </a:ext>
            </a:extLst>
          </xdr:cNvPr>
          <xdr:cNvCxnSpPr>
            <a:stCxn id="334" idx="1"/>
            <a:endCxn id="3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6" name="Straight Connector 335">
            <a:extLst>
              <a:ext uri="{FF2B5EF4-FFF2-40B4-BE49-F238E27FC236}">
                <a16:creationId xmlns:a16="http://schemas.microsoft.com/office/drawing/2014/main" id="{B2EF2305-EAFB-F9D4-DC65-2C04EF285201}"/>
              </a:ext>
            </a:extLst>
          </xdr:cNvPr>
          <xdr:cNvCxnSpPr>
            <a:stCxn id="334" idx="3"/>
            <a:endCxn id="3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230732</xdr:colOff>
      <xdr:row>73</xdr:row>
      <xdr:rowOff>129013</xdr:rowOff>
    </xdr:from>
    <xdr:to>
      <xdr:col>10</xdr:col>
      <xdr:colOff>341250</xdr:colOff>
      <xdr:row>74</xdr:row>
      <xdr:rowOff>102196</xdr:rowOff>
    </xdr:to>
    <xdr:grpSp>
      <xdr:nvGrpSpPr>
        <xdr:cNvPr id="337" name="Group 336">
          <a:extLst>
            <a:ext uri="{FF2B5EF4-FFF2-40B4-BE49-F238E27FC236}">
              <a16:creationId xmlns:a16="http://schemas.microsoft.com/office/drawing/2014/main" id="{DF549E91-7F74-F93E-9339-81055933276D}"/>
            </a:ext>
          </a:extLst>
        </xdr:cNvPr>
        <xdr:cNvGrpSpPr/>
      </xdr:nvGrpSpPr>
      <xdr:grpSpPr>
        <a:xfrm>
          <a:off x="3593471" y="11351948"/>
          <a:ext cx="110518" cy="1222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8" name="Oval 337">
            <a:extLst>
              <a:ext uri="{FF2B5EF4-FFF2-40B4-BE49-F238E27FC236}">
                <a16:creationId xmlns:a16="http://schemas.microsoft.com/office/drawing/2014/main" id="{89FCE6D8-96B0-5BEE-C439-B1490753932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39" name="Straight Connector 338">
            <a:extLst>
              <a:ext uri="{FF2B5EF4-FFF2-40B4-BE49-F238E27FC236}">
                <a16:creationId xmlns:a16="http://schemas.microsoft.com/office/drawing/2014/main" id="{1DD5D531-9004-543F-404C-2606666C8A33}"/>
              </a:ext>
            </a:extLst>
          </xdr:cNvPr>
          <xdr:cNvCxnSpPr>
            <a:stCxn id="338" idx="1"/>
            <a:endCxn id="3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id="{F5EA8A74-1E73-4040-FA96-9694F9240FCD}"/>
              </a:ext>
            </a:extLst>
          </xdr:cNvPr>
          <xdr:cNvCxnSpPr>
            <a:stCxn id="338" idx="3"/>
            <a:endCxn id="3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43975</xdr:colOff>
      <xdr:row>69</xdr:row>
      <xdr:rowOff>130714</xdr:rowOff>
    </xdr:from>
    <xdr:to>
      <xdr:col>9</xdr:col>
      <xdr:colOff>157654</xdr:colOff>
      <xdr:row>70</xdr:row>
      <xdr:rowOff>111673</xdr:rowOff>
    </xdr:to>
    <xdr:grpSp>
      <xdr:nvGrpSpPr>
        <xdr:cNvPr id="341" name="Group 340">
          <a:extLst>
            <a:ext uri="{FF2B5EF4-FFF2-40B4-BE49-F238E27FC236}">
              <a16:creationId xmlns:a16="http://schemas.microsoft.com/office/drawing/2014/main" id="{2B878DA6-0A8B-D31A-9E45-1E4D08904721}"/>
            </a:ext>
          </a:extLst>
        </xdr:cNvPr>
        <xdr:cNvGrpSpPr/>
      </xdr:nvGrpSpPr>
      <xdr:grpSpPr>
        <a:xfrm>
          <a:off x="3025714" y="10757301"/>
          <a:ext cx="113679" cy="1300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162B8975-AF9D-981C-5E8A-226E0ADDB94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DC327C21-4FF1-7B00-0C25-ED10C2AA374F}"/>
              </a:ext>
            </a:extLst>
          </xdr:cNvPr>
          <xdr:cNvCxnSpPr>
            <a:stCxn id="342" idx="1"/>
            <a:endCxn id="3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2172BD61-06C1-7D7F-D4B4-5C01D2B914B3}"/>
              </a:ext>
            </a:extLst>
          </xdr:cNvPr>
          <xdr:cNvCxnSpPr>
            <a:stCxn id="342" idx="3"/>
            <a:endCxn id="3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125670</xdr:colOff>
      <xdr:row>50</xdr:row>
      <xdr:rowOff>194641</xdr:rowOff>
    </xdr:from>
    <xdr:to>
      <xdr:col>12</xdr:col>
      <xdr:colOff>249720</xdr:colOff>
      <xdr:row>51</xdr:row>
      <xdr:rowOff>71757</xdr:rowOff>
    </xdr:to>
    <xdr:grpSp>
      <xdr:nvGrpSpPr>
        <xdr:cNvPr id="349" name="Group 348">
          <a:extLst>
            <a:ext uri="{FF2B5EF4-FFF2-40B4-BE49-F238E27FC236}">
              <a16:creationId xmlns:a16="http://schemas.microsoft.com/office/drawing/2014/main" id="{7DE1AFC5-0601-04A9-D8AA-549709FCBC04}"/>
            </a:ext>
          </a:extLst>
        </xdr:cNvPr>
        <xdr:cNvGrpSpPr/>
      </xdr:nvGrpSpPr>
      <xdr:grpSpPr>
        <a:xfrm>
          <a:off x="4250409" y="7789793"/>
          <a:ext cx="124050" cy="1255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0" name="Oval 349">
            <a:extLst>
              <a:ext uri="{FF2B5EF4-FFF2-40B4-BE49-F238E27FC236}">
                <a16:creationId xmlns:a16="http://schemas.microsoft.com/office/drawing/2014/main" id="{DA0776DE-5A8A-3870-97A4-77A2CD29862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BF2409FC-08D9-4B12-4912-8FF31135B651}"/>
              </a:ext>
            </a:extLst>
          </xdr:cNvPr>
          <xdr:cNvCxnSpPr>
            <a:stCxn id="350" idx="1"/>
            <a:endCxn id="35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2FCB6396-0E2D-1119-3CFD-9499A54B7BCB}"/>
              </a:ext>
            </a:extLst>
          </xdr:cNvPr>
          <xdr:cNvCxnSpPr>
            <a:stCxn id="350" idx="3"/>
            <a:endCxn id="35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374262</xdr:colOff>
      <xdr:row>103</xdr:row>
      <xdr:rowOff>58882</xdr:rowOff>
    </xdr:from>
    <xdr:to>
      <xdr:col>15</xdr:col>
      <xdr:colOff>117312</xdr:colOff>
      <xdr:row>104</xdr:row>
      <xdr:rowOff>27325</xdr:rowOff>
    </xdr:to>
    <xdr:grpSp>
      <xdr:nvGrpSpPr>
        <xdr:cNvPr id="361" name="Group 360">
          <a:extLst>
            <a:ext uri="{FF2B5EF4-FFF2-40B4-BE49-F238E27FC236}">
              <a16:creationId xmlns:a16="http://schemas.microsoft.com/office/drawing/2014/main" id="{B932E2DF-819D-42B4-DE19-4EC98E270612}"/>
            </a:ext>
          </a:extLst>
        </xdr:cNvPr>
        <xdr:cNvGrpSpPr/>
      </xdr:nvGrpSpPr>
      <xdr:grpSpPr>
        <a:xfrm>
          <a:off x="5261001" y="15828969"/>
          <a:ext cx="124050" cy="13409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2" name="Oval 361">
            <a:extLst>
              <a:ext uri="{FF2B5EF4-FFF2-40B4-BE49-F238E27FC236}">
                <a16:creationId xmlns:a16="http://schemas.microsoft.com/office/drawing/2014/main" id="{18C49ADB-927D-BE5B-4B4A-170FEAE7809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D16D87FC-A7CA-9DA0-55CF-399BA57F0434}"/>
              </a:ext>
            </a:extLst>
          </xdr:cNvPr>
          <xdr:cNvCxnSpPr>
            <a:stCxn id="362" idx="1"/>
            <a:endCxn id="36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2D810406-1FC5-5EA2-7927-6B145F707759}"/>
              </a:ext>
            </a:extLst>
          </xdr:cNvPr>
          <xdr:cNvCxnSpPr>
            <a:stCxn id="362" idx="3"/>
            <a:endCxn id="36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99145</xdr:colOff>
      <xdr:row>95</xdr:row>
      <xdr:rowOff>42198</xdr:rowOff>
    </xdr:from>
    <xdr:to>
      <xdr:col>18</xdr:col>
      <xdr:colOff>107445</xdr:colOff>
      <xdr:row>103</xdr:row>
      <xdr:rowOff>76387</xdr:rowOff>
    </xdr:to>
    <xdr:cxnSp macro="">
      <xdr:nvCxnSpPr>
        <xdr:cNvPr id="365" name="Straight Connector 364">
          <a:extLst>
            <a:ext uri="{FF2B5EF4-FFF2-40B4-BE49-F238E27FC236}">
              <a16:creationId xmlns:a16="http://schemas.microsoft.com/office/drawing/2014/main" id="{D62F4737-D066-BE2F-6087-15BA96B6AB8C}"/>
            </a:ext>
          </a:extLst>
        </xdr:cNvPr>
        <xdr:cNvCxnSpPr>
          <a:stCxn id="362" idx="7"/>
          <a:endCxn id="227" idx="3"/>
        </xdr:cNvCxnSpPr>
      </xdr:nvCxnSpPr>
      <xdr:spPr>
        <a:xfrm flipV="1">
          <a:off x="5360886" y="14710698"/>
          <a:ext cx="1151300" cy="128886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152341</xdr:colOff>
      <xdr:row>15</xdr:row>
      <xdr:rowOff>52239</xdr:rowOff>
    </xdr:from>
    <xdr:to>
      <xdr:col>17</xdr:col>
      <xdr:colOff>212212</xdr:colOff>
      <xdr:row>16</xdr:row>
      <xdr:rowOff>93651</xdr:rowOff>
    </xdr:to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14CDCBF6-083B-3E19-2560-86F2466EA69A}"/>
            </a:ext>
          </a:extLst>
        </xdr:cNvPr>
        <xdr:cNvSpPr txBox="1"/>
      </xdr:nvSpPr>
      <xdr:spPr>
        <a:xfrm>
          <a:off x="5791141" y="2376339"/>
          <a:ext cx="440871" cy="193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14</xdr:col>
      <xdr:colOff>342841</xdr:colOff>
      <xdr:row>20</xdr:row>
      <xdr:rowOff>52239</xdr:rowOff>
    </xdr:from>
    <xdr:to>
      <xdr:col>16</xdr:col>
      <xdr:colOff>21712</xdr:colOff>
      <xdr:row>21</xdr:row>
      <xdr:rowOff>93651</xdr:rowOff>
    </xdr:to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81C7B3FB-D04C-1271-A940-D49C59263D99}"/>
            </a:ext>
          </a:extLst>
        </xdr:cNvPr>
        <xdr:cNvSpPr txBox="1"/>
      </xdr:nvSpPr>
      <xdr:spPr>
        <a:xfrm>
          <a:off x="5219641" y="3138339"/>
          <a:ext cx="440871" cy="193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13</xdr:col>
      <xdr:colOff>295216</xdr:colOff>
      <xdr:row>24</xdr:row>
      <xdr:rowOff>90339</xdr:rowOff>
    </xdr:from>
    <xdr:to>
      <xdr:col>14</xdr:col>
      <xdr:colOff>355087</xdr:colOff>
      <xdr:row>25</xdr:row>
      <xdr:rowOff>131751</xdr:rowOff>
    </xdr:to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2CC615B8-DD2A-7847-BDA2-115F948D1671}"/>
            </a:ext>
          </a:extLst>
        </xdr:cNvPr>
        <xdr:cNvSpPr txBox="1"/>
      </xdr:nvSpPr>
      <xdr:spPr>
        <a:xfrm>
          <a:off x="4791016" y="3786039"/>
          <a:ext cx="440871" cy="193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12</xdr:col>
      <xdr:colOff>118323</xdr:colOff>
      <xdr:row>29</xdr:row>
      <xdr:rowOff>135243</xdr:rowOff>
    </xdr:from>
    <xdr:to>
      <xdr:col>13</xdr:col>
      <xdr:colOff>178194</xdr:colOff>
      <xdr:row>31</xdr:row>
      <xdr:rowOff>33780</xdr:rowOff>
    </xdr:to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865A9598-7C8E-0DC4-3DF9-E5259E06FB2A}"/>
            </a:ext>
          </a:extLst>
        </xdr:cNvPr>
        <xdr:cNvSpPr txBox="1"/>
      </xdr:nvSpPr>
      <xdr:spPr>
        <a:xfrm>
          <a:off x="4233123" y="4592943"/>
          <a:ext cx="440871" cy="193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10</xdr:col>
      <xdr:colOff>375812</xdr:colOff>
      <xdr:row>35</xdr:row>
      <xdr:rowOff>30781</xdr:rowOff>
    </xdr:from>
    <xdr:to>
      <xdr:col>12</xdr:col>
      <xdr:colOff>54683</xdr:colOff>
      <xdr:row>36</xdr:row>
      <xdr:rowOff>73659</xdr:rowOff>
    </xdr:to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306D2A87-0105-3BC5-31BA-5396AEA46F1D}"/>
            </a:ext>
          </a:extLst>
        </xdr:cNvPr>
        <xdr:cNvSpPr txBox="1"/>
      </xdr:nvSpPr>
      <xdr:spPr>
        <a:xfrm>
          <a:off x="3728612" y="5393356"/>
          <a:ext cx="440871" cy="1952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8</xdr:col>
      <xdr:colOff>286650</xdr:colOff>
      <xdr:row>42</xdr:row>
      <xdr:rowOff>146771</xdr:rowOff>
    </xdr:from>
    <xdr:to>
      <xdr:col>9</xdr:col>
      <xdr:colOff>346521</xdr:colOff>
      <xdr:row>44</xdr:row>
      <xdr:rowOff>34423</xdr:rowOff>
    </xdr:to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5EA99968-F62B-78BA-C740-04F5F9FF1846}"/>
            </a:ext>
          </a:extLst>
        </xdr:cNvPr>
        <xdr:cNvSpPr txBox="1"/>
      </xdr:nvSpPr>
      <xdr:spPr>
        <a:xfrm>
          <a:off x="2882893" y="6602000"/>
          <a:ext cx="440871" cy="192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30mtr</a:t>
          </a:r>
        </a:p>
      </xdr:txBody>
    </xdr:sp>
    <xdr:clientData/>
  </xdr:twoCellAnchor>
  <xdr:twoCellAnchor>
    <xdr:from>
      <xdr:col>11</xdr:col>
      <xdr:colOff>171705</xdr:colOff>
      <xdr:row>48</xdr:row>
      <xdr:rowOff>96095</xdr:rowOff>
    </xdr:from>
    <xdr:to>
      <xdr:col>12</xdr:col>
      <xdr:colOff>231576</xdr:colOff>
      <xdr:row>49</xdr:row>
      <xdr:rowOff>138973</xdr:rowOff>
    </xdr:to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0341C184-DCDB-7A2B-2CC7-6714343CA5A7}"/>
            </a:ext>
          </a:extLst>
        </xdr:cNvPr>
        <xdr:cNvSpPr txBox="1"/>
      </xdr:nvSpPr>
      <xdr:spPr>
        <a:xfrm>
          <a:off x="3910948" y="7503824"/>
          <a:ext cx="440871" cy="1952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13</xdr:col>
      <xdr:colOff>133810</xdr:colOff>
      <xdr:row>12</xdr:row>
      <xdr:rowOff>41413</xdr:rowOff>
    </xdr:from>
    <xdr:to>
      <xdr:col>15</xdr:col>
      <xdr:colOff>8857</xdr:colOff>
      <xdr:row>15</xdr:row>
      <xdr:rowOff>91109</xdr:rowOff>
    </xdr:to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07B393C8-BFDA-4C21-7455-0907A2214A82}"/>
            </a:ext>
          </a:extLst>
        </xdr:cNvPr>
        <xdr:cNvSpPr txBox="1"/>
      </xdr:nvSpPr>
      <xdr:spPr>
        <a:xfrm>
          <a:off x="4639549" y="1880152"/>
          <a:ext cx="637047" cy="5135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K3-27/37/1B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11</xdr:col>
      <xdr:colOff>340875</xdr:colOff>
      <xdr:row>17</xdr:row>
      <xdr:rowOff>91109</xdr:rowOff>
    </xdr:from>
    <xdr:to>
      <xdr:col>13</xdr:col>
      <xdr:colOff>215922</xdr:colOff>
      <xdr:row>21</xdr:row>
      <xdr:rowOff>8283</xdr:rowOff>
    </xdr:to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F5EBE545-4DD5-1CEC-467E-24F5F2B4C27A}"/>
            </a:ext>
          </a:extLst>
        </xdr:cNvPr>
        <xdr:cNvSpPr txBox="1"/>
      </xdr:nvSpPr>
      <xdr:spPr>
        <a:xfrm>
          <a:off x="4084614" y="2691848"/>
          <a:ext cx="637047" cy="5135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K3-27/37/1C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10</xdr:col>
      <xdr:colOff>274614</xdr:colOff>
      <xdr:row>22</xdr:row>
      <xdr:rowOff>115957</xdr:rowOff>
    </xdr:from>
    <xdr:to>
      <xdr:col>12</xdr:col>
      <xdr:colOff>149661</xdr:colOff>
      <xdr:row>26</xdr:row>
      <xdr:rowOff>33131</xdr:rowOff>
    </xdr:to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DA4087D6-8FC8-7739-C727-2827D94C888A}"/>
            </a:ext>
          </a:extLst>
        </xdr:cNvPr>
        <xdr:cNvSpPr txBox="1"/>
      </xdr:nvSpPr>
      <xdr:spPr>
        <a:xfrm>
          <a:off x="3637353" y="3462131"/>
          <a:ext cx="637047" cy="5135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K3-27/37/1D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50983</xdr:colOff>
      <xdr:row>27</xdr:row>
      <xdr:rowOff>41414</xdr:rowOff>
    </xdr:from>
    <xdr:to>
      <xdr:col>10</xdr:col>
      <xdr:colOff>307030</xdr:colOff>
      <xdr:row>30</xdr:row>
      <xdr:rowOff>115958</xdr:rowOff>
    </xdr:to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6465F0F0-3611-E61B-B3F6-E75E45759038}"/>
            </a:ext>
          </a:extLst>
        </xdr:cNvPr>
        <xdr:cNvSpPr txBox="1"/>
      </xdr:nvSpPr>
      <xdr:spPr>
        <a:xfrm>
          <a:off x="3032722" y="4133023"/>
          <a:ext cx="637047" cy="5135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K3-27/37/1E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7</xdr:col>
      <xdr:colOff>233201</xdr:colOff>
      <xdr:row>32</xdr:row>
      <xdr:rowOff>74544</xdr:rowOff>
    </xdr:from>
    <xdr:to>
      <xdr:col>9</xdr:col>
      <xdr:colOff>108248</xdr:colOff>
      <xdr:row>35</xdr:row>
      <xdr:rowOff>140805</xdr:rowOff>
    </xdr:to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E2667339-B400-D56C-1010-57505A2DC24E}"/>
            </a:ext>
          </a:extLst>
        </xdr:cNvPr>
        <xdr:cNvSpPr txBox="1"/>
      </xdr:nvSpPr>
      <xdr:spPr>
        <a:xfrm>
          <a:off x="2452940" y="4903305"/>
          <a:ext cx="637047" cy="5135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K3-27/37/1F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5</xdr:col>
      <xdr:colOff>299461</xdr:colOff>
      <xdr:row>36</xdr:row>
      <xdr:rowOff>0</xdr:rowOff>
    </xdr:from>
    <xdr:to>
      <xdr:col>7</xdr:col>
      <xdr:colOff>174508</xdr:colOff>
      <xdr:row>40</xdr:row>
      <xdr:rowOff>99391</xdr:rowOff>
    </xdr:to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8752DE76-D41B-5037-8CCF-207C1D43E8F9}"/>
            </a:ext>
          </a:extLst>
        </xdr:cNvPr>
        <xdr:cNvSpPr txBox="1"/>
      </xdr:nvSpPr>
      <xdr:spPr>
        <a:xfrm>
          <a:off x="1757200" y="5425109"/>
          <a:ext cx="637047" cy="72886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K3-27/37/1G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</xdr:txBody>
    </xdr:sp>
    <xdr:clientData/>
  </xdr:twoCellAnchor>
  <xdr:twoCellAnchor>
    <xdr:from>
      <xdr:col>4</xdr:col>
      <xdr:colOff>166939</xdr:colOff>
      <xdr:row>41</xdr:row>
      <xdr:rowOff>24849</xdr:rowOff>
    </xdr:from>
    <xdr:to>
      <xdr:col>6</xdr:col>
      <xdr:colOff>41986</xdr:colOff>
      <xdr:row>44</xdr:row>
      <xdr:rowOff>91966</xdr:rowOff>
    </xdr:to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E589F0F8-0F77-A660-90E2-B3E061703596}"/>
            </a:ext>
          </a:extLst>
        </xdr:cNvPr>
        <xdr:cNvSpPr txBox="1"/>
      </xdr:nvSpPr>
      <xdr:spPr>
        <a:xfrm>
          <a:off x="1237680" y="6291642"/>
          <a:ext cx="637047" cy="52037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K3-27/37/1H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6</xdr:col>
      <xdr:colOff>292892</xdr:colOff>
      <xdr:row>46</xdr:row>
      <xdr:rowOff>105104</xdr:rowOff>
    </xdr:from>
    <xdr:to>
      <xdr:col>8</xdr:col>
      <xdr:colOff>167939</xdr:colOff>
      <xdr:row>50</xdr:row>
      <xdr:rowOff>217633</xdr:rowOff>
    </xdr:to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7C3502F6-0B23-AA45-AD61-A5E899590E9F}"/>
            </a:ext>
          </a:extLst>
        </xdr:cNvPr>
        <xdr:cNvSpPr txBox="1"/>
      </xdr:nvSpPr>
      <xdr:spPr>
        <a:xfrm>
          <a:off x="2125633" y="7160173"/>
          <a:ext cx="637047" cy="73001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K3-27/37/1I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</xdr:txBody>
    </xdr:sp>
    <xdr:clientData/>
  </xdr:twoCellAnchor>
  <xdr:twoCellAnchor>
    <xdr:from>
      <xdr:col>8</xdr:col>
      <xdr:colOff>239770</xdr:colOff>
      <xdr:row>50</xdr:row>
      <xdr:rowOff>81113</xdr:rowOff>
    </xdr:from>
    <xdr:to>
      <xdr:col>10</xdr:col>
      <xdr:colOff>114817</xdr:colOff>
      <xdr:row>53</xdr:row>
      <xdr:rowOff>48840</xdr:rowOff>
    </xdr:to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0BE3C1F1-6186-F66F-B022-00D067989456}"/>
            </a:ext>
          </a:extLst>
        </xdr:cNvPr>
        <xdr:cNvSpPr txBox="1"/>
      </xdr:nvSpPr>
      <xdr:spPr>
        <a:xfrm>
          <a:off x="2834511" y="7753665"/>
          <a:ext cx="637047" cy="51952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K3-27/37/1J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351442</xdr:colOff>
      <xdr:row>48</xdr:row>
      <xdr:rowOff>48269</xdr:rowOff>
    </xdr:from>
    <xdr:to>
      <xdr:col>14</xdr:col>
      <xdr:colOff>226489</xdr:colOff>
      <xdr:row>51</xdr:row>
      <xdr:rowOff>15996</xdr:rowOff>
    </xdr:to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D591479C-5D7C-1BE3-3255-2D95446FDD5B}"/>
            </a:ext>
          </a:extLst>
        </xdr:cNvPr>
        <xdr:cNvSpPr txBox="1"/>
      </xdr:nvSpPr>
      <xdr:spPr>
        <a:xfrm>
          <a:off x="4470183" y="7418648"/>
          <a:ext cx="637047" cy="51952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K3-27/37/1K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10</xdr:col>
      <xdr:colOff>9419</xdr:colOff>
      <xdr:row>65</xdr:row>
      <xdr:rowOff>143276</xdr:rowOff>
    </xdr:from>
    <xdr:to>
      <xdr:col>11</xdr:col>
      <xdr:colOff>265466</xdr:colOff>
      <xdr:row>69</xdr:row>
      <xdr:rowOff>43768</xdr:rowOff>
    </xdr:to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700C1A49-0639-D173-246E-944A77743597}"/>
            </a:ext>
          </a:extLst>
        </xdr:cNvPr>
        <xdr:cNvSpPr txBox="1"/>
      </xdr:nvSpPr>
      <xdr:spPr>
        <a:xfrm>
          <a:off x="3372158" y="10156950"/>
          <a:ext cx="637047" cy="5134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K3-27/37/1K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322270</xdr:colOff>
      <xdr:row>78</xdr:row>
      <xdr:rowOff>104987</xdr:rowOff>
    </xdr:from>
    <xdr:to>
      <xdr:col>14</xdr:col>
      <xdr:colOff>1141</xdr:colOff>
      <xdr:row>79</xdr:row>
      <xdr:rowOff>150881</xdr:rowOff>
    </xdr:to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EDDC5981-28A4-D2DA-8405-3DEEBD856401}"/>
            </a:ext>
          </a:extLst>
        </xdr:cNvPr>
        <xdr:cNvSpPr txBox="1"/>
      </xdr:nvSpPr>
      <xdr:spPr>
        <a:xfrm>
          <a:off x="4446035" y="12442663"/>
          <a:ext cx="440871" cy="2027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11</xdr:col>
      <xdr:colOff>165388</xdr:colOff>
      <xdr:row>75</xdr:row>
      <xdr:rowOff>4134</xdr:rowOff>
    </xdr:from>
    <xdr:to>
      <xdr:col>12</xdr:col>
      <xdr:colOff>225259</xdr:colOff>
      <xdr:row>76</xdr:row>
      <xdr:rowOff>50028</xdr:rowOff>
    </xdr:to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142E2B25-F15B-E46C-534E-22F2B20C8FBF}"/>
            </a:ext>
          </a:extLst>
        </xdr:cNvPr>
        <xdr:cNvSpPr txBox="1"/>
      </xdr:nvSpPr>
      <xdr:spPr>
        <a:xfrm>
          <a:off x="3908153" y="11871163"/>
          <a:ext cx="440871" cy="2027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10</xdr:col>
      <xdr:colOff>8506</xdr:colOff>
      <xdr:row>71</xdr:row>
      <xdr:rowOff>60163</xdr:rowOff>
    </xdr:from>
    <xdr:to>
      <xdr:col>11</xdr:col>
      <xdr:colOff>68377</xdr:colOff>
      <xdr:row>72</xdr:row>
      <xdr:rowOff>106058</xdr:rowOff>
    </xdr:to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4D593E46-67B9-31C2-21B8-6B121DFD9A0B}"/>
            </a:ext>
          </a:extLst>
        </xdr:cNvPr>
        <xdr:cNvSpPr txBox="1"/>
      </xdr:nvSpPr>
      <xdr:spPr>
        <a:xfrm>
          <a:off x="3370271" y="11299663"/>
          <a:ext cx="440871" cy="2027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8</xdr:col>
      <xdr:colOff>199006</xdr:colOff>
      <xdr:row>66</xdr:row>
      <xdr:rowOff>104987</xdr:rowOff>
    </xdr:from>
    <xdr:to>
      <xdr:col>9</xdr:col>
      <xdr:colOff>258877</xdr:colOff>
      <xdr:row>67</xdr:row>
      <xdr:rowOff>150881</xdr:rowOff>
    </xdr:to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31A9B4B5-8C55-1759-449E-C58FA2EAD3DD}"/>
            </a:ext>
          </a:extLst>
        </xdr:cNvPr>
        <xdr:cNvSpPr txBox="1"/>
      </xdr:nvSpPr>
      <xdr:spPr>
        <a:xfrm>
          <a:off x="2798771" y="10560075"/>
          <a:ext cx="440871" cy="2027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17</xdr:col>
      <xdr:colOff>208844</xdr:colOff>
      <xdr:row>91</xdr:row>
      <xdr:rowOff>50952</xdr:rowOff>
    </xdr:from>
    <xdr:to>
      <xdr:col>18</xdr:col>
      <xdr:colOff>268715</xdr:colOff>
      <xdr:row>92</xdr:row>
      <xdr:rowOff>93830</xdr:rowOff>
    </xdr:to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898C8F47-72B4-BA99-33A7-4853FE5D353B}"/>
            </a:ext>
          </a:extLst>
        </xdr:cNvPr>
        <xdr:cNvSpPr txBox="1"/>
      </xdr:nvSpPr>
      <xdr:spPr>
        <a:xfrm>
          <a:off x="6237609" y="14416893"/>
          <a:ext cx="440871" cy="199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16</xdr:col>
      <xdr:colOff>273375</xdr:colOff>
      <xdr:row>96</xdr:row>
      <xdr:rowOff>30859</xdr:rowOff>
    </xdr:from>
    <xdr:to>
      <xdr:col>17</xdr:col>
      <xdr:colOff>333246</xdr:colOff>
      <xdr:row>97</xdr:row>
      <xdr:rowOff>67942</xdr:rowOff>
    </xdr:to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427C8394-FD04-3967-BF0F-B3ADDB9BE20B}"/>
            </a:ext>
          </a:extLst>
        </xdr:cNvPr>
        <xdr:cNvSpPr txBox="1"/>
      </xdr:nvSpPr>
      <xdr:spPr>
        <a:xfrm>
          <a:off x="5916116" y="14850445"/>
          <a:ext cx="440871" cy="1881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40mtr</a:t>
          </a:r>
        </a:p>
      </xdr:txBody>
    </xdr:sp>
    <xdr:clientData/>
  </xdr:twoCellAnchor>
  <xdr:twoCellAnchor>
    <xdr:from>
      <xdr:col>14</xdr:col>
      <xdr:colOff>289035</xdr:colOff>
      <xdr:row>104</xdr:row>
      <xdr:rowOff>9820</xdr:rowOff>
    </xdr:from>
    <xdr:to>
      <xdr:col>15</xdr:col>
      <xdr:colOff>11429</xdr:colOff>
      <xdr:row>104</xdr:row>
      <xdr:rowOff>118241</xdr:rowOff>
    </xdr:to>
    <xdr:cxnSp macro="">
      <xdr:nvCxnSpPr>
        <xdr:cNvPr id="399" name="Straight Arrow Connector 398">
          <a:extLst>
            <a:ext uri="{FF2B5EF4-FFF2-40B4-BE49-F238E27FC236}">
              <a16:creationId xmlns:a16="http://schemas.microsoft.com/office/drawing/2014/main" id="{204C0D12-C89C-0ADF-90AA-1DA34774B3E5}"/>
            </a:ext>
          </a:extLst>
        </xdr:cNvPr>
        <xdr:cNvCxnSpPr>
          <a:stCxn id="362" idx="3"/>
        </xdr:cNvCxnSpPr>
      </xdr:nvCxnSpPr>
      <xdr:spPr>
        <a:xfrm flipH="1">
          <a:off x="5169776" y="16084079"/>
          <a:ext cx="103394" cy="10842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107460</xdr:colOff>
      <xdr:row>102</xdr:row>
      <xdr:rowOff>119267</xdr:rowOff>
    </xdr:from>
    <xdr:to>
      <xdr:col>15</xdr:col>
      <xdr:colOff>231510</xdr:colOff>
      <xdr:row>103</xdr:row>
      <xdr:rowOff>77858</xdr:rowOff>
    </xdr:to>
    <xdr:grpSp>
      <xdr:nvGrpSpPr>
        <xdr:cNvPr id="316" name="Group 315">
          <a:extLst>
            <a:ext uri="{FF2B5EF4-FFF2-40B4-BE49-F238E27FC236}">
              <a16:creationId xmlns:a16="http://schemas.microsoft.com/office/drawing/2014/main" id="{615FA025-1C5A-C925-E5BD-FADF888CA920}"/>
            </a:ext>
          </a:extLst>
        </xdr:cNvPr>
        <xdr:cNvGrpSpPr/>
      </xdr:nvGrpSpPr>
      <xdr:grpSpPr>
        <a:xfrm>
          <a:off x="5375199" y="15723702"/>
          <a:ext cx="124050" cy="1242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7" name="Oval 316">
            <a:extLst>
              <a:ext uri="{FF2B5EF4-FFF2-40B4-BE49-F238E27FC236}">
                <a16:creationId xmlns:a16="http://schemas.microsoft.com/office/drawing/2014/main" id="{1502AC0C-AE9B-5163-BE3A-5E5650D4A7B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8" name="Straight Connector 317">
            <a:extLst>
              <a:ext uri="{FF2B5EF4-FFF2-40B4-BE49-F238E27FC236}">
                <a16:creationId xmlns:a16="http://schemas.microsoft.com/office/drawing/2014/main" id="{C46375E2-FD76-1E1B-A17F-627548F47CAB}"/>
              </a:ext>
            </a:extLst>
          </xdr:cNvPr>
          <xdr:cNvCxnSpPr>
            <a:stCxn id="317" idx="1"/>
            <a:endCxn id="3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Straight Connector 322">
            <a:extLst>
              <a:ext uri="{FF2B5EF4-FFF2-40B4-BE49-F238E27FC236}">
                <a16:creationId xmlns:a16="http://schemas.microsoft.com/office/drawing/2014/main" id="{609D4F2B-7323-B742-478A-B90F2C783154}"/>
              </a:ext>
            </a:extLst>
          </xdr:cNvPr>
          <xdr:cNvCxnSpPr>
            <a:stCxn id="317" idx="3"/>
            <a:endCxn id="3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215269</xdr:colOff>
      <xdr:row>99</xdr:row>
      <xdr:rowOff>32710</xdr:rowOff>
    </xdr:from>
    <xdr:to>
      <xdr:col>16</xdr:col>
      <xdr:colOff>339319</xdr:colOff>
      <xdr:row>99</xdr:row>
      <xdr:rowOff>146637</xdr:rowOff>
    </xdr:to>
    <xdr:grpSp>
      <xdr:nvGrpSpPr>
        <xdr:cNvPr id="230" name="Group 229">
          <a:extLst>
            <a:ext uri="{FF2B5EF4-FFF2-40B4-BE49-F238E27FC236}">
              <a16:creationId xmlns:a16="http://schemas.microsoft.com/office/drawing/2014/main" id="{5495CBED-F899-4623-AD25-54D5BF990E71}"/>
            </a:ext>
          </a:extLst>
        </xdr:cNvPr>
        <xdr:cNvGrpSpPr/>
      </xdr:nvGrpSpPr>
      <xdr:grpSpPr>
        <a:xfrm>
          <a:off x="5864008" y="15156753"/>
          <a:ext cx="124050" cy="11392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1" name="Oval 230">
            <a:extLst>
              <a:ext uri="{FF2B5EF4-FFF2-40B4-BE49-F238E27FC236}">
                <a16:creationId xmlns:a16="http://schemas.microsoft.com/office/drawing/2014/main" id="{8D6864E7-8860-85D1-BB3C-0317B130164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448C3F24-DFE5-EF8A-A54D-71EE748D6B2F}"/>
              </a:ext>
            </a:extLst>
          </xdr:cNvPr>
          <xdr:cNvCxnSpPr>
            <a:stCxn id="231" idx="1"/>
            <a:endCxn id="23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403C1967-94E1-A66D-D0D3-85C0F7D6B9B8}"/>
              </a:ext>
            </a:extLst>
          </xdr:cNvPr>
          <xdr:cNvCxnSpPr>
            <a:stCxn id="231" idx="3"/>
            <a:endCxn id="23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89444</xdr:colOff>
      <xdr:row>99</xdr:row>
      <xdr:rowOff>142531</xdr:rowOff>
    </xdr:from>
    <xdr:to>
      <xdr:col>16</xdr:col>
      <xdr:colOff>149315</xdr:colOff>
      <xdr:row>100</xdr:row>
      <xdr:rowOff>146769</xdr:rowOff>
    </xdr:to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F94CEEF2-8409-ADEA-7C44-10C9EFC2FE93}"/>
            </a:ext>
          </a:extLst>
        </xdr:cNvPr>
        <xdr:cNvSpPr txBox="1"/>
      </xdr:nvSpPr>
      <xdr:spPr>
        <a:xfrm>
          <a:off x="5351185" y="15415376"/>
          <a:ext cx="440871" cy="1881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40mtr</a:t>
          </a:r>
        </a:p>
      </xdr:txBody>
    </xdr:sp>
    <xdr:clientData/>
  </xdr:twoCellAnchor>
  <xdr:twoCellAnchor>
    <xdr:from>
      <xdr:col>11</xdr:col>
      <xdr:colOff>266180</xdr:colOff>
      <xdr:row>69</xdr:row>
      <xdr:rowOff>126711</xdr:rowOff>
    </xdr:from>
    <xdr:to>
      <xdr:col>13</xdr:col>
      <xdr:colOff>141227</xdr:colOff>
      <xdr:row>73</xdr:row>
      <xdr:rowOff>43768</xdr:rowOff>
    </xdr:to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AC8070EC-E485-AF08-BDB1-C582344E9A09}"/>
            </a:ext>
          </a:extLst>
        </xdr:cNvPr>
        <xdr:cNvSpPr txBox="1"/>
      </xdr:nvSpPr>
      <xdr:spPr>
        <a:xfrm>
          <a:off x="4009919" y="10753298"/>
          <a:ext cx="637047" cy="5134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K3-27/37/1L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266180</xdr:colOff>
      <xdr:row>73</xdr:row>
      <xdr:rowOff>134993</xdr:rowOff>
    </xdr:from>
    <xdr:to>
      <xdr:col>14</xdr:col>
      <xdr:colOff>141227</xdr:colOff>
      <xdr:row>77</xdr:row>
      <xdr:rowOff>52050</xdr:rowOff>
    </xdr:to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60581733-AD07-6793-576F-CEC24DBE8B3C}"/>
            </a:ext>
          </a:extLst>
        </xdr:cNvPr>
        <xdr:cNvSpPr txBox="1"/>
      </xdr:nvSpPr>
      <xdr:spPr>
        <a:xfrm>
          <a:off x="4390919" y="11357928"/>
          <a:ext cx="637047" cy="5134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K3-27/37/1M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14</xdr:col>
      <xdr:colOff>9419</xdr:colOff>
      <xdr:row>78</xdr:row>
      <xdr:rowOff>19036</xdr:rowOff>
    </xdr:from>
    <xdr:to>
      <xdr:col>15</xdr:col>
      <xdr:colOff>265466</xdr:colOff>
      <xdr:row>81</xdr:row>
      <xdr:rowOff>85181</xdr:rowOff>
    </xdr:to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06AA255B-6615-11D7-D4C9-09CE40209041}"/>
            </a:ext>
          </a:extLst>
        </xdr:cNvPr>
        <xdr:cNvSpPr txBox="1"/>
      </xdr:nvSpPr>
      <xdr:spPr>
        <a:xfrm>
          <a:off x="4896158" y="11987406"/>
          <a:ext cx="637047" cy="5134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K3-27/37/1N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15</xdr:col>
      <xdr:colOff>257897</xdr:colOff>
      <xdr:row>82</xdr:row>
      <xdr:rowOff>60450</xdr:rowOff>
    </xdr:from>
    <xdr:to>
      <xdr:col>17</xdr:col>
      <xdr:colOff>132944</xdr:colOff>
      <xdr:row>85</xdr:row>
      <xdr:rowOff>134876</xdr:rowOff>
    </xdr:to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1B71F305-1FB3-7498-A7FB-15A56DB33AF3}"/>
            </a:ext>
          </a:extLst>
        </xdr:cNvPr>
        <xdr:cNvSpPr txBox="1"/>
      </xdr:nvSpPr>
      <xdr:spPr>
        <a:xfrm>
          <a:off x="5525636" y="12625167"/>
          <a:ext cx="637047" cy="5134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K3-27/37/1O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17</xdr:col>
      <xdr:colOff>83962</xdr:colOff>
      <xdr:row>86</xdr:row>
      <xdr:rowOff>52167</xdr:rowOff>
    </xdr:from>
    <xdr:to>
      <xdr:col>18</xdr:col>
      <xdr:colOff>340009</xdr:colOff>
      <xdr:row>89</xdr:row>
      <xdr:rowOff>118312</xdr:rowOff>
    </xdr:to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AF5C2179-FBC4-539C-59D9-11EFAA23E8D8}"/>
            </a:ext>
          </a:extLst>
        </xdr:cNvPr>
        <xdr:cNvSpPr txBox="1"/>
      </xdr:nvSpPr>
      <xdr:spPr>
        <a:xfrm>
          <a:off x="6113701" y="13204950"/>
          <a:ext cx="637047" cy="5134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K3-27/37/1P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17</xdr:col>
      <xdr:colOff>117093</xdr:colOff>
      <xdr:row>100</xdr:row>
      <xdr:rowOff>101863</xdr:rowOff>
    </xdr:from>
    <xdr:to>
      <xdr:col>18</xdr:col>
      <xdr:colOff>373140</xdr:colOff>
      <xdr:row>104</xdr:row>
      <xdr:rowOff>2355</xdr:rowOff>
    </xdr:to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D1D8DE60-115B-EBC6-B982-6A4ACEC9955E}"/>
            </a:ext>
          </a:extLst>
        </xdr:cNvPr>
        <xdr:cNvSpPr txBox="1"/>
      </xdr:nvSpPr>
      <xdr:spPr>
        <a:xfrm>
          <a:off x="6146832" y="15408124"/>
          <a:ext cx="637047" cy="5134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K3-27/37/1R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166788</xdr:colOff>
      <xdr:row>104</xdr:row>
      <xdr:rowOff>68733</xdr:rowOff>
    </xdr:from>
    <xdr:to>
      <xdr:col>18</xdr:col>
      <xdr:colOff>41835</xdr:colOff>
      <xdr:row>107</xdr:row>
      <xdr:rowOff>35486</xdr:rowOff>
    </xdr:to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97C7A59E-CA28-53EC-D498-AED3822B21F5}"/>
            </a:ext>
          </a:extLst>
        </xdr:cNvPr>
        <xdr:cNvSpPr txBox="1"/>
      </xdr:nvSpPr>
      <xdr:spPr>
        <a:xfrm>
          <a:off x="5815527" y="15987907"/>
          <a:ext cx="637047" cy="5134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K3-27/37/1S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19</xdr:col>
      <xdr:colOff>69261</xdr:colOff>
      <xdr:row>91</xdr:row>
      <xdr:rowOff>22279</xdr:rowOff>
    </xdr:from>
    <xdr:to>
      <xdr:col>20</xdr:col>
      <xdr:colOff>325308</xdr:colOff>
      <xdr:row>95</xdr:row>
      <xdr:rowOff>118242</xdr:rowOff>
    </xdr:to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D485F348-347A-FA92-D01F-633A60265BCF}"/>
            </a:ext>
          </a:extLst>
        </xdr:cNvPr>
        <xdr:cNvSpPr txBox="1"/>
      </xdr:nvSpPr>
      <xdr:spPr>
        <a:xfrm>
          <a:off x="6861000" y="13920496"/>
          <a:ext cx="637047" cy="72544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K3-27/37/1Q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16</xdr:col>
      <xdr:colOff>121227</xdr:colOff>
      <xdr:row>38</xdr:row>
      <xdr:rowOff>69273</xdr:rowOff>
    </xdr:from>
    <xdr:to>
      <xdr:col>17</xdr:col>
      <xdr:colOff>17319</xdr:colOff>
      <xdr:row>38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>
          <a:off x="8503227" y="5957455"/>
          <a:ext cx="50222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588819</xdr:colOff>
      <xdr:row>37</xdr:row>
      <xdr:rowOff>86592</xdr:rowOff>
    </xdr:from>
    <xdr:to>
      <xdr:col>17</xdr:col>
      <xdr:colOff>242455</xdr:colOff>
      <xdr:row>39</xdr:row>
      <xdr:rowOff>17319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8970819" y="5818910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7</xdr:row>
      <xdr:rowOff>119062</xdr:rowOff>
    </xdr:from>
    <xdr:to>
      <xdr:col>22</xdr:col>
      <xdr:colOff>357189</xdr:colOff>
      <xdr:row>53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646304-D635-C277-C1B6-928722D50E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762" t="13196" r="44911" b="12026"/>
        <a:stretch/>
      </xdr:blipFill>
      <xdr:spPr>
        <a:xfrm>
          <a:off x="452438" y="1428750"/>
          <a:ext cx="12620626" cy="76914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FORM-B"/>
      <sheetName val="MASTER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  <sheetName val="D2. ANALISA HS INSHAR"/>
      <sheetName val="Resume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  <sheetName val="HB BARU"/>
      <sheetName val="Resume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  <sheetName val="Dasar Pemadaman"/>
      <sheetName val="Supl.X"/>
      <sheetName val="Harga bahan &amp; upah"/>
      <sheetName val="profil 202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3" t="s">
        <v>1134</v>
      </c>
      <c r="C4" s="543"/>
      <c r="D4" s="543"/>
      <c r="E4" s="543"/>
      <c r="F4" s="543"/>
      <c r="G4" s="543"/>
      <c r="H4" s="54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44" t="s">
        <v>0</v>
      </c>
      <c r="C7" s="544" t="s">
        <v>1</v>
      </c>
      <c r="D7" s="545" t="s">
        <v>42</v>
      </c>
      <c r="E7" s="545" t="s">
        <v>43</v>
      </c>
      <c r="F7" s="545" t="s">
        <v>1135</v>
      </c>
      <c r="G7" s="546" t="s">
        <v>41</v>
      </c>
      <c r="H7" s="542" t="s">
        <v>1042</v>
      </c>
      <c r="I7" s="542" t="s">
        <v>1137</v>
      </c>
      <c r="J7" s="542" t="s">
        <v>1026</v>
      </c>
      <c r="K7" s="536" t="s">
        <v>1024</v>
      </c>
      <c r="L7" s="537"/>
    </row>
    <row r="8" spans="1:12" ht="15" customHeight="1">
      <c r="B8" s="544"/>
      <c r="C8" s="544"/>
      <c r="D8" s="545"/>
      <c r="E8" s="545"/>
      <c r="F8" s="545"/>
      <c r="G8" s="546"/>
      <c r="H8" s="542"/>
      <c r="I8" s="542"/>
      <c r="J8" s="542"/>
      <c r="K8" s="538"/>
      <c r="L8" s="539"/>
    </row>
    <row r="9" spans="1:12" ht="15" customHeight="1">
      <c r="B9" s="544"/>
      <c r="C9" s="544"/>
      <c r="D9" s="545"/>
      <c r="E9" s="545"/>
      <c r="F9" s="545"/>
      <c r="G9" s="546"/>
      <c r="H9" s="542"/>
      <c r="I9" s="542"/>
      <c r="J9" s="542"/>
      <c r="K9" s="540"/>
      <c r="L9" s="54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131 kVA MCCB 200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63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Suspension Polymer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30</v>
      </c>
      <c r="G18" s="41">
        <f ca="1">IF(ISERROR(OFFSET('HARGA SATUAN'!$I$6,MATCH(C18,'HARGA SATUAN'!$C$7:$C$1492,0),0)),"",OFFSET('HARGA SATUAN'!$I$6,MATCH(C18,'HARGA SATUAN'!$C$7:$C$1492,0),0))</f>
        <v>205700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150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3560</v>
      </c>
      <c r="G20" s="41">
        <f ca="1">IF(ISERROR(OFFSET('HARGA SATUAN'!$I$6,MATCH(C20,'HARGA SATUAN'!$C$7:$C$1492,0),0)),"",OFFSET('HARGA SATUAN'!$I$6,MATCH(C20,'HARGA SATUAN'!$C$7:$C$1492,0),0))</f>
        <v>25300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4 x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35</v>
      </c>
      <c r="G21" s="41">
        <f ca="1">IF(ISERROR(OFFSET('HARGA SATUAN'!$I$6,MATCH(C21,'HARGA SATUAN'!$C$7:$C$1492,0),0)),"",OFFSET('HARGA SATUAN'!$I$6,MATCH(C21,'HARGA SATUAN'!$C$7:$C$1492,0),0))</f>
        <v>421400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SUMIFS(RAB!$F$14:$F$217,RAB!$C$14:$C$217,C714)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SUMIFS(RAB!$F$14:$F$217,RAB!$C$14:$C$217,C715)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SUMIFS(RAB!$F$14:$F$217,RAB!$C$14:$C$217,C716)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SUMIFS(RAB!$F$14:$F$217,RAB!$C$14:$C$217,C717)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SUMIFS(RAB!$F$14:$F$217,RAB!$C$14:$C$217,C718)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SUMIFS(RAB!$F$14:$F$217,RAB!$C$14:$C$217,C719)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SUMIFS(RAB!$F$14:$F$217,RAB!$C$14:$C$217,C720)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SUMIFS(RAB!$F$14:$F$217,RAB!$C$14:$C$217,C721)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SUMIFS(RAB!$F$14:$F$217,RAB!$C$14:$C$217,C722)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SUMIFS(RAB!$F$14:$F$217,RAB!$C$14:$C$217,C723)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SUMIFS(RAB!$F$14:$F$217,RAB!$C$14:$C$217,C724)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SUMIFS(RAB!$F$14:$F$217,RAB!$C$14:$C$217,C725)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SUMIFS(RAB!$F$14:$F$217,RAB!$C$14:$C$217,C726)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SUMIFS(RAB!$F$14:$F$217,RAB!$C$14:$C$217,C727)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SUMIFS(RAB!$F$14:$F$217,RAB!$C$14:$C$217,C728)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SUMIFS(RAB!$F$14:$F$217,RAB!$C$14:$C$217,C729)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SUMIFS(RAB!$F$14:$F$217,RAB!$C$14:$C$217,C730)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SUMIFS(RAB!$F$14:$F$217,RAB!$C$14:$C$217,C731)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SUMIFS(RAB!$F$14:$F$217,RAB!$C$14:$C$217,C732)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SUMIFS(RAB!$F$14:$F$217,RAB!$C$14:$C$217,C733)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SUMIFS(RAB!$F$14:$F$217,RAB!$C$14:$C$217,C734)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SUMIFS(RAB!$F$14:$F$217,RAB!$C$14:$C$217,C735)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SUMIFS(RAB!$F$14:$F$217,RAB!$C$14:$C$217,C736)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SUMIFS(RAB!$F$14:$F$217,RAB!$C$14:$C$217,C737)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SUMIFS(RAB!$F$14:$F$217,RAB!$C$14:$C$217,C738)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SUMIFS(RAB!$F$14:$F$217,RAB!$C$14:$C$217,C739)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SUMIFS(RAB!$F$14:$F$217,RAB!$C$14:$C$217,C740)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SUMIFS(RAB!$F$14:$F$217,RAB!$C$14:$C$217,C741)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SUMIFS(RAB!$F$14:$F$217,RAB!$C$14:$C$217,C742)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SUMIFS(RAB!$F$14:$F$217,RAB!$C$14:$C$217,C743)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SUMIFS(RAB!$F$14:$F$217,RAB!$C$14:$C$217,C744)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SUMIFS(RAB!$F$14:$F$217,RAB!$C$14:$C$217,C745)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SUMIFS(RAB!$F$14:$F$217,RAB!$C$14:$C$217,C746)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SUMIFS(RAB!$F$14:$F$217,RAB!$C$14:$C$217,C747)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SUMIFS(RAB!$F$14:$F$217,RAB!$C$14:$C$217,C748)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SUMIFS(RAB!$F$14:$F$217,RAB!$C$14:$C$217,C749)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SUMIFS(RAB!$F$14:$F$217,RAB!$C$14:$C$217,C750)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SUMIFS(RAB!$F$14:$F$217,RAB!$C$14:$C$217,C751)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SUMIFS(RAB!$F$14:$F$217,RAB!$C$14:$C$217,C752)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SUMIFS(RAB!$F$14:$F$217,RAB!$C$14:$C$217,C753)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SUMIFS(RAB!$F$14:$F$217,RAB!$C$14:$C$217,C754)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SUMIFS(RAB!$F$14:$F$217,RAB!$C$14:$C$217,C755)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SUMIFS(RAB!$F$14:$F$217,RAB!$C$14:$C$217,C756)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SUMIFS(RAB!$F$14:$F$217,RAB!$C$14:$C$217,C757)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SUMIFS(RAB!$F$14:$F$217,RAB!$C$14:$C$217,C758)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SUMIFS(RAB!$F$14:$F$217,RAB!$C$14:$C$217,C759)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SUMIFS(RAB!$F$14:$F$217,RAB!$C$14:$C$217,C760)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SUMIFS(RAB!$F$14:$F$217,RAB!$C$14:$C$217,C761)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SUMIFS(RAB!$F$14:$F$217,RAB!$C$14:$C$217,C762)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SUMIFS(RAB!$F$14:$F$217,RAB!$C$14:$C$217,C763)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SUMIFS(RAB!$F$14:$F$217,RAB!$C$14:$C$217,C764)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SUMIFS(RAB!$F$14:$F$217,RAB!$C$14:$C$217,C765)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SUMIFS(RAB!$F$14:$F$217,RAB!$C$14:$C$217,C766)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SUMIFS(RAB!$F$14:$F$217,RAB!$C$14:$C$217,C767)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SUMIFS(RAB!$F$14:$F$217,RAB!$C$14:$C$217,C768)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SUMIFS(RAB!$F$14:$F$217,RAB!$C$14:$C$217,C769)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SUMIFS(RAB!$F$14:$F$217,RAB!$C$14:$C$217,C770)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SUMIFS(RAB!$F$14:$F$217,RAB!$C$14:$C$217,C771)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SUMIFS(RAB!$F$14:$F$217,RAB!$C$14:$C$217,C772)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SUMIFS(RAB!$F$14:$F$217,RAB!$C$14:$C$217,C773)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SUMIFS(RAB!$F$14:$F$217,RAB!$C$14:$C$217,C774)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SUMIFS(RAB!$F$14:$F$217,RAB!$C$14:$C$217,C775)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SUMIFS(RAB!$F$14:$F$217,RAB!$C$14:$C$217,C776)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SUMIFS(RAB!$F$14:$F$217,RAB!$C$14:$C$217,C777)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SUMIFS(RAB!$F$14:$F$217,RAB!$C$14:$C$217,C778)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SUMIFS(RAB!$F$14:$F$217,RAB!$C$14:$C$217,C779)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SUMIFS(RAB!$F$14:$F$217,RAB!$C$14:$C$217,C780)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SUMIFS(RAB!$F$14:$F$217,RAB!$C$14:$C$217,C781)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SUMIFS(RAB!$F$14:$F$217,RAB!$C$14:$C$217,C782)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SUMIFS(RAB!$F$14:$F$217,RAB!$C$14:$C$217,C783)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SUMIFS(RAB!$F$14:$F$217,RAB!$C$14:$C$217,C784)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SUMIFS(RAB!$F$14:$F$217,RAB!$C$14:$C$217,C785)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SUMIFS(RAB!$F$14:$F$217,RAB!$C$14:$C$217,C786)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SUMIFS(RAB!$F$14:$F$217,RAB!$C$14:$C$217,C787)</f>
        <v>1</v>
      </c>
      <c r="E787" s="26">
        <f t="shared" ca="1" si="34"/>
        <v>1</v>
      </c>
      <c r="F787" s="26">
        <f ca="1">IF(D787=0,0,SUM($E$713:E787))</f>
        <v>2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SUMIFS(RAB!$F$14:$F$217,RAB!$C$14:$C$217,C788)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SUMIFS(RAB!$F$14:$F$217,RAB!$C$14:$C$217,C789)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SUMIFS(RAB!$F$14:$F$217,RAB!$C$14:$C$217,C790)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SUMIFS(RAB!$F$14:$F$217,RAB!$C$14:$C$217,C791)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SUMIFS(RAB!$F$14:$F$217,RAB!$C$14:$C$217,C792)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SUMIFS(RAB!$F$14:$F$217,RAB!$C$14:$C$217,C793)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SUMIFS(RAB!$F$14:$F$217,RAB!$C$14:$C$217,C794)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SUMIFS(RAB!$F$14:$F$217,RAB!$C$14:$C$217,C795)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SUMIFS(RAB!$F$14:$F$217,RAB!$C$14:$C$217,C796)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SUMIFS(RAB!$F$14:$F$217,RAB!$C$14:$C$217,C797)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SUMIFS(RAB!$F$14:$F$217,RAB!$C$14:$C$217,C798)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SUMIFS(RAB!$F$14:$F$217,RAB!$C$14:$C$217,C799)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SUMIFS(RAB!$F$14:$F$217,RAB!$C$14:$C$217,C800)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SUMIFS(RAB!$F$14:$F$217,RAB!$C$14:$C$217,C801)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SUMIFS(RAB!$F$14:$F$217,RAB!$C$14:$C$217,C802)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SUMIFS(RAB!$F$14:$F$217,RAB!$C$14:$C$217,C803)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SUMIFS(RAB!$F$14:$F$217,RAB!$C$14:$C$217,C804)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SUMIFS(RAB!$F$14:$F$217,RAB!$C$14:$C$217,C805)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SUMIFS(RAB!$F$14:$F$217,RAB!$C$14:$C$217,C806)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SUMIFS(RAB!$F$14:$F$217,RAB!$C$14:$C$217,C807)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SUMIFS(RAB!$F$14:$F$217,RAB!$C$14:$C$217,C808)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SUMIFS(RAB!$F$14:$F$217,RAB!$C$14:$C$217,C809)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SUMIFS(RAB!$F$14:$F$217,RAB!$C$14:$C$217,C810)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SUMIFS(RAB!$F$14:$F$217,RAB!$C$14:$C$217,C811)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SUMIFS(RAB!$F$14:$F$217,RAB!$C$14:$C$217,C812)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SUMIFS(RAB!$F$14:$F$217,RAB!$C$14:$C$217,C813)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SUMIFS(RAB!$F$14:$F$217,RAB!$C$14:$C$217,C814)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SUMIFS(RAB!$F$14:$F$217,RAB!$C$14:$C$217,C815)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SUMIFS(RAB!$F$14:$F$217,RAB!$C$14:$C$217,C816)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SUMIFS(RAB!$F$14:$F$217,RAB!$C$14:$C$217,C817)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SUMIFS(RAB!$F$14:$F$217,RAB!$C$14:$C$217,C818)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SUMIFS(RAB!$F$14:$F$217,RAB!$C$14:$C$217,C819)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SUMIFS(RAB!$F$14:$F$217,RAB!$C$14:$C$217,C820)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SUMIFS(RAB!$F$14:$F$217,RAB!$C$14:$C$217,C821)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SUMIFS(RAB!$F$14:$F$217,RAB!$C$14:$C$217,C822)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SUMIFS(RAB!$F$14:$F$217,RAB!$C$14:$C$217,C823)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SUMIFS(RAB!$F$14:$F$217,RAB!$C$14:$C$217,C824)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SUMIFS(RAB!$F$14:$F$217,RAB!$C$14:$C$217,C825)</f>
        <v>63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SUMIFS(RAB!$F$14:$F$217,RAB!$C$14:$C$217,C826)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SUMIFS(RAB!$F$14:$F$217,RAB!$C$14:$C$217,C827)</f>
        <v>30</v>
      </c>
      <c r="E827" s="26">
        <f t="shared" ca="1" si="34"/>
        <v>1</v>
      </c>
      <c r="F827" s="26">
        <f ca="1">IF(D827=0,0,SUM($E$713:E827))</f>
        <v>7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SUMIFS(RAB!$F$14:$F$217,RAB!$C$14:$C$217,C828)</f>
        <v>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SUMIFS(RAB!$F$14:$F$217,RAB!$C$14:$C$217,C829)</f>
        <v>3560</v>
      </c>
      <c r="E829" s="26">
        <f t="shared" ca="1" si="34"/>
        <v>1</v>
      </c>
      <c r="F829" s="26">
        <f ca="1">IF(D829=0,0,SUM($E$713:E829))</f>
        <v>9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SUMIFS(RAB!$F$14:$F$217,RAB!$C$14:$C$217,C830)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SUMIFS(RAB!$F$14:$F$217,RAB!$C$14:$C$217,C831)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SUMIFS(RAB!$F$14:$F$217,RAB!$C$14:$C$217,C832)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SUMIFS(RAB!$F$14:$F$217,RAB!$C$14:$C$217,C833)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SUMIFS(RAB!$F$14:$F$217,RAB!$C$14:$C$217,C834)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SUMIFS(RAB!$F$14:$F$217,RAB!$C$14:$C$217,C835)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SUMIFS(RAB!$F$14:$F$217,RAB!$C$14:$C$217,C836)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SUMIFS(RAB!$F$14:$F$217,RAB!$C$14:$C$217,C837)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SUMIFS(RAB!$F$14:$F$217,RAB!$C$14:$C$217,C838)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SUMIFS(RAB!$F$14:$F$217,RAB!$C$14:$C$217,C839)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SUMIFS(RAB!$F$14:$F$217,RAB!$C$14:$C$217,C840)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SUMIFS(RAB!$F$14:$F$217,RAB!$C$14:$C$217,C841)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SUMIFS(RAB!$F$14:$F$217,RAB!$C$14:$C$217,C842)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SUMIFS(RAB!$F$14:$F$217,RAB!$C$14:$C$217,C843)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SUMIFS(RAB!$F$14:$F$217,RAB!$C$14:$C$217,C844)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SUMIFS(RAB!$F$14:$F$217,RAB!$C$14:$C$217,C845)</f>
        <v>35</v>
      </c>
      <c r="E845" s="26">
        <f t="shared" ca="1" si="35"/>
        <v>1</v>
      </c>
      <c r="F845" s="26">
        <f ca="1">IF(D845=0,0,SUM($E$713:E845))</f>
        <v>10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SUMIFS(RAB!$F$14:$F$217,RAB!$C$14:$C$217,C846)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SUMIFS(RAB!$F$14:$F$217,RAB!$C$14:$C$217,C847)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SUMIFS(RAB!$F$14:$F$217,RAB!$C$14:$C$217,C848)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SUMIFS(RAB!$F$14:$F$217,RAB!$C$14:$C$217,C849)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SUMIFS(RAB!$F$14:$F$217,RAB!$C$14:$C$217,C850)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SUMIFS(RAB!$F$14:$F$217,RAB!$C$14:$C$217,C851)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SUMIFS(RAB!$F$14:$F$217,RAB!$C$14:$C$217,C852)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SUMIFS(RAB!$F$14:$F$217,RAB!$C$14:$C$217,C853)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SUMIFS(RAB!$F$14:$F$217,RAB!$C$14:$C$217,C854)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SUMIFS(RAB!$F$14:$F$217,RAB!$C$14:$C$217,C855)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SUMIFS(RAB!$F$14:$F$217,RAB!$C$14:$C$217,C856)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SUMIFS(RAB!$F$14:$F$217,RAB!$C$14:$C$217,C857)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SUMIFS(RAB!$F$14:$F$217,RAB!$C$14:$C$217,C858)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SUMIFS(RAB!$F$14:$F$217,RAB!$C$14:$C$217,C859)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SUMIFS(RAB!$F$14:$F$217,RAB!$C$14:$C$217,C860)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SUMIFS(RAB!$F$14:$F$217,RAB!$C$14:$C$217,C861)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SUMIFS(RAB!$F$14:$F$217,RAB!$C$14:$C$217,C862)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SUMIFS(RAB!$F$14:$F$217,RAB!$C$14:$C$217,C863)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SUMIFS(RAB!$F$14:$F$217,RAB!$C$14:$C$217,C864)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SUMIFS(RAB!$F$14:$F$217,RAB!$C$14:$C$217,C865)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SUMIFS(RAB!$F$14:$F$217,RAB!$C$14:$C$217,C866)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SUMIFS(RAB!$F$14:$F$217,RAB!$C$14:$C$217,C867)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SUMIFS(RAB!$F$14:$F$217,RAB!$C$14:$C$217,C868)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SUMIFS(RAB!$F$14:$F$217,RAB!$C$14:$C$217,C869)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SUMIFS(RAB!$F$14:$F$217,RAB!$C$14:$C$217,C870)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SUMIFS(RAB!$F$14:$F$217,RAB!$C$14:$C$217,C871)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SUMIFS(RAB!$F$14:$F$217,RAB!$C$14:$C$217,C872)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SUMIFS(RAB!$F$14:$F$217,RAB!$C$14:$C$217,C873)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SUMIFS(RAB!$F$14:$F$217,RAB!$C$14:$C$217,C874)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SUMIFS(RAB!$F$14:$F$217,RAB!$C$14:$C$217,C875)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SUMIFS(RAB!$F$14:$F$217,RAB!$C$14:$C$217,C876)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SUMIFS(RAB!$F$14:$F$217,RAB!$C$14:$C$217,C877)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SUMIFS(RAB!$F$14:$F$217,RAB!$C$14:$C$217,C878)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SUMIFS(RAB!$F$14:$F$217,RAB!$C$14:$C$217,C879)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SUMIFS(RAB!$F$14:$F$217,RAB!$C$14:$C$217,C880)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SUMIFS(RAB!$F$14:$F$217,RAB!$C$14:$C$217,C881)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SUMIFS(RAB!$F$14:$F$217,RAB!$C$14:$C$217,C882)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SUMIFS(RAB!$F$14:$F$217,RAB!$C$14:$C$217,C883)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SUMIFS(RAB!$F$14:$F$217,RAB!$C$14:$C$217,C884)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SUMIFS(RAB!$F$14:$F$217,RAB!$C$14:$C$217,C885)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SUMIFS(RAB!$F$14:$F$217,RAB!$C$14:$C$217,C886)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SUMIFS(RAB!$F$14:$F$217,RAB!$C$14:$C$217,C887)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SUMIFS(RAB!$F$14:$F$217,RAB!$C$14:$C$217,C888)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SUMIFS(RAB!$F$14:$F$217,RAB!$C$14:$C$217,C889)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SUMIFS(RAB!$F$14:$F$217,RAB!$C$14:$C$217,C890)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SUMIFS(RAB!$F$14:$F$217,RAB!$C$14:$C$217,C891)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SUMIFS(RAB!$F$14:$F$217,RAB!$C$14:$C$217,C892)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SUMIFS(RAB!$F$14:$F$217,RAB!$C$14:$C$217,C893)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SUMIFS(RAB!$F$14:$F$217,RAB!$C$14:$C$217,C894)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SUMIFS(RAB!$F$14:$F$217,RAB!$C$14:$C$217,C895)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SUMIFS(RAB!$F$14:$F$217,RAB!$C$14:$C$217,C896)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SUMIFS(RAB!$F$14:$F$217,RAB!$C$14:$C$217,C897)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SUMIFS(RAB!$F$14:$F$217,RAB!$C$14:$C$217,C898)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SUMIFS(RAB!$F$14:$F$217,RAB!$C$14:$C$217,C899)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SUMIFS(RAB!$F$14:$F$217,RAB!$C$14:$C$217,C900)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SUMIFS(RAB!$F$14:$F$217,RAB!$C$14:$C$217,C901)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SUMIFS(RAB!$F$14:$F$217,RAB!$C$14:$C$217,C902)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SUMIFS(RAB!$F$14:$F$217,RAB!$C$14:$C$217,C903)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SUMIFS(RAB!$F$14:$F$217,RAB!$C$14:$C$217,C904)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SUMIFS(RAB!$F$14:$F$217,RAB!$C$14:$C$217,C905)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SUMIFS(RAB!$F$14:$F$217,RAB!$C$14:$C$217,C906)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SUMIFS(RAB!$F$14:$F$217,RAB!$C$14:$C$217,C907)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SUMIFS(RAB!$F$14:$F$217,RAB!$C$14:$C$217,C908)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SUMIFS(RAB!$F$14:$F$217,RAB!$C$14:$C$217,C909)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SUMIFS(RAB!$F$14:$F$217,RAB!$C$14:$C$217,C910)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SUMIFS(RAB!$F$14:$F$217,RAB!$C$14:$C$217,C911)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SUMIFS(RAB!$F$14:$F$217,RAB!$C$14:$C$217,C912)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SUMIFS(RAB!$F$14:$F$217,RAB!$C$14:$C$217,C913)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SUMIFS(RAB!$F$14:$F$217,RAB!$C$14:$C$217,C914)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SUMIFS(RAB!$F$14:$F$217,RAB!$C$14:$C$217,C915)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SUMIFS(RAB!$F$14:$F$217,RAB!$C$14:$C$217,C916)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SUMIFS(RAB!$F$14:$F$217,RAB!$C$14:$C$217,C917)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SUMIFS(RAB!$F$14:$F$217,RAB!$C$14:$C$217,C918)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SUMIFS(RAB!$F$14:$F$217,RAB!$C$14:$C$217,C919)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SUMIFS(RAB!$F$14:$F$217,RAB!$C$14:$C$217,C920)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SUMIFS(RAB!$F$14:$F$217,RAB!$C$14:$C$217,C921)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SUMIFS(RAB!$F$14:$F$217,RAB!$C$14:$C$217,C922)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SUMIFS(RAB!$F$14:$F$217,RAB!$C$14:$C$217,C923)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SUMIFS(RAB!$F$14:$F$217,RAB!$C$14:$C$217,C924)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SUMIFS(RAB!$F$14:$F$217,RAB!$C$14:$C$217,C925)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SUMIFS(RAB!$F$14:$F$217,RAB!$C$14:$C$217,C926)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SUMIFS(RAB!$F$14:$F$217,RAB!$C$14:$C$217,C927)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SUMIFS(RAB!$F$14:$F$217,RAB!$C$14:$C$217,C928)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SUMIFS(RAB!$F$14:$F$217,RAB!$C$14:$C$217,C929)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SUMIFS(RAB!$F$14:$F$217,RAB!$C$14:$C$217,C930)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SUMIFS(RAB!$F$14:$F$217,RAB!$C$14:$C$217,C931)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SUMIFS(RAB!$F$14:$F$217,RAB!$C$14:$C$217,C932)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SUMIFS(RAB!$F$14:$F$217,RAB!$C$14:$C$217,C933)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SUMIFS(RAB!$F$14:$F$217,RAB!$C$14:$C$217,C934)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SUMIFS(RAB!$F$14:$F$217,RAB!$C$14:$C$217,C935)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SUMIFS(RAB!$F$14:$F$217,RAB!$C$14:$C$217,C936)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SUMIFS(RAB!$F$14:$F$217,RAB!$C$14:$C$217,C937)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SUMIFS(RAB!$F$14:$F$217,RAB!$C$14:$C$217,C938)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SUMIFS(RAB!$F$14:$F$217,RAB!$C$14:$C$217,C939)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SUMIFS(RAB!$F$14:$F$217,RAB!$C$14:$C$217,C940)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SUMIFS(RAB!$F$14:$F$217,RAB!$C$14:$C$217,C941)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SUMIFS(RAB!$F$14:$F$217,RAB!$C$14:$C$217,C942)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SUMIFS(RAB!$F$14:$F$217,RAB!$C$14:$C$217,C943)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SUMIFS(RAB!$F$14:$F$217,RAB!$C$14:$C$217,C944)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SUMIFS(RAB!$F$14:$F$217,RAB!$C$14:$C$217,C945)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SUMIFS(RAB!$F$14:$F$217,RAB!$C$14:$C$217,C946)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SUMIFS(RAB!$F$14:$F$217,RAB!$C$14:$C$217,C947)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SUMIFS(RAB!$F$14:$F$217,RAB!$C$14:$C$217,C948)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SUMIFS(RAB!$F$14:$F$217,RAB!$C$14:$C$217,C949)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SUMIFS(RAB!$F$14:$F$217,RAB!$C$14:$C$217,C950)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SUMIFS(RAB!$F$14:$F$217,RAB!$C$14:$C$217,C951)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SUMIFS(RAB!$F$14:$F$217,RAB!$C$14:$C$217,C952)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SUMIFS(RAB!$F$14:$F$217,RAB!$C$14:$C$217,C953)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SUMIFS(RAB!$F$14:$F$217,RAB!$C$14:$C$217,C954)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SUMIFS(RAB!$F$14:$F$217,RAB!$C$14:$C$217,C955)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SUMIFS(RAB!$F$14:$F$217,RAB!$C$14:$C$217,C956)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SUMIFS(RAB!$F$14:$F$217,RAB!$C$14:$C$217,C957)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SUMIFS(RAB!$F$14:$F$217,RAB!$C$14:$C$217,C958)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SUMIFS(RAB!$F$14:$F$217,RAB!$C$14:$C$217,C959)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SUMIFS(RAB!$F$14:$F$217,RAB!$C$14:$C$217,C960)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SUMIFS(RAB!$F$14:$F$217,RAB!$C$14:$C$217,C961)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SUMIFS(RAB!$F$14:$F$217,RAB!$C$14:$C$217,C962)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SUMIFS(RAB!$F$14:$F$217,RAB!$C$14:$C$217,C963)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SUMIFS(RAB!$F$14:$F$217,RAB!$C$14:$C$217,C964)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SUMIFS(RAB!$F$14:$F$217,RAB!$C$14:$C$217,C965)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SUMIFS(RAB!$F$14:$F$217,RAB!$C$14:$C$217,C966)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SUMIFS(RAB!$F$14:$F$217,RAB!$C$14:$C$217,C967)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SUMIFS(RAB!$F$14:$F$217,RAB!$C$14:$C$217,C968)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SUMIFS(RAB!$F$14:$F$217,RAB!$C$14:$C$217,C969)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SUMIFS(RAB!$F$14:$F$217,RAB!$C$14:$C$217,C970)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SUMIFS(RAB!$F$14:$F$217,RAB!$C$14:$C$217,C971)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SUMIFS(RAB!$F$14:$F$217,RAB!$C$14:$C$217,C972)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SUMIFS(RAB!$F$14:$F$217,RAB!$C$14:$C$217,C973)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SUMIFS(RAB!$F$14:$F$217,RAB!$C$14:$C$217,C974)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SUMIFS(RAB!$F$14:$F$217,RAB!$C$14:$C$217,C975)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SUMIFS(RAB!$F$14:$F$217,RAB!$C$14:$C$217,C976)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SUMIFS(RAB!$F$14:$F$217,RAB!$C$14:$C$217,C977)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SUMIFS(RAB!$F$14:$F$217,RAB!$C$14:$C$217,C978)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SUMIFS(RAB!$F$14:$F$217,RAB!$C$14:$C$217,C979)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SUMIFS(RAB!$F$14:$F$217,RAB!$C$14:$C$217,C980)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SUMIFS(RAB!$F$14:$F$217,RAB!$C$14:$C$217,C981)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SUMIFS(RAB!$F$14:$F$217,RAB!$C$14:$C$217,C982)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SUMIFS(RAB!$F$14:$F$217,RAB!$C$14:$C$217,C983)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SUMIFS(RAB!$F$14:$F$217,RAB!$C$14:$C$217,C984)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SUMIFS(RAB!$F$14:$F$217,RAB!$C$14:$C$217,C985)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SUMIFS(RAB!$F$14:$F$217,RAB!$C$14:$C$217,C986)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SUMIFS(RAB!$F$14:$F$217,RAB!$C$14:$C$217,C987)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SUMIFS(RAB!$F$14:$F$217,RAB!$C$14:$C$217,C988)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SUMIFS(RAB!$F$14:$F$217,RAB!$C$14:$C$217,C989)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SUMIFS(RAB!$F$14:$F$217,RAB!$C$14:$C$217,C990)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SUMIFS(RAB!$F$14:$F$217,RAB!$C$14:$C$217,C991)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SUMIFS(RAB!$F$14:$F$217,RAB!$C$14:$C$217,C992)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SUMIFS(RAB!$F$14:$F$217,RAB!$C$14:$C$217,C993)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SUMIFS(RAB!$F$14:$F$217,RAB!$C$14:$C$217,C994)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SUMIFS(RAB!$F$14:$F$217,RAB!$C$14:$C$217,C995)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SUMIFS(RAB!$F$14:$F$217,RAB!$C$14:$C$217,C996)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SUMIFS(RAB!$F$14:$F$217,RAB!$C$14:$C$217,C997)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SUMIFS(RAB!$F$14:$F$217,RAB!$C$14:$C$217,C998)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SUMIFS(RAB!$F$14:$F$217,RAB!$C$14:$C$217,C999)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SUMIFS(RAB!$F$14:$F$217,RAB!$C$14:$C$217,C1000)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SUMIFS(RAB!$F$14:$F$217,RAB!$C$14:$C$217,C1001)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SUMIFS(RAB!$F$14:$F$217,RAB!$C$14:$C$217,C1002)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SUMIFS(RAB!$F$14:$F$217,RAB!$C$14:$C$217,C1003)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SUMIFS(RAB!$F$14:$F$217,RAB!$C$14:$C$217,C1004)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SUMIFS(RAB!$F$14:$F$217,RAB!$C$14:$C$217,C1005)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SUMIFS(RAB!$F$14:$F$217,RAB!$C$14:$C$217,C1006)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SUMIFS(RAB!$F$14:$F$217,RAB!$C$14:$C$217,C1007)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SUMIFS(RAB!$F$14:$F$217,RAB!$C$14:$C$217,C1008)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SUMIFS(RAB!$F$14:$F$217,RAB!$C$14:$C$217,C1009)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SUMIFS(RAB!$F$14:$F$217,RAB!$C$14:$C$217,C1010)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SUMIFS(RAB!$F$14:$F$217,RAB!$C$14:$C$217,C1011)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SUMIFS(RAB!$F$14:$F$217,RAB!$C$14:$C$217,C1012)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SUMIFS(RAB!$F$14:$F$217,RAB!$C$14:$C$217,C1013)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SUMIFS(RAB!$F$14:$F$217,RAB!$C$14:$C$217,C1014)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SUMIFS(RAB!$F$14:$F$217,RAB!$C$14:$C$217,C1015)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SUMIFS(RAB!$F$14:$F$217,RAB!$C$14:$C$217,C1016)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SUMIFS(RAB!$F$14:$F$217,RAB!$C$14:$C$217,C1017)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SUMIFS(RAB!$F$14:$F$217,RAB!$C$14:$C$217,C1018)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SUMIFS(RAB!$F$14:$F$217,RAB!$C$14:$C$217,C1019)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SUMIFS(RAB!$F$14:$F$217,RAB!$C$14:$C$217,C1020)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SUMIFS(RAB!$F$14:$F$217,RAB!$C$14:$C$217,C1021)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SUMIFS(RAB!$F$14:$F$217,RAB!$C$14:$C$217,C1022)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SUMIFS(RAB!$F$14:$F$217,RAB!$C$14:$C$217,C1023)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SUMIFS(RAB!$F$14:$F$217,RAB!$C$14:$C$217,C1024)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SUMIFS(RAB!$F$14:$F$217,RAB!$C$14:$C$217,C1025)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SUMIFS(RAB!$F$14:$F$217,RAB!$C$14:$C$217,C1026)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SUMIFS(RAB!$F$14:$F$217,RAB!$C$14:$C$217,C1027)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SUMIFS(RAB!$F$14:$F$217,RAB!$C$14:$C$217,C1028)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SUMIFS(RAB!$F$14:$F$217,RAB!$C$14:$C$217,C1029)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SUMIFS(RAB!$F$14:$F$217,RAB!$C$14:$C$217,C1030)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SUMIFS(RAB!$F$14:$F$217,RAB!$C$14:$C$217,C1031)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SUMIFS(RAB!$F$14:$F$217,RAB!$C$14:$C$217,C1032)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SUMIFS(RAB!$F$14:$F$217,RAB!$C$14:$C$217,C1033)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SUMIFS(RAB!$F$14:$F$217,RAB!$C$14:$C$217,C1034)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SUMIFS(RAB!$F$14:$F$217,RAB!$C$14:$C$217,C1035)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SUMIFS(RAB!$F$14:$F$217,RAB!$C$14:$C$217,C1036)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SUMIFS(RAB!$F$14:$F$217,RAB!$C$14:$C$217,C1037)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SUMIFS(RAB!$F$14:$F$217,RAB!$C$14:$C$217,C1038)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SUMIFS(RAB!$F$14:$F$217,RAB!$C$14:$C$217,C1039)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SUMIFS(RAB!$F$14:$F$217,RAB!$C$14:$C$217,C1040)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SUMIFS(RAB!$F$14:$F$217,RAB!$C$14:$C$217,C1041)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SUMIFS(RAB!$F$14:$F$217,RAB!$C$14:$C$217,C1042)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SUMIFS(RAB!$F$14:$F$217,RAB!$C$14:$C$217,C1043)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SUMIFS(RAB!$F$14:$F$217,RAB!$C$14:$C$217,C1044)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SUMIFS(RAB!$F$14:$F$217,RAB!$C$14:$C$217,C1045)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SUMIFS(RAB!$F$14:$F$217,RAB!$C$14:$C$217,C1046)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SUMIFS(RAB!$F$14:$F$217,RAB!$C$14:$C$217,C1047)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SUMIFS(RAB!$F$14:$F$217,RAB!$C$14:$C$217,C1048)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SUMIFS(RAB!$F$14:$F$217,RAB!$C$14:$C$217,C1049)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SUMIFS(RAB!$F$14:$F$217,RAB!$C$14:$C$217,C1050)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SUMIFS(RAB!$F$14:$F$217,RAB!$C$14:$C$217,C1051)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SUMIFS(RAB!$F$14:$F$217,RAB!$C$14:$C$217,C1052)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SUMIFS(RAB!$F$14:$F$217,RAB!$C$14:$C$217,C1053)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SUMIFS(RAB!$F$14:$F$217,RAB!$C$14:$C$217,C1054)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SUMIFS(RAB!$F$14:$F$217,RAB!$C$14:$C$217,C1055)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SUMIFS(RAB!$F$14:$F$217,RAB!$C$14:$C$217,C1056)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SUMIFS(RAB!$F$14:$F$217,RAB!$C$14:$C$217,C1057)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SUMIFS(RAB!$F$14:$F$217,RAB!$C$14:$C$217,C1058)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SUMIFS(RAB!$F$14:$F$217,RAB!$C$14:$C$217,C1059)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SUMIFS(RAB!$F$14:$F$217,RAB!$C$14:$C$217,C1060)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SUMIFS(RAB!$F$14:$F$217,RAB!$C$14:$C$217,C1061)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SUMIFS(RAB!$F$14:$F$217,RAB!$C$14:$C$217,C1062)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SUMIFS(RAB!$F$14:$F$217,RAB!$C$14:$C$217,C1063)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SUMIFS(RAB!$F$14:$F$217,RAB!$C$14:$C$217,C1064)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SUMIFS(RAB!$F$14:$F$217,RAB!$C$14:$C$217,C1065)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SUMIFS(RAB!$F$14:$F$217,RAB!$C$14:$C$217,C1066)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SUMIFS(RAB!$F$14:$F$217,RAB!$C$14:$C$217,C1067)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SUMIFS(RAB!$F$14:$F$217,RAB!$C$14:$C$217,C1068)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SUMIFS(RAB!$F$14:$F$217,RAB!$C$14:$C$217,C1069)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SUMIFS(RAB!$F$14:$F$217,RAB!$C$14:$C$217,C1070)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SUMIFS(RAB!$F$14:$F$217,RAB!$C$14:$C$217,C1071)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SUMIFS(RAB!$F$14:$F$217,RAB!$C$14:$C$217,C1072)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SUMIFS(RAB!$F$14:$F$217,RAB!$C$14:$C$217,C1073)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SUMIFS(RAB!$F$14:$F$217,RAB!$C$14:$C$217,C1074)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SUMIFS(RAB!$F$14:$F$217,RAB!$C$14:$C$217,C1075)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SUMIFS(RAB!$F$14:$F$217,RAB!$C$14:$C$217,C1076)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SUMIFS(RAB!$F$14:$F$217,RAB!$C$14:$C$217,C1077)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SUMIFS(RAB!$F$14:$F$217,RAB!$C$14:$C$217,C1078)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SUMIFS(RAB!$F$14:$F$217,RAB!$C$14:$C$217,C1079)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SUMIFS(RAB!$F$14:$F$217,RAB!$C$14:$C$217,C1080)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SUMIFS(RAB!$F$14:$F$217,RAB!$C$14:$C$217,C1081)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SUMIFS(RAB!$F$14:$F$217,RAB!$C$14:$C$217,C1082)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SUMIFS(RAB!$F$14:$F$217,RAB!$C$14:$C$217,C1083)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SUMIFS(RAB!$F$14:$F$217,RAB!$C$14:$C$217,C1084)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SUMIFS(RAB!$F$14:$F$217,RAB!$C$14:$C$217,C1085)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SUMIFS(RAB!$F$14:$F$217,RAB!$C$14:$C$217,C1086)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SUMIFS(RAB!$F$14:$F$217,RAB!$C$14:$C$217,C1087)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SUMIFS(RAB!$F$14:$F$217,RAB!$C$14:$C$217,C1088)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SUMIFS(RAB!$F$14:$F$217,RAB!$C$14:$C$217,C1089)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SUMIFS(RAB!$F$14:$F$217,RAB!$C$14:$C$217,C1090)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SUMIFS(RAB!$F$14:$F$217,RAB!$C$14:$C$217,C1091)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SUMIFS(RAB!$F$14:$F$217,RAB!$C$14:$C$217,C1092)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SUMIFS(RAB!$F$14:$F$217,RAB!$C$14:$C$217,C1093)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SUMIFS(RAB!$F$14:$F$217,RAB!$C$14:$C$217,C1094)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SUMIFS(RAB!$F$14:$F$217,RAB!$C$14:$C$217,C1095)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SUMIFS(RAB!$F$14:$F$217,RAB!$C$14:$C$217,C1096)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SUMIFS(RAB!$F$14:$F$217,RAB!$C$14:$C$217,C1097)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SUMIFS(RAB!$F$14:$F$217,RAB!$C$14:$C$217,C1098)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SUMIFS(RAB!$F$14:$F$217,RAB!$C$14:$C$217,C1099)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SUMIFS(RAB!$F$14:$F$217,RAB!$C$14:$C$217,C1100)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SUMIFS(RAB!$F$14:$F$217,RAB!$C$14:$C$217,C1101)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SUMIFS(RAB!$F$14:$F$217,RAB!$C$14:$C$217,C1102)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SUMIFS(RAB!$F$14:$F$217,RAB!$C$14:$C$217,C1103)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SUMIFS(RAB!$F$14:$F$217,RAB!$C$14:$C$217,C1104)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SUMIFS(RAB!$F$14:$F$217,RAB!$C$14:$C$217,C1105)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SUMIFS(RAB!$F$14:$F$217,RAB!$C$14:$C$217,C1106)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SUMIFS(RAB!$F$14:$F$217,RAB!$C$14:$C$217,C1107)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SUMIFS(RAB!$F$14:$F$217,RAB!$C$14:$C$217,C1108)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SUMIFS(RAB!$F$14:$F$217,RAB!$C$14:$C$217,C1109)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SUMIFS(RAB!$F$14:$F$217,RAB!$C$14:$C$217,C1110)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SUMIFS(RAB!$F$14:$F$217,RAB!$C$14:$C$217,C1111)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SUMIFS(RAB!$F$14:$F$217,RAB!$C$14:$C$217,C1112)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SUMIFS(RAB!$F$14:$F$217,RAB!$C$14:$C$217,C1113)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SUMIFS(RAB!$F$14:$F$217,RAB!$C$14:$C$217,C1114)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SUMIFS(RAB!$F$14:$F$217,RAB!$C$14:$C$217,C1115)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SUMIFS(RAB!$F$14:$F$217,RAB!$C$14:$C$217,C1116)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SUMIFS(RAB!$F$14:$F$217,RAB!$C$14:$C$217,C1117)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SUMIFS(RAB!$F$14:$F$217,RAB!$C$14:$C$217,C1118)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SUMIFS(RAB!$F$14:$F$217,RAB!$C$14:$C$217,C1119)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SUMIFS(RAB!$F$14:$F$217,RAB!$C$14:$C$217,C1120)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SUMIFS(RAB!$F$14:$F$217,RAB!$C$14:$C$217,C1121)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SUMIFS(RAB!$F$14:$F$217,RAB!$C$14:$C$217,C1122)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SUMIFS(RAB!$F$14:$F$217,RAB!$C$14:$C$217,C1123)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SUMIFS(RAB!$F$14:$F$217,RAB!$C$14:$C$217,C1124)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SUMIFS(RAB!$F$14:$F$217,RAB!$C$14:$C$217,C1125)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SUMIFS(RAB!$F$14:$F$217,RAB!$C$14:$C$217,C1126)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SUMIFS(RAB!$F$14:$F$217,RAB!$C$14:$C$217,C1127)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SUMIFS(RAB!$F$14:$F$217,RAB!$C$14:$C$217,C1128)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SUMIFS(RAB!$F$14:$F$217,RAB!$C$14:$C$217,C1129)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SUMIFS(RAB!$F$14:$F$217,RAB!$C$14:$C$217,C1130)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SUMIFS(RAB!$F$14:$F$217,RAB!$C$14:$C$217,C1131)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SUMIFS(RAB!$F$14:$F$217,RAB!$C$14:$C$217,C1132)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SUMIFS(RAB!$F$14:$F$217,RAB!$C$14:$C$217,C1133)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SUMIFS(RAB!$F$14:$F$217,RAB!$C$14:$C$217,C1134)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SUMIFS(RAB!$F$14:$F$217,RAB!$C$14:$C$217,C1135)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SUMIFS(RAB!$F$14:$F$217,RAB!$C$14:$C$217,C1136)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SUMIFS(RAB!$F$14:$F$217,RAB!$C$14:$C$217,C1137)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SUMIFS(RAB!$F$14:$F$217,RAB!$C$14:$C$217,C1138)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SUMIFS(RAB!$F$14:$F$217,RAB!$C$14:$C$217,C1139)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SUMIFS(RAB!$F$14:$F$217,RAB!$C$14:$C$217,C1140)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SUMIFS(RAB!$F$14:$F$217,RAB!$C$14:$C$217,C1141)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SUMIFS(RAB!$F$14:$F$217,RAB!$C$14:$C$217,C1142)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SUMIFS(RAB!$F$14:$F$217,RAB!$C$14:$C$217,C1143)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SUMIFS(RAB!$F$14:$F$217,RAB!$C$14:$C$217,C1144)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SUMIFS(RAB!$F$14:$F$217,RAB!$C$14:$C$217,C1145)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SUMIFS(RAB!$F$14:$F$217,RAB!$C$14:$C$217,C1146)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SUMIFS(RAB!$F$14:$F$217,RAB!$C$14:$C$217,C1147)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SUMIFS(RAB!$F$14:$F$217,RAB!$C$14:$C$217,C1148)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SUMIFS(RAB!$F$14:$F$217,RAB!$C$14:$C$217,C1149)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SUMIFS(RAB!$F$14:$F$217,RAB!$C$14:$C$217,C1150)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SUMIFS(RAB!$F$14:$F$217,RAB!$C$14:$C$217,C1151)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SUMIFS(RAB!$F$14:$F$217,RAB!$C$14:$C$217,C1152)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SUMIFS(RAB!$F$14:$F$217,RAB!$C$14:$C$217,C1153)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SUMIFS(RAB!$F$14:$F$217,RAB!$C$14:$C$217,C1154)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SUMIFS(RAB!$F$14:$F$217,RAB!$C$14:$C$217,C1155)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SUMIFS(RAB!$F$14:$F$217,RAB!$C$14:$C$217,C1156)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SUMIFS(RAB!$F$14:$F$217,RAB!$C$14:$C$217,C1157)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SUMIFS(RAB!$F$14:$F$217,RAB!$C$14:$C$217,C1158)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SUMIFS(RAB!$F$14:$F$217,RAB!$C$14:$C$217,C1159)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SUMIFS(RAB!$F$14:$F$217,RAB!$C$14:$C$217,C1160)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SUMIFS(RAB!$F$14:$F$217,RAB!$C$14:$C$217,C1161)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SUMIFS(RAB!$F$14:$F$217,RAB!$C$14:$C$217,C1162)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SUMIFS(RAB!$F$14:$F$217,RAB!$C$14:$C$217,C1163)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SUMIFS(RAB!$F$14:$F$217,RAB!$C$14:$C$217,C1164)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SUMIFS(RAB!$F$14:$F$217,RAB!$C$14:$C$217,C1165)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SUMIFS(RAB!$F$14:$F$217,RAB!$C$14:$C$217,C1166)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SUMIFS(RAB!$F$14:$F$217,RAB!$C$14:$C$217,C1167)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SUMIFS(RAB!$F$14:$F$217,RAB!$C$14:$C$217,C1168)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SUMIFS(RAB!$F$14:$F$217,RAB!$C$14:$C$217,C1169)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SUMIFS(RAB!$F$14:$F$217,RAB!$C$14:$C$217,C1170)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SUMIFS(RAB!$F$14:$F$217,RAB!$C$14:$C$217,C1171)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SUMIFS(RAB!$F$14:$F$217,RAB!$C$14:$C$217,C1172)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SUMIFS(RAB!$F$14:$F$217,RAB!$C$14:$C$217,C1173)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SUMIFS(RAB!$F$14:$F$217,RAB!$C$14:$C$217,C1174)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SUMIFS(RAB!$F$14:$F$217,RAB!$C$14:$C$217,C1175)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SUMIFS(RAB!$F$14:$F$217,RAB!$C$14:$C$217,C1176)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SUMIFS(RAB!$F$14:$F$217,RAB!$C$14:$C$217,C1177)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SUMIFS(RAB!$F$14:$F$217,RAB!$C$14:$C$217,C1178)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SUMIFS(RAB!$F$14:$F$217,RAB!$C$14:$C$217,C1179)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SUMIFS(RAB!$F$14:$F$217,RAB!$C$14:$C$217,C1180)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SUMIFS(RAB!$F$14:$F$217,RAB!$C$14:$C$217,C1181)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SUMIFS(RAB!$F$14:$F$217,RAB!$C$14:$C$217,C1182)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SUMIFS(RAB!$F$14:$F$217,RAB!$C$14:$C$217,C1183)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SUMIFS(RAB!$F$14:$F$217,RAB!$C$14:$C$217,C1184)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SUMIFS(RAB!$F$14:$F$217,RAB!$C$14:$C$217,C1185)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SUMIFS(RAB!$F$14:$F$217,RAB!$C$14:$C$217,C1186)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SUMIFS(RAB!$F$14:$F$217,RAB!$C$14:$C$217,C1187)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SUMIFS(RAB!$F$14:$F$217,RAB!$C$14:$C$217,C1188)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SUMIFS(RAB!$F$14:$F$217,RAB!$C$14:$C$217,C1189)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SUMIFS(RAB!$F$14:$F$217,RAB!$C$14:$C$217,C1190)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SUMIFS(RAB!$F$14:$F$217,RAB!$C$14:$C$217,C1191)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SUMIFS(RAB!$F$14:$F$217,RAB!$C$14:$C$217,C1192)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SUMIFS(RAB!$F$14:$F$217,RAB!$C$14:$C$217,C1193)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SUMIFS(RAB!$F$14:$F$217,RAB!$C$14:$C$217,C1194)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SUMIFS(RAB!$F$14:$F$217,RAB!$C$14:$C$217,C1195)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SUMIFS(RAB!$F$14:$F$217,RAB!$C$14:$C$217,C1196)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SUMIFS(RAB!$F$14:$F$217,RAB!$C$14:$C$217,C1197)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SUMIFS(RAB!$F$14:$F$217,RAB!$C$14:$C$217,C1198)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SUMIFS(RAB!$F$14:$F$217,RAB!$C$14:$C$217,C1199)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SUMIFS(RAB!$F$14:$F$217,RAB!$C$14:$C$217,C1200)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SUMIFS(RAB!$F$14:$F$217,RAB!$C$14:$C$217,C1201)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SUMIFS(RAB!$F$14:$F$217,RAB!$C$14:$C$217,C1202)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SUMIFS(RAB!$F$14:$F$217,RAB!$C$14:$C$217,C1203)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SUMIFS(RAB!$F$14:$F$217,RAB!$C$14:$C$217,C1204)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SUMIFS(RAB!$F$14:$F$217,RAB!$C$14:$C$217,C1205)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SUMIFS(RAB!$F$14:$F$217,RAB!$C$14:$C$217,C1206)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SUMIFS(RAB!$F$14:$F$217,RAB!$C$14:$C$217,C1207)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SUMIFS(RAB!$F$14:$F$217,RAB!$C$14:$C$217,C1208)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SUMIFS(RAB!$F$14:$F$217,RAB!$C$14:$C$217,C1209)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SUMIFS(RAB!$F$14:$F$217,RAB!$C$14:$C$217,C1210)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SUMIFS(RAB!$F$14:$F$217,RAB!$C$14:$C$217,C1211)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SUMIFS(RAB!$F$14:$F$217,RAB!$C$14:$C$217,C1212)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SUMIFS(RAB!$F$14:$F$217,RAB!$C$14:$C$217,C1213)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SUMIFS(RAB!$F$14:$F$217,RAB!$C$14:$C$217,C1214)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SUMIFS(RAB!$F$14:$F$217,RAB!$C$14:$C$217,C1215)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SUMIFS(RAB!$F$14:$F$217,RAB!$C$14:$C$217,C1216)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SUMIFS(RAB!$F$14:$F$217,RAB!$C$14:$C$217,C1217)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SUMIFS(RAB!$F$14:$F$217,RAB!$C$14:$C$217,C1218)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SUMIFS(RAB!$F$14:$F$217,RAB!$C$14:$C$217,C1219)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SUMIFS(RAB!$F$14:$F$217,RAB!$C$14:$C$217,C1220)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SUMIFS(RAB!$F$14:$F$217,RAB!$C$14:$C$217,C1221)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SUMIFS(RAB!$F$14:$F$217,RAB!$C$14:$C$217,C1222)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SUMIFS(RAB!$F$14:$F$217,RAB!$C$14:$C$217,C1223)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SUMIFS(RAB!$F$14:$F$217,RAB!$C$14:$C$217,C1224)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SUMIFS(RAB!$F$14:$F$217,RAB!$C$14:$C$217,C1225)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SUMIFS(RAB!$F$14:$F$217,RAB!$C$14:$C$217,C1226)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SUMIFS(RAB!$F$14:$F$217,RAB!$C$14:$C$217,C1227)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SUMIFS(RAB!$F$14:$F$217,RAB!$C$14:$C$217,C1228)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SUMIFS(RAB!$F$14:$F$217,RAB!$C$14:$C$217,C1229)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SUMIFS(RAB!$F$14:$F$217,RAB!$C$14:$C$217,C1230)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SUMIFS(RAB!$F$14:$F$217,RAB!$C$14:$C$217,C1231)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SUMIFS(RAB!$F$14:$F$217,RAB!$C$14:$C$217,C1232)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SUMIFS(RAB!$F$14:$F$217,RAB!$C$14:$C$217,C1233)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SUMIFS(RAB!$F$14:$F$217,RAB!$C$14:$C$217,C1234)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SUMIFS(RAB!$F$14:$F$217,RAB!$C$14:$C$217,C1235)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SUMIFS(RAB!$F$14:$F$217,RAB!$C$14:$C$217,C1236)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SUMIFS(RAB!$F$14:$F$217,RAB!$C$14:$C$217,C1237)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SUMIFS(RAB!$F$14:$F$217,RAB!$C$14:$C$217,C1238)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SUMIFS(RAB!$F$14:$F$217,RAB!$C$14:$C$217,C1239)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SUMIFS(RAB!$F$14:$F$217,RAB!$C$14:$C$217,C1240)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SUMIFS(RAB!$F$14:$F$217,RAB!$C$14:$C$217,C1241)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SUMIFS(RAB!$F$14:$F$217,RAB!$C$14:$C$217,C1242)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SUMIFS(RAB!$F$14:$F$217,RAB!$C$14:$C$217,C1243)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SUMIFS(RAB!$F$14:$F$217,RAB!$C$14:$C$217,C1244)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SUMIFS(RAB!$F$14:$F$217,RAB!$C$14:$C$217,C1245)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SUMIFS(RAB!$F$14:$F$217,RAB!$C$14:$C$217,C1246)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SUMIFS(RAB!$F$14:$F$217,RAB!$C$14:$C$217,C1247)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SUMIFS(RAB!$F$14:$F$217,RAB!$C$14:$C$217,C1248)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SUMIFS(RAB!$F$14:$F$217,RAB!$C$14:$C$217,C1249)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SUMIFS(RAB!$F$14:$F$217,RAB!$C$14:$C$217,C1250)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SUMIFS(RAB!$F$14:$F$217,RAB!$C$14:$C$217,C1251)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SUMIFS(RAB!$F$14:$F$217,RAB!$C$14:$C$217,C1252)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SUMIFS(RAB!$F$14:$F$217,RAB!$C$14:$C$217,C1253)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SUMIFS(RAB!$F$14:$F$217,RAB!$C$14:$C$217,C1254)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SUMIFS(RAB!$F$14:$F$217,RAB!$C$14:$C$217,C1255)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SUMIFS(RAB!$F$14:$F$217,RAB!$C$14:$C$217,C1256)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SUMIFS(RAB!$F$14:$F$217,RAB!$C$14:$C$217,C1257)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SUMIFS(RAB!$F$14:$F$217,RAB!$C$14:$C$217,C1258)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SUMIFS(RAB!$F$14:$F$217,RAB!$C$14:$C$217,C1259)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SUMIFS(RAB!$F$14:$F$217,RAB!$C$14:$C$217,C1260)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SUMIFS(RAB!$F$14:$F$217,RAB!$C$14:$C$217,C1261)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SUMIFS(RAB!$F$14:$F$217,RAB!$C$14:$C$217,C1262)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SUMIFS(RAB!$F$14:$F$217,RAB!$C$14:$C$217,C1263)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SUMIFS(RAB!$F$14:$F$217,RAB!$C$14:$C$217,C1264)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SUMIFS(RAB!$F$14:$F$217,RAB!$C$14:$C$217,C1265)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SUMIFS(RAB!$F$14:$F$217,RAB!$C$14:$C$217,C1266)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SUMIFS(RAB!$F$14:$F$217,RAB!$C$14:$C$217,C1267)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SUMIFS(RAB!$F$14:$F$217,RAB!$C$14:$C$217,C1268)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SUMIFS(RAB!$F$14:$F$217,RAB!$C$14:$C$217,C1269)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SUMIFS(RAB!$F$14:$F$217,RAB!$C$14:$C$217,C1270)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SUMIFS(RAB!$F$14:$F$217,RAB!$C$14:$C$217,C1271)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SUMIFS(RAB!$F$14:$F$217,RAB!$C$14:$C$217,C1272)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SUMIFS(RAB!$F$14:$F$217,RAB!$C$14:$C$217,C1273)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SUMIFS(RAB!$F$14:$F$217,RAB!$C$14:$C$217,C1274)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SUMIFS(RAB!$F$14:$F$217,RAB!$C$14:$C$217,C1275)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SUMIFS(RAB!$F$14:$F$217,RAB!$C$14:$C$217,C1276)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SUMIFS(RAB!$F$14:$F$217,RAB!$C$14:$C$217,C1277)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SUMIFS(RAB!$F$14:$F$217,RAB!$C$14:$C$217,C1278)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SUMIFS(RAB!$F$14:$F$217,RAB!$C$14:$C$217,C1279)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SUMIFS(RAB!$F$14:$F$217,RAB!$C$14:$C$217,C1280)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SUMIFS(RAB!$F$14:$F$217,RAB!$C$14:$C$217,C1281)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SUMIFS(RAB!$F$14:$F$217,RAB!$C$14:$C$217,C1282)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SUMIFS(RAB!$F$14:$F$217,RAB!$C$14:$C$217,C1283)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SUMIFS(RAB!$F$14:$F$217,RAB!$C$14:$C$217,C1284)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SUMIFS(RAB!$F$14:$F$217,RAB!$C$14:$C$217,C1285)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SUMIFS(RAB!$F$14:$F$217,RAB!$C$14:$C$217,C1286)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SUMIFS(RAB!$F$14:$F$217,RAB!$C$14:$C$217,C1287)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SUMIFS(RAB!$F$14:$F$217,RAB!$C$14:$C$217,C1288)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SUMIFS(RAB!$F$14:$F$217,RAB!$C$14:$C$217,C1289)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SUMIFS(RAB!$F$14:$F$217,RAB!$C$14:$C$217,C1290)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SUMIFS(RAB!$F$14:$F$217,RAB!$C$14:$C$217,C1291)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SUMIFS(RAB!$F$14:$F$217,RAB!$C$14:$C$217,C1292)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SUMIFS(RAB!$F$14:$F$217,RAB!$C$14:$C$217,C1293)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SUMIFS(RAB!$F$14:$F$217,RAB!$C$14:$C$217,C1294)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SUMIFS(RAB!$F$14:$F$217,RAB!$C$14:$C$217,C1295)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SUMIFS(RAB!$F$14:$F$217,RAB!$C$14:$C$217,C1296)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SUMIFS(RAB!$F$14:$F$217,RAB!$C$14:$C$217,C1297)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SUMIFS(RAB!$F$14:$F$217,RAB!$C$14:$C$217,C1298)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SUMIFS(RAB!$F$14:$F$217,RAB!$C$14:$C$217,C1299)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SUMIFS(RAB!$F$14:$F$217,RAB!$C$14:$C$217,C1300)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SUMIFS(RAB!$F$14:$F$217,RAB!$C$14:$C$217,C1301)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SUMIFS(RAB!$F$14:$F$217,RAB!$C$14:$C$217,C1302)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SUMIFS(RAB!$F$14:$F$217,RAB!$C$14:$C$217,C1303)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SUMIFS(RAB!$F$14:$F$217,RAB!$C$14:$C$217,C1304)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SUMIFS(RAB!$F$14:$F$217,RAB!$C$14:$C$217,C1305)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SUMIFS(RAB!$F$14:$F$217,RAB!$C$14:$C$217,C1306)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SUMIFS(RAB!$F$14:$F$217,RAB!$C$14:$C$217,C1307)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SUMIFS(RAB!$F$14:$F$217,RAB!$C$14:$C$217,C1308)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SUMIFS(RAB!$F$14:$F$217,RAB!$C$14:$C$217,C1309)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SUMIFS(RAB!$F$14:$F$217,RAB!$C$14:$C$217,C1310)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SUMIFS(RAB!$F$14:$F$217,RAB!$C$14:$C$217,C1311)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SUMIFS(RAB!$F$14:$F$217,RAB!$C$14:$C$217,C1312)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SUMIFS(RAB!$F$14:$F$217,RAB!$C$14:$C$217,C1313)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SUMIFS(RAB!$F$14:$F$217,RAB!$C$14:$C$217,C1314)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SUMIFS(RAB!$F$14:$F$217,RAB!$C$14:$C$217,C1315)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SUMIFS(RAB!$F$14:$F$217,RAB!$C$14:$C$217,C1316)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SUMIFS(RAB!$F$14:$F$217,RAB!$C$14:$C$217,C1317)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SUMIFS(RAB!$F$14:$F$217,RAB!$C$14:$C$217,C1318)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SUMIFS(RAB!$F$14:$F$217,RAB!$C$14:$C$217,C1319)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SUMIFS(RAB!$F$14:$F$217,RAB!$C$14:$C$217,C1320)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82" priority="5" operator="equal">
      <formula>0</formula>
    </cfRule>
  </conditionalFormatting>
  <conditionalFormatting sqref="A10:L65536">
    <cfRule type="cellIs" dxfId="81" priority="1" operator="equal">
      <formula>0</formula>
    </cfRule>
  </conditionalFormatting>
  <conditionalFormatting sqref="C12:C711">
    <cfRule type="cellIs" dxfId="80" priority="66" stopIfTrue="1" operator="equal">
      <formula>0</formula>
    </cfRule>
  </conditionalFormatting>
  <conditionalFormatting sqref="E712:E65536">
    <cfRule type="cellIs" dxfId="79" priority="16" stopIfTrue="1" operator="equal">
      <formula>0</formula>
    </cfRule>
  </conditionalFormatting>
  <conditionalFormatting sqref="G1:G11 E6:E11 E1:E3 H7 H10:H11 F10:F711 G712:G65536">
    <cfRule type="cellIs" dxfId="78" priority="69" stopIfTrue="1" operator="equal">
      <formula>0</formula>
    </cfRule>
  </conditionalFormatting>
  <conditionalFormatting sqref="G12:H711">
    <cfRule type="cellIs" dxfId="77" priority="12" stopIfTrue="1" operator="equal">
      <formula>0</formula>
    </cfRule>
  </conditionalFormatting>
  <conditionalFormatting sqref="I7:K7">
    <cfRule type="cellIs" dxfId="76" priority="4" stopIfTrue="1" operator="equal">
      <formula>0</formula>
    </cfRule>
  </conditionalFormatting>
  <conditionalFormatting sqref="I10:L711">
    <cfRule type="cellIs" dxfId="75" priority="2" stopIfTrue="1" operator="equal">
      <formula>0</formula>
    </cfRule>
  </conditionalFormatting>
  <conditionalFormatting sqref="L1:L6">
    <cfRule type="cellIs" dxfId="74" priority="10" operator="equal">
      <formula>0</formula>
    </cfRule>
  </conditionalFormatting>
  <conditionalFormatting sqref="M1:IV1048576 A8:G9">
    <cfRule type="cellIs" dxfId="7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3" t="s">
        <v>1127</v>
      </c>
      <c r="C4" s="563"/>
      <c r="D4" s="563"/>
      <c r="E4" s="563"/>
      <c r="F4" s="563"/>
      <c r="G4" s="563"/>
      <c r="H4" s="563"/>
      <c r="I4" s="563"/>
      <c r="J4" s="563"/>
      <c r="K4" s="56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AGR IMAM SISWANTO DS. GEMPOL DENOK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GEMPOLDENOK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64" t="s">
        <v>0</v>
      </c>
      <c r="C11" s="566" t="s">
        <v>1</v>
      </c>
      <c r="D11" s="569" t="s">
        <v>42</v>
      </c>
      <c r="E11" s="569" t="s">
        <v>43</v>
      </c>
      <c r="F11" s="569" t="s">
        <v>2</v>
      </c>
      <c r="G11" s="570" t="s">
        <v>41</v>
      </c>
      <c r="H11" s="569" t="s">
        <v>3</v>
      </c>
      <c r="I11" s="569"/>
      <c r="J11" s="569"/>
      <c r="K11" s="573"/>
      <c r="M11" s="33"/>
      <c r="N11" s="33"/>
      <c r="O11" s="33"/>
      <c r="P11" s="33"/>
      <c r="R11" s="34"/>
      <c r="S11" s="74"/>
      <c r="T11" s="74"/>
    </row>
    <row r="12" spans="1:21" ht="15" customHeight="1">
      <c r="B12" s="565"/>
      <c r="C12" s="567"/>
      <c r="D12" s="559"/>
      <c r="E12" s="559"/>
      <c r="F12" s="559"/>
      <c r="G12" s="571"/>
      <c r="H12" s="561" t="s">
        <v>46</v>
      </c>
      <c r="I12" s="561" t="s">
        <v>5</v>
      </c>
      <c r="J12" s="559" t="s">
        <v>47</v>
      </c>
      <c r="K12" s="56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5"/>
      <c r="C13" s="568"/>
      <c r="D13" s="559"/>
      <c r="E13" s="559"/>
      <c r="F13" s="559"/>
      <c r="G13" s="572"/>
      <c r="H13" s="562"/>
      <c r="I13" s="562"/>
      <c r="J13" s="559"/>
      <c r="K13" s="56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19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110200000</v>
      </c>
      <c r="J16" s="42">
        <f t="shared" ca="1" si="3"/>
        <v>0</v>
      </c>
      <c r="K16" s="43">
        <f t="shared" ca="1" si="0"/>
        <v>110200000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2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12148800</v>
      </c>
      <c r="J17" s="42">
        <f t="shared" ca="1" si="3"/>
        <v>0</v>
      </c>
      <c r="K17" s="43">
        <f t="shared" ca="1" si="0"/>
        <v>12148800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7" t="s">
        <v>1008</v>
      </c>
      <c r="D38" s="557"/>
      <c r="E38" s="557"/>
      <c r="F38" s="557"/>
      <c r="G38" s="77" t="s">
        <v>9</v>
      </c>
      <c r="H38" s="55">
        <f ca="1">SUM(H14:H37)</f>
        <v>0</v>
      </c>
      <c r="I38" s="55">
        <f ca="1">SUM(I14:I37)</f>
        <v>122348800</v>
      </c>
      <c r="J38" s="55">
        <f ca="1">SUM(J14:J37)</f>
        <v>0</v>
      </c>
      <c r="K38" s="55">
        <f ca="1">SUM(K14:K37)</f>
        <v>122348800</v>
      </c>
      <c r="L38" s="44"/>
      <c r="R38" s="99"/>
      <c r="S38" s="99"/>
      <c r="T38" s="99"/>
    </row>
    <row r="39" spans="1:20" s="36" customFormat="1">
      <c r="A39" s="30"/>
      <c r="B39" s="56"/>
      <c r="C39" s="558" t="s">
        <v>462</v>
      </c>
      <c r="D39" s="558"/>
      <c r="E39" s="558"/>
      <c r="F39" s="558"/>
      <c r="G39" s="59" t="s">
        <v>9</v>
      </c>
      <c r="H39" s="60">
        <f ca="1">H38*0.1</f>
        <v>0</v>
      </c>
      <c r="I39" s="60">
        <f ca="1">I38*0.1</f>
        <v>12234880</v>
      </c>
      <c r="J39" s="60">
        <f ca="1">J38*0.1</f>
        <v>0</v>
      </c>
      <c r="K39" s="60">
        <f ca="1">K38*0.1</f>
        <v>12234880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7" t="s">
        <v>463</v>
      </c>
      <c r="D40" s="547"/>
      <c r="E40" s="547"/>
      <c r="F40" s="547"/>
      <c r="G40" s="61" t="s">
        <v>9</v>
      </c>
      <c r="H40" s="78">
        <f ca="1">SUM(H38:H39)</f>
        <v>0</v>
      </c>
      <c r="I40" s="78">
        <f ca="1">SUM(I38:I39)</f>
        <v>134583680</v>
      </c>
      <c r="J40" s="61">
        <f ca="1">SUM(J38:J39)</f>
        <v>0</v>
      </c>
      <c r="K40" s="61">
        <f ca="1">SUM(K38:K39)</f>
        <v>134583680</v>
      </c>
      <c r="L40" s="44"/>
      <c r="R40" s="99"/>
      <c r="S40" s="99"/>
      <c r="T40" s="99"/>
    </row>
    <row r="41" spans="1:20" s="36" customFormat="1">
      <c r="A41" s="30"/>
      <c r="B41" s="550" t="e">
        <f ca="1">"Terbilang : ( "&amp;L42&amp;" Rupiah )"</f>
        <v>#NAME?</v>
      </c>
      <c r="C41" s="551"/>
      <c r="D41" s="551"/>
      <c r="E41" s="551"/>
      <c r="F41" s="551"/>
      <c r="G41" s="551"/>
      <c r="H41" s="551"/>
      <c r="I41" s="551"/>
      <c r="J41" s="551"/>
      <c r="K41" s="552"/>
      <c r="L41" s="44"/>
      <c r="R41" s="58"/>
      <c r="S41" s="58"/>
      <c r="T41" s="58"/>
    </row>
    <row r="42" spans="1:20" s="36" customFormat="1">
      <c r="A42" s="30"/>
      <c r="B42" s="553"/>
      <c r="C42" s="554"/>
      <c r="D42" s="554"/>
      <c r="E42" s="554"/>
      <c r="F42" s="554"/>
      <c r="G42" s="554"/>
      <c r="H42" s="554"/>
      <c r="I42" s="554"/>
      <c r="J42" s="554"/>
      <c r="K42" s="55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8"/>
      <c r="I45" s="548"/>
      <c r="J45" s="549"/>
      <c r="K45" s="54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8"/>
      <c r="I46" s="548"/>
      <c r="J46" s="549"/>
      <c r="K46" s="54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8"/>
      <c r="I47" s="548"/>
      <c r="J47" s="549"/>
      <c r="K47" s="54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8"/>
      <c r="I52" s="548"/>
      <c r="J52" s="549"/>
      <c r="K52" s="54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SUMIFS(RAB!$F$14:$F$217,RAB!$C$14:$C$217,'REKAP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SUMIFS(RAB!$F$14:$F$217,RAB!$C$14:$C$217,'REKAP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SUMIFS(RAB!$F$14:$F$217,RAB!$C$14:$C$217,'REKAP TIANG'!C59)</f>
        <v>19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SUMIFS(RAB!$F$14:$F$217,RAB!$C$14:$C$217,'REKAP TIANG'!C60)</f>
        <v>2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SUMIFS(RAB!$F$14:$F$217,RAB!$C$14:$C$217,'REKAP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SUMIFS(RAB!$F$14:$F$217,RAB!$C$14:$C$217,'REKAP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SUMIFS(RAB!$F$14:$F$217,RAB!$C$14:$C$217,'REKAP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SUMIFS(RAB!$F$14:$F$217,RAB!$C$14:$C$217,'REKAP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SUMIFS(RAB!$F$14:$F$217,RAB!$C$14:$C$217,'REKAP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SUMIFS(RAB!$F$14:$F$217,RAB!$C$14:$C$217,'REKAP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SUMIFS(RAB!$F$14:$F$217,RAB!$C$14:$C$217,'REKAP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SUMIFS(RAB!$F$14:$F$217,RAB!$C$14:$C$217,'REKAP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SUMIFS(RAB!$F$14:$F$217,RAB!$C$14:$C$217,'REKAP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SUMIFS(RAB!$F$14:$F$217,RAB!$C$14:$C$217,'REKAP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SUMIFS(RAB!$F$14:$F$217,RAB!$C$14:$C$217,'REKAP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SUMIFS(RAB!$F$14:$F$217,RAB!$C$14:$C$217,'REKAP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SUMIFS(RAB!$F$14:$F$217,RAB!$C$14:$C$217,'REKAP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SUMIFS(RAB!$F$14:$F$217,RAB!$C$14:$C$217,'REKAP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SUMIFS(RAB!$F$14:$F$217,RAB!$C$14:$C$217,'REKAP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SUMIFS(RAB!$F$14:$F$217,RAB!$C$14:$C$217,'REKAP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7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7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3" t="s">
        <v>1034</v>
      </c>
      <c r="C4" s="563"/>
      <c r="D4" s="563"/>
      <c r="E4" s="563"/>
      <c r="F4" s="563"/>
      <c r="G4" s="563"/>
      <c r="H4" s="563"/>
      <c r="I4" s="563"/>
      <c r="J4" s="563"/>
      <c r="K4" s="56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AGR IMAM SISWANTO DS. GEMPOL DENOK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GEMPOLDENOK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64" t="s">
        <v>0</v>
      </c>
      <c r="C11" s="566" t="s">
        <v>1</v>
      </c>
      <c r="D11" s="569" t="s">
        <v>42</v>
      </c>
      <c r="E11" s="569" t="s">
        <v>43</v>
      </c>
      <c r="F11" s="569" t="s">
        <v>2</v>
      </c>
      <c r="G11" s="570" t="s">
        <v>41</v>
      </c>
      <c r="H11" s="569" t="s">
        <v>3</v>
      </c>
      <c r="I11" s="569"/>
      <c r="J11" s="569"/>
      <c r="K11" s="573"/>
      <c r="M11" s="33"/>
      <c r="N11" s="33"/>
      <c r="O11" s="33"/>
      <c r="P11" s="33"/>
      <c r="R11" s="34"/>
      <c r="S11" s="74"/>
      <c r="T11" s="74"/>
    </row>
    <row r="12" spans="1:21" ht="15" customHeight="1">
      <c r="B12" s="565"/>
      <c r="C12" s="567"/>
      <c r="D12" s="559"/>
      <c r="E12" s="559"/>
      <c r="F12" s="559"/>
      <c r="G12" s="571"/>
      <c r="H12" s="561" t="s">
        <v>46</v>
      </c>
      <c r="I12" s="561" t="s">
        <v>5</v>
      </c>
      <c r="J12" s="559" t="s">
        <v>47</v>
      </c>
      <c r="K12" s="56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5"/>
      <c r="C13" s="568"/>
      <c r="D13" s="559"/>
      <c r="E13" s="559"/>
      <c r="F13" s="559"/>
      <c r="G13" s="572"/>
      <c r="H13" s="562"/>
      <c r="I13" s="562"/>
      <c r="J13" s="559"/>
      <c r="K13" s="56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131 kVA MCCB 200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63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11144700</v>
      </c>
      <c r="I21" s="42">
        <f t="shared" ca="1" si="2"/>
        <v>0</v>
      </c>
      <c r="J21" s="42">
        <f t="shared" ca="1" si="3"/>
        <v>0</v>
      </c>
      <c r="K21" s="43">
        <f t="shared" ca="1" si="0"/>
        <v>11144700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Suspension Polymer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30</v>
      </c>
      <c r="G22" s="41">
        <f ca="1">IF(ISERROR(OFFSET('HARGA SATUAN'!$I$6,MATCH(C22,'HARGA SATUAN'!$C$7:$C$1492,0),0)),"",OFFSET('HARGA SATUAN'!$I$6,MATCH(C22,'HARGA SATUAN'!$C$7:$C$1492,0),0))</f>
        <v>205700</v>
      </c>
      <c r="H22" s="42">
        <f t="shared" ca="1" si="1"/>
        <v>6171000</v>
      </c>
      <c r="I22" s="42">
        <f t="shared" ca="1" si="2"/>
        <v>0</v>
      </c>
      <c r="J22" s="42">
        <f t="shared" ca="1" si="3"/>
        <v>0</v>
      </c>
      <c r="K22" s="43">
        <f t="shared" ca="1" si="0"/>
        <v>6171000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127800</v>
      </c>
      <c r="I23" s="42">
        <f t="shared" ca="1" si="2"/>
        <v>0</v>
      </c>
      <c r="J23" s="42">
        <f t="shared" ca="1" si="3"/>
        <v>0</v>
      </c>
      <c r="K23" s="43">
        <f t="shared" ca="1" si="0"/>
        <v>127800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150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3560</v>
      </c>
      <c r="G24" s="41">
        <f ca="1">IF(ISERROR(OFFSET('HARGA SATUAN'!$I$6,MATCH(C24,'HARGA SATUAN'!$C$7:$C$1492,0),0)),"",OFFSET('HARGA SATUAN'!$I$6,MATCH(C24,'HARGA SATUAN'!$C$7:$C$1492,0),0))</f>
        <v>25300</v>
      </c>
      <c r="H24" s="42">
        <f t="shared" ca="1" si="1"/>
        <v>90068000</v>
      </c>
      <c r="I24" s="42">
        <f t="shared" ca="1" si="2"/>
        <v>0</v>
      </c>
      <c r="J24" s="42">
        <f t="shared" ca="1" si="3"/>
        <v>0</v>
      </c>
      <c r="K24" s="43">
        <f t="shared" ca="1" si="0"/>
        <v>90068000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4 x 70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35</v>
      </c>
      <c r="G25" s="41">
        <f ca="1">IF(ISERROR(OFFSET('HARGA SATUAN'!$I$6,MATCH(C25,'HARGA SATUAN'!$C$7:$C$1492,0),0)),"",OFFSET('HARGA SATUAN'!$I$6,MATCH(C25,'HARGA SATUAN'!$C$7:$C$1492,0),0))</f>
        <v>421400</v>
      </c>
      <c r="H25" s="42">
        <f t="shared" ca="1" si="1"/>
        <v>14749000</v>
      </c>
      <c r="I25" s="42">
        <f t="shared" ca="1" si="2"/>
        <v>0</v>
      </c>
      <c r="J25" s="42">
        <f t="shared" ca="1" si="3"/>
        <v>0</v>
      </c>
      <c r="K25" s="43">
        <f t="shared" ca="1" si="0"/>
        <v>14749000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7" t="s">
        <v>1008</v>
      </c>
      <c r="D168" s="557"/>
      <c r="E168" s="557"/>
      <c r="F168" s="557"/>
      <c r="G168" s="77" t="s">
        <v>9</v>
      </c>
      <c r="H168" s="55">
        <f ca="1">SUM(H14:H167)</f>
        <v>221137450</v>
      </c>
      <c r="I168" s="55">
        <f ca="1">SUM(I14:I167)</f>
        <v>0</v>
      </c>
      <c r="J168" s="55">
        <f ca="1">SUM(J14:J167)</f>
        <v>0</v>
      </c>
      <c r="K168" s="55">
        <f ca="1">SUM(K14:K167)</f>
        <v>221137450</v>
      </c>
      <c r="L168" s="44"/>
      <c r="R168" s="99"/>
      <c r="S168" s="99"/>
      <c r="T168" s="99"/>
    </row>
    <row r="169" spans="1:20" s="36" customFormat="1">
      <c r="A169" s="30"/>
      <c r="B169" s="56"/>
      <c r="C169" s="558" t="s">
        <v>462</v>
      </c>
      <c r="D169" s="558"/>
      <c r="E169" s="558"/>
      <c r="F169" s="558"/>
      <c r="G169" s="59" t="s">
        <v>9</v>
      </c>
      <c r="H169" s="60">
        <f ca="1">H168*0.1</f>
        <v>22113745</v>
      </c>
      <c r="I169" s="60">
        <f ca="1">I168*0.1</f>
        <v>0</v>
      </c>
      <c r="J169" s="60">
        <f ca="1">J168*0.1</f>
        <v>0</v>
      </c>
      <c r="K169" s="60">
        <f ca="1">K168*0.1</f>
        <v>22113745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7" t="s">
        <v>463</v>
      </c>
      <c r="D170" s="547"/>
      <c r="E170" s="547"/>
      <c r="F170" s="547"/>
      <c r="G170" s="61" t="s">
        <v>9</v>
      </c>
      <c r="H170" s="78">
        <f ca="1">SUM(H168:H169)</f>
        <v>243251195</v>
      </c>
      <c r="I170" s="78">
        <f ca="1">SUM(I168:I169)</f>
        <v>0</v>
      </c>
      <c r="J170" s="61">
        <f ca="1">SUM(J168:J169)</f>
        <v>0</v>
      </c>
      <c r="K170" s="61">
        <f ca="1">SUM(K168:K169)</f>
        <v>243251195</v>
      </c>
      <c r="L170" s="44"/>
      <c r="R170" s="99"/>
      <c r="S170" s="99"/>
      <c r="T170" s="99"/>
    </row>
    <row r="171" spans="1:20" s="36" customFormat="1">
      <c r="A171" s="30"/>
      <c r="B171" s="550" t="e">
        <f ca="1">"Terbilang : ( "&amp;L172&amp;" Rupiah )"</f>
        <v>#NAME?</v>
      </c>
      <c r="C171" s="551"/>
      <c r="D171" s="551"/>
      <c r="E171" s="551"/>
      <c r="F171" s="551"/>
      <c r="G171" s="551"/>
      <c r="H171" s="551"/>
      <c r="I171" s="551"/>
      <c r="J171" s="551"/>
      <c r="K171" s="552"/>
      <c r="L171" s="44"/>
      <c r="R171" s="58"/>
      <c r="S171" s="58"/>
      <c r="T171" s="58"/>
    </row>
    <row r="172" spans="1:20" s="36" customFormat="1">
      <c r="A172" s="30"/>
      <c r="B172" s="553"/>
      <c r="C172" s="554"/>
      <c r="D172" s="554"/>
      <c r="E172" s="554"/>
      <c r="F172" s="554"/>
      <c r="G172" s="554"/>
      <c r="H172" s="554"/>
      <c r="I172" s="554"/>
      <c r="J172" s="554"/>
      <c r="K172" s="55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8"/>
      <c r="I175" s="548"/>
      <c r="J175" s="549"/>
      <c r="K175" s="54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8"/>
      <c r="I176" s="548"/>
      <c r="J176" s="549"/>
      <c r="K176" s="54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8"/>
      <c r="I177" s="548"/>
      <c r="J177" s="549"/>
      <c r="K177" s="54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8"/>
      <c r="I182" s="548"/>
      <c r="J182" s="549"/>
      <c r="K182" s="54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SUMIFS(RAB!$F$14:$F$217,RAB!$C$14:$C$217,C224)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SUMIFS(RAB!$F$14:$F$217,RAB!$C$14:$C$217,C225)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SUMIFS(RAB!$F$14:$F$217,RAB!$C$14:$C$217,C226)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SUMIFS(RAB!$F$14:$F$217,RAB!$C$14:$C$217,C227)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SUMIFS(RAB!$F$14:$F$217,RAB!$C$14:$C$217,C228)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SUMIFS(RAB!$F$14:$F$217,RAB!$C$14:$C$217,C229)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SUMIFS(RAB!$F$14:$F$217,RAB!$C$14:$C$217,C230)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SUMIFS(RAB!$F$14:$F$217,RAB!$C$14:$C$217,C231)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SUMIFS(RAB!$F$14:$F$217,RAB!$C$14:$C$217,C232)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SUMIFS(RAB!$F$14:$F$217,RAB!$C$14:$C$217,C233)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SUMIFS(RAB!$F$14:$F$217,RAB!$C$14:$C$217,C234)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SUMIFS(RAB!$F$14:$F$217,RAB!$C$14:$C$217,C235)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SUMIFS(RAB!$F$14:$F$217,RAB!$C$14:$C$217,C236)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SUMIFS(RAB!$F$14:$F$217,RAB!$C$14:$C$217,C237)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SUMIFS(RAB!$F$14:$F$217,RAB!$C$14:$C$217,C238)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SUMIFS(RAB!$F$14:$F$217,RAB!$C$14:$C$217,C239)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SUMIFS(RAB!$F$14:$F$217,RAB!$C$14:$C$217,C240)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SUMIFS(RAB!$F$14:$F$217,RAB!$C$14:$C$217,C241)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SUMIFS(RAB!$F$14:$F$217,RAB!$C$14:$C$217,C242)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SUMIFS(RAB!$F$14:$F$217,RAB!$C$14:$C$217,C243)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SUMIFS(RAB!$F$14:$F$217,RAB!$C$14:$C$217,C244)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SUMIFS(RAB!$F$14:$F$217,RAB!$C$14:$C$217,C245)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SUMIFS(RAB!$F$14:$F$217,RAB!$C$14:$C$217,C246)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SUMIFS(RAB!$F$14:$F$217,RAB!$C$14:$C$217,C247)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SUMIFS(RAB!$F$14:$F$217,RAB!$C$14:$C$217,C248)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SUMIFS(RAB!$F$14:$F$217,RAB!$C$14:$C$217,C249)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SUMIFS(RAB!$F$14:$F$217,RAB!$C$14:$C$217,C250)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SUMIFS(RAB!$F$14:$F$217,RAB!$C$14:$C$217,C251)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SUMIFS(RAB!$F$14:$F$217,RAB!$C$14:$C$217,C252)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SUMIFS(RAB!$F$14:$F$217,RAB!$C$14:$C$217,C253)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SUMIFS(RAB!$F$14:$F$217,RAB!$C$14:$C$217,C254)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SUMIFS(RAB!$F$14:$F$217,RAB!$C$14:$C$217,C255)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SUMIFS(RAB!$F$14:$F$217,RAB!$C$14:$C$217,C256)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SUMIFS(RAB!$F$14:$F$217,RAB!$C$14:$C$217,C257)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SUMIFS(RAB!$F$14:$F$217,RAB!$C$14:$C$217,C258)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SUMIFS(RAB!$F$14:$F$217,RAB!$C$14:$C$217,C259)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SUMIFS(RAB!$F$14:$F$217,RAB!$C$14:$C$217,C260)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SUMIFS(RAB!$F$14:$F$217,RAB!$C$14:$C$217,C261)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SUMIFS(RAB!$F$14:$F$217,RAB!$C$14:$C$217,C262)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SUMIFS(RAB!$F$14:$F$217,RAB!$C$14:$C$217,C263)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SUMIFS(RAB!$F$14:$F$217,RAB!$C$14:$C$217,C264)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SUMIFS(RAB!$F$14:$F$217,RAB!$C$14:$C$217,C265)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SUMIFS(RAB!$F$14:$F$217,RAB!$C$14:$C$217,C266)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SUMIFS(RAB!$F$14:$F$217,RAB!$C$14:$C$217,C267)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SUMIFS(RAB!$F$14:$F$217,RAB!$C$14:$C$217,C268)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SUMIFS(RAB!$F$14:$F$217,RAB!$C$14:$C$217,C269)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SUMIFS(RAB!$F$14:$F$217,RAB!$C$14:$C$217,C270)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SUMIFS(RAB!$F$14:$F$217,RAB!$C$14:$C$217,C271)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SUMIFS(RAB!$F$14:$F$217,RAB!$C$14:$C$217,C272)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SUMIFS(RAB!$F$14:$F$217,RAB!$C$14:$C$217,C273)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SUMIFS(RAB!$F$14:$F$217,RAB!$C$14:$C$217,C274)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SUMIFS(RAB!$F$14:$F$217,RAB!$C$14:$C$217,C275)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SUMIFS(RAB!$F$14:$F$217,RAB!$C$14:$C$217,C276)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SUMIFS(RAB!$F$14:$F$217,RAB!$C$14:$C$217,C277)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SUMIFS(RAB!$F$14:$F$217,RAB!$C$14:$C$217,C278)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SUMIFS(RAB!$F$14:$F$217,RAB!$C$14:$C$217,C279)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SUMIFS(RAB!$F$14:$F$217,RAB!$C$14:$C$217,C280)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SUMIFS(RAB!$F$14:$F$217,RAB!$C$14:$C$217,C281)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SUMIFS(RAB!$F$14:$F$217,RAB!$C$14:$C$217,C282)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SUMIFS(RAB!$F$14:$F$217,RAB!$C$14:$C$217,C283)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SUMIFS(RAB!$F$14:$F$217,RAB!$C$14:$C$217,C284)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SUMIFS(RAB!$F$14:$F$217,RAB!$C$14:$C$217,C285)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SUMIFS(RAB!$F$14:$F$217,RAB!$C$14:$C$217,C286)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SUMIFS(RAB!$F$14:$F$217,RAB!$C$14:$C$217,C287)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SUMIFS(RAB!$F$14:$F$217,RAB!$C$14:$C$217,C288)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SUMIFS(RAB!$F$14:$F$217,RAB!$C$14:$C$217,C289)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SUMIFS(RAB!$F$14:$F$217,RAB!$C$14:$C$217,C290)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SUMIFS(RAB!$F$14:$F$217,RAB!$C$14:$C$217,C291)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SUMIFS(RAB!$F$14:$F$217,RAB!$C$14:$C$217,C292)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SUMIFS(RAB!$F$14:$F$217,RAB!$C$14:$C$217,C293)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SUMIFS(RAB!$F$14:$F$217,RAB!$C$14:$C$217,C294)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SUMIFS(RAB!$F$14:$F$217,RAB!$C$14:$C$217,C295)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SUMIFS(RAB!$F$14:$F$217,RAB!$C$14:$C$217,C296)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SUMIFS(RAB!$F$14:$F$217,RAB!$C$14:$C$217,C297)</f>
        <v>1</v>
      </c>
      <c r="E297" s="24">
        <f t="shared" ca="1" si="22"/>
        <v>1</v>
      </c>
      <c r="F297" s="24">
        <f ca="1">IF(D297=0,0,SUM($E$223:E297))</f>
        <v>2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SUMIFS(RAB!$F$14:$F$217,RAB!$C$14:$C$217,C298)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SUMIFS(RAB!$F$14:$F$217,RAB!$C$14:$C$217,C299)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SUMIFS(RAB!$F$14:$F$217,RAB!$C$14:$C$217,C300)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SUMIFS(RAB!$F$14:$F$217,RAB!$C$14:$C$217,C301)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SUMIFS(RAB!$F$14:$F$217,RAB!$C$14:$C$217,C302)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SUMIFS(RAB!$F$14:$F$217,RAB!$C$14:$C$217,C303)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SUMIFS(RAB!$F$14:$F$217,RAB!$C$14:$C$217,C304)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SUMIFS(RAB!$F$14:$F$217,RAB!$C$14:$C$217,C305)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SUMIFS(RAB!$F$14:$F$217,RAB!$C$14:$C$217,C306)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SUMIFS(RAB!$F$14:$F$217,RAB!$C$14:$C$217,C307)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SUMIFS(RAB!$F$14:$F$217,RAB!$C$14:$C$217,C308)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SUMIFS(RAB!$F$14:$F$217,RAB!$C$14:$C$217,C309)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SUMIFS(RAB!$F$14:$F$217,RAB!$C$14:$C$217,C310)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SUMIFS(RAB!$F$14:$F$217,RAB!$C$14:$C$217,C311)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SUMIFS(RAB!$F$14:$F$217,RAB!$C$14:$C$217,C312)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SUMIFS(RAB!$F$14:$F$217,RAB!$C$14:$C$217,C313)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SUMIFS(RAB!$F$14:$F$217,RAB!$C$14:$C$217,C314)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SUMIFS(RAB!$F$14:$F$217,RAB!$C$14:$C$217,C315)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SUMIFS(RAB!$F$14:$F$217,RAB!$C$14:$C$217,C316)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SUMIFS(RAB!$F$14:$F$217,RAB!$C$14:$C$217,C317)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SUMIFS(RAB!$F$14:$F$217,RAB!$C$14:$C$217,C318)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SUMIFS(RAB!$F$14:$F$217,RAB!$C$14:$C$217,C319)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SUMIFS(RAB!$F$14:$F$217,RAB!$C$14:$C$217,C320)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SUMIFS(RAB!$F$14:$F$217,RAB!$C$14:$C$217,C321)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SUMIFS(RAB!$F$14:$F$217,RAB!$C$14:$C$217,C322)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SUMIFS(RAB!$F$14:$F$217,RAB!$C$14:$C$217,C323)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SUMIFS(RAB!$F$14:$F$217,RAB!$C$14:$C$217,C324)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SUMIFS(RAB!$F$14:$F$217,RAB!$C$14:$C$217,C325)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SUMIFS(RAB!$F$14:$F$217,RAB!$C$14:$C$217,C326)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SUMIFS(RAB!$F$14:$F$217,RAB!$C$14:$C$217,C327)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SUMIFS(RAB!$F$14:$F$217,RAB!$C$14:$C$217,C328)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SUMIFS(RAB!$F$14:$F$217,RAB!$C$14:$C$217,C329)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SUMIFS(RAB!$F$14:$F$217,RAB!$C$14:$C$217,C330)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SUMIFS(RAB!$F$14:$F$217,RAB!$C$14:$C$217,C331)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SUMIFS(RAB!$F$14:$F$217,RAB!$C$14:$C$217,C332)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SUMIFS(RAB!$F$14:$F$217,RAB!$C$14:$C$217,C333)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SUMIFS(RAB!$F$14:$F$217,RAB!$C$14:$C$217,C334)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SUMIFS(RAB!$F$14:$F$217,RAB!$C$14:$C$217,C335)</f>
        <v>63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SUMIFS(RAB!$F$14:$F$217,RAB!$C$14:$C$217,C336)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SUMIFS(RAB!$F$14:$F$217,RAB!$C$14:$C$217,C337)</f>
        <v>30</v>
      </c>
      <c r="E337" s="24">
        <f t="shared" ca="1" si="22"/>
        <v>1</v>
      </c>
      <c r="F337" s="24">
        <f ca="1">IF(D337=0,0,SUM($E$223:E337))</f>
        <v>7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SUMIFS(RAB!$F$14:$F$217,RAB!$C$14:$C$217,C338)</f>
        <v>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SUMIFS(RAB!$F$14:$F$217,RAB!$C$14:$C$217,C339)</f>
        <v>3560</v>
      </c>
      <c r="E339" s="24">
        <f t="shared" ca="1" si="22"/>
        <v>1</v>
      </c>
      <c r="F339" s="24">
        <f ca="1">IF(D339=0,0,SUM($E$223:E339))</f>
        <v>9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SUMIFS(RAB!$F$14:$F$217,RAB!$C$14:$C$217,C340)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SUMIFS(RAB!$F$14:$F$217,RAB!$C$14:$C$217,C341)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SUMIFS(RAB!$F$14:$F$217,RAB!$C$14:$C$217,C342)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SUMIFS(RAB!$F$14:$F$217,RAB!$C$14:$C$217,C343)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SUMIFS(RAB!$F$14:$F$217,RAB!$C$14:$C$217,C344)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SUMIFS(RAB!$F$14:$F$217,RAB!$C$14:$C$217,C345)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SUMIFS(RAB!$F$14:$F$217,RAB!$C$14:$C$217,C346)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SUMIFS(RAB!$F$14:$F$217,RAB!$C$14:$C$217,C347)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SUMIFS(RAB!$F$14:$F$217,RAB!$C$14:$C$217,C348)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SUMIFS(RAB!$F$14:$F$217,RAB!$C$14:$C$217,C349)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SUMIFS(RAB!$F$14:$F$217,RAB!$C$14:$C$217,C350)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SUMIFS(RAB!$F$14:$F$217,RAB!$C$14:$C$217,C351)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SUMIFS(RAB!$F$14:$F$217,RAB!$C$14:$C$217,C352)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SUMIFS(RAB!$F$14:$F$217,RAB!$C$14:$C$217,C353)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SUMIFS(RAB!$F$14:$F$217,RAB!$C$14:$C$217,C354)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SUMIFS(RAB!$F$14:$F$217,RAB!$C$14:$C$217,C355)</f>
        <v>35</v>
      </c>
      <c r="E355" s="24">
        <f t="shared" ca="1" si="23"/>
        <v>1</v>
      </c>
      <c r="F355" s="24">
        <f ca="1">IF(D355=0,0,SUM($E$223:E355))</f>
        <v>10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SUMIFS(RAB!$F$14:$F$217,RAB!$C$14:$C$217,C356)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SUMIFS(RAB!$F$14:$F$217,RAB!$C$14:$C$217,C357)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SUMIFS(RAB!$F$14:$F$217,RAB!$C$14:$C$217,C358)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SUMIFS(RAB!$F$14:$F$217,RAB!$C$14:$C$217,C359)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SUMIFS(RAB!$F$14:$F$217,RAB!$C$14:$C$217,C360)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SUMIFS(RAB!$F$14:$F$217,RAB!$C$14:$C$217,C361)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SUMIFS(RAB!$F$14:$F$217,RAB!$C$14:$C$217,C362)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SUMIFS(RAB!$F$14:$F$217,RAB!$C$14:$C$217,C363)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SUMIFS(RAB!$F$14:$F$217,RAB!$C$14:$C$217,C364)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SUMIFS(RAB!$F$14:$F$217,RAB!$C$14:$C$217,C365)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SUMIFS(RAB!$F$14:$F$217,RAB!$C$14:$C$217,C366)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SUMIFS(RAB!$F$14:$F$217,RAB!$C$14:$C$217,C367)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SUMIFS(RAB!$F$14:$F$217,RAB!$C$14:$C$217,C368)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SUMIFS(RAB!$F$14:$F$217,RAB!$C$14:$C$217,C369)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SUMIFS(RAB!$F$14:$F$217,RAB!$C$14:$C$217,C370)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SUMIFS(RAB!$F$14:$F$217,RAB!$C$14:$C$217,C371)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SUMIFS(RAB!$F$14:$F$217,RAB!$C$14:$C$217,C372)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SUMIFS(RAB!$F$14:$F$217,RAB!$C$14:$C$217,C373)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70" priority="5" operator="equal">
      <formula>0</formula>
    </cfRule>
  </conditionalFormatting>
  <conditionalFormatting sqref="C16:C165">
    <cfRule type="cellIs" dxfId="69" priority="4" stopIfTrue="1" operator="equal">
      <formula>0</formula>
    </cfRule>
  </conditionalFormatting>
  <conditionalFormatting sqref="C16:E165">
    <cfRule type="cellIs" dxfId="68" priority="1" operator="equal">
      <formula>0</formula>
    </cfRule>
  </conditionalFormatting>
  <conditionalFormatting sqref="D224:F373">
    <cfRule type="cellIs" dxfId="67" priority="8" operator="equal">
      <formula>0</formula>
    </cfRule>
  </conditionalFormatting>
  <conditionalFormatting sqref="E1:E3 G1:G115 E6:E15 H12:I12 N13 F14:F15 H14:K115 E166:K166 G166:G223 E167:F167 H167:K167">
    <cfRule type="cellIs" dxfId="66" priority="43" stopIfTrue="1" operator="equal">
      <formula>0</formula>
    </cfRule>
  </conditionalFormatting>
  <conditionalFormatting sqref="E171:E65536">
    <cfRule type="cellIs" dxfId="65" priority="9" stopIfTrue="1" operator="equal">
      <formula>0</formula>
    </cfRule>
  </conditionalFormatting>
  <conditionalFormatting sqref="G224">
    <cfRule type="cellIs" dxfId="64" priority="10" operator="equal">
      <formula>0</formula>
    </cfRule>
  </conditionalFormatting>
  <conditionalFormatting sqref="G225:G65536">
    <cfRule type="cellIs" dxfId="63" priority="14" stopIfTrue="1" operator="equal">
      <formula>0</formula>
    </cfRule>
  </conditionalFormatting>
  <conditionalFormatting sqref="R14:T166 G116:K165">
    <cfRule type="cellIs" dxfId="6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4"/>
    </row>
    <row r="4" spans="4:4" ht="57" customHeight="1">
      <c r="D4" s="464">
        <v>3</v>
      </c>
    </row>
    <row r="5" spans="4:4" ht="57" customHeight="1">
      <c r="D5" s="46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6" activePane="bottomRight" state="frozen"/>
      <selection activeCell="D209" sqref="D209"/>
      <selection pane="topRight" activeCell="D209" sqref="D209"/>
      <selection pane="bottomLeft" activeCell="D209" sqref="D209"/>
      <selection pane="bottomRight" activeCell="C243" sqref="C24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75" t="s">
        <v>41</v>
      </c>
      <c r="C2" s="57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76" t="s">
        <v>23</v>
      </c>
      <c r="C4" s="577" t="s">
        <v>1012</v>
      </c>
      <c r="D4" s="577" t="s">
        <v>42</v>
      </c>
      <c r="E4" s="576" t="s">
        <v>43</v>
      </c>
      <c r="F4" s="108" t="s">
        <v>1612</v>
      </c>
      <c r="G4" s="108" t="s">
        <v>1611</v>
      </c>
      <c r="H4" s="57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76"/>
      <c r="C5" s="577"/>
      <c r="D5" s="577"/>
      <c r="E5" s="576"/>
      <c r="F5" s="93"/>
      <c r="G5" s="93"/>
      <c r="H5" s="574"/>
      <c r="I5" s="193" t="s">
        <v>1611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1555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1556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1557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1558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1559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1560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1561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1562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1563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1564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1565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1566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1567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1568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1569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1570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1571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1572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1573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1574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1575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1576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1577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1578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1579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1580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1581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1582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1583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1584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1585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1586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1587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1588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1589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1590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1591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1592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1593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1594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1595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1596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1597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1598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1599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1600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1601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1602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1603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1604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1605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1606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1607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1608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1609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1610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2">
        <v>2740</v>
      </c>
      <c r="G1433" s="49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61" priority="138" operator="equal">
      <formula>0</formula>
    </cfRule>
  </conditionalFormatting>
  <conditionalFormatting sqref="B8:C135">
    <cfRule type="cellIs" dxfId="60" priority="51" operator="equal">
      <formula>0</formula>
    </cfRule>
  </conditionalFormatting>
  <conditionalFormatting sqref="B150:G1493">
    <cfRule type="cellIs" dxfId="59" priority="1" operator="equal">
      <formula>0</formula>
    </cfRule>
  </conditionalFormatting>
  <conditionalFormatting sqref="C143:G149">
    <cfRule type="cellIs" dxfId="58" priority="5" operator="equal">
      <formula>0</formula>
    </cfRule>
  </conditionalFormatting>
  <conditionalFormatting sqref="D9:G142">
    <cfRule type="cellIs" dxfId="57" priority="11" operator="equal">
      <formula>0</formula>
    </cfRule>
  </conditionalFormatting>
  <conditionalFormatting sqref="D1:IV5 A1:C7 D6:K6 H1455:IV1457 H1458:XFD1485 H1486:H1493 I1486:XFD1494 A1494:H1494 A1495:XFD65536">
    <cfRule type="cellIs" dxfId="56" priority="163" operator="equal">
      <formula>0</formula>
    </cfRule>
  </conditionalFormatting>
  <conditionalFormatting sqref="D7:IV8 C136:C142 B136:B149">
    <cfRule type="cellIs" dxfId="55" priority="62" operator="equal">
      <formula>0</formula>
    </cfRule>
  </conditionalFormatting>
  <conditionalFormatting sqref="H9:H1418">
    <cfRule type="cellIs" dxfId="54" priority="129" operator="equal">
      <formula>0</formula>
    </cfRule>
  </conditionalFormatting>
  <conditionalFormatting sqref="H1419:I1454">
    <cfRule type="cellIs" dxfId="53" priority="128" operator="equal">
      <formula>0</formula>
    </cfRule>
  </conditionalFormatting>
  <conditionalFormatting sqref="I108:I1418">
    <cfRule type="cellIs" dxfId="52" priority="125" operator="equal">
      <formula>0</formula>
    </cfRule>
  </conditionalFormatting>
  <conditionalFormatting sqref="J108:IV1454">
    <cfRule type="cellIs" dxfId="51" priority="139" operator="equal">
      <formula>0</formula>
    </cfRule>
  </conditionalFormatting>
  <conditionalFormatting sqref="M6:IV6">
    <cfRule type="cellIs" dxfId="5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N27"/>
  <sheetViews>
    <sheetView topLeftCell="A15" zoomScale="70" zoomScaleNormal="70" zoomScaleSheetLayoutView="85" workbookViewId="0">
      <selection activeCell="M19" sqref="M19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4" s="205" customFormat="1" ht="18.75" customHeight="1">
      <c r="B2" s="582" t="s">
        <v>1454</v>
      </c>
      <c r="C2" s="582"/>
      <c r="D2" s="582"/>
      <c r="E2" s="582"/>
      <c r="I2" s="206"/>
    </row>
    <row r="3" spans="1:14" s="205" customFormat="1" ht="13.5" customHeight="1" thickBot="1">
      <c r="B3" s="278"/>
      <c r="C3" s="278"/>
      <c r="D3" s="278"/>
      <c r="E3" s="278"/>
      <c r="I3" s="206"/>
    </row>
    <row r="4" spans="1:14" s="205" customFormat="1" ht="29.25" customHeight="1">
      <c r="A4" s="209"/>
      <c r="B4" s="587" t="s">
        <v>1535</v>
      </c>
      <c r="C4" s="588"/>
      <c r="D4" s="588"/>
      <c r="E4" s="589"/>
      <c r="F4" s="446"/>
      <c r="G4" s="446"/>
      <c r="H4" s="447"/>
      <c r="I4" s="614" t="s">
        <v>1536</v>
      </c>
      <c r="J4" s="615"/>
      <c r="K4" s="615"/>
      <c r="L4" s="616"/>
    </row>
    <row r="5" spans="1:14" ht="34.5" customHeight="1">
      <c r="A5" s="204"/>
      <c r="B5" s="449" t="s">
        <v>1379</v>
      </c>
      <c r="C5" s="277" t="s">
        <v>9</v>
      </c>
      <c r="D5" s="583" t="str">
        <f>DATA!D14</f>
        <v>AGR IMAM SISWANTO DS. GEMPOL DENOK</v>
      </c>
      <c r="E5" s="584"/>
      <c r="F5" s="208"/>
      <c r="G5" s="208"/>
      <c r="I5" s="450" t="s">
        <v>1379</v>
      </c>
      <c r="J5" s="277" t="s">
        <v>9</v>
      </c>
      <c r="K5" s="617" t="str">
        <f>D5</f>
        <v>AGR IMAM SISWANTO DS. GEMPOL DENOK</v>
      </c>
      <c r="L5" s="618"/>
    </row>
    <row r="6" spans="1:14" ht="31.5" customHeight="1">
      <c r="A6" s="204"/>
      <c r="B6" s="449" t="s">
        <v>1532</v>
      </c>
      <c r="C6" s="277" t="s">
        <v>9</v>
      </c>
      <c r="D6" s="592">
        <f>DATA!D17*1000</f>
        <v>0</v>
      </c>
      <c r="E6" s="593"/>
      <c r="F6" s="208"/>
      <c r="G6" s="208"/>
      <c r="I6" s="450" t="s">
        <v>1533</v>
      </c>
      <c r="J6" s="277" t="s">
        <v>9</v>
      </c>
      <c r="K6" s="619">
        <f>DATA!D20*1000</f>
        <v>131000</v>
      </c>
      <c r="L6" s="620"/>
    </row>
    <row r="7" spans="1:14" ht="30.75" customHeight="1">
      <c r="A7" s="204"/>
      <c r="B7" s="449" t="s">
        <v>1441</v>
      </c>
      <c r="C7" s="277" t="s">
        <v>9</v>
      </c>
      <c r="D7" s="590">
        <f>DATA!D18</f>
        <v>1</v>
      </c>
      <c r="E7" s="591"/>
      <c r="F7" s="448" t="s">
        <v>1453</v>
      </c>
      <c r="I7" s="450" t="s">
        <v>1441</v>
      </c>
      <c r="J7" s="277" t="s">
        <v>9</v>
      </c>
      <c r="K7" s="621">
        <f>DATA!D21</f>
        <v>3</v>
      </c>
      <c r="L7" s="622"/>
    </row>
    <row r="8" spans="1:14" ht="51" customHeight="1">
      <c r="A8" s="204"/>
      <c r="B8" s="449" t="s">
        <v>1442</v>
      </c>
      <c r="C8" s="277" t="s">
        <v>9</v>
      </c>
      <c r="D8" s="590">
        <f>DATA!D19</f>
        <v>220</v>
      </c>
      <c r="E8" s="591"/>
      <c r="F8" s="448" t="s">
        <v>1453</v>
      </c>
      <c r="G8" s="443">
        <v>220</v>
      </c>
      <c r="I8" s="450" t="s">
        <v>1442</v>
      </c>
      <c r="J8" s="277" t="s">
        <v>9</v>
      </c>
      <c r="K8" s="621">
        <f>DATA!D22</f>
        <v>380</v>
      </c>
      <c r="L8" s="622"/>
    </row>
    <row r="9" spans="1:14" ht="30" customHeight="1" thickBot="1">
      <c r="A9" s="204"/>
      <c r="B9" s="455" t="s">
        <v>1544</v>
      </c>
      <c r="C9" s="445" t="s">
        <v>9</v>
      </c>
      <c r="D9" s="585">
        <f>IF(D7=1,D6/(380/3^0.5),(D6/(380*3^0.5)))</f>
        <v>0</v>
      </c>
      <c r="E9" s="586"/>
      <c r="F9" s="207"/>
      <c r="G9" s="444">
        <v>380</v>
      </c>
      <c r="I9" s="456" t="s">
        <v>1544</v>
      </c>
      <c r="J9" s="445" t="s">
        <v>9</v>
      </c>
      <c r="K9" s="623">
        <f>IF(K7=1,K6/(380/3^0.5),(K6/(380*3^0.5)))</f>
        <v>199.03390858905522</v>
      </c>
      <c r="L9" s="624"/>
    </row>
    <row r="10" spans="1:14" ht="24.75" customHeight="1">
      <c r="B10" s="457"/>
      <c r="C10" s="454"/>
      <c r="D10" s="458"/>
      <c r="E10" s="458"/>
      <c r="F10" s="207"/>
      <c r="G10" s="444"/>
      <c r="I10" s="457"/>
      <c r="J10" s="454"/>
      <c r="K10" s="458"/>
      <c r="L10" s="458"/>
    </row>
    <row r="11" spans="1:14" ht="16.5" thickBot="1">
      <c r="B11" s="451" t="s">
        <v>1545</v>
      </c>
      <c r="I11" s="451" t="s">
        <v>1539</v>
      </c>
    </row>
    <row r="12" spans="1:14" ht="34.5" customHeight="1">
      <c r="A12" s="204"/>
      <c r="B12" s="479" t="s">
        <v>1537</v>
      </c>
      <c r="C12" s="473" t="s">
        <v>9</v>
      </c>
      <c r="D12" s="594"/>
      <c r="E12" s="595"/>
      <c r="F12" s="208"/>
      <c r="G12" s="208"/>
      <c r="I12" s="472" t="s">
        <v>1537</v>
      </c>
      <c r="J12" s="473" t="s">
        <v>9</v>
      </c>
      <c r="K12" s="594" t="s">
        <v>1650</v>
      </c>
      <c r="L12" s="595"/>
    </row>
    <row r="13" spans="1:14" ht="31.5" customHeight="1">
      <c r="A13" s="204"/>
      <c r="B13" s="480" t="s">
        <v>1380</v>
      </c>
      <c r="C13" s="460" t="s">
        <v>9</v>
      </c>
      <c r="D13" s="598"/>
      <c r="E13" s="599"/>
      <c r="F13" s="208"/>
      <c r="G13" s="208"/>
      <c r="I13" s="474" t="s">
        <v>1380</v>
      </c>
      <c r="J13" s="460" t="s">
        <v>9</v>
      </c>
      <c r="K13" s="598" t="s">
        <v>1651</v>
      </c>
      <c r="L13" s="599"/>
    </row>
    <row r="14" spans="1:14" ht="30.75" customHeight="1">
      <c r="A14" s="204"/>
      <c r="B14" s="480" t="s">
        <v>1538</v>
      </c>
      <c r="C14" s="460" t="s">
        <v>9</v>
      </c>
      <c r="D14" s="606"/>
      <c r="E14" s="607"/>
      <c r="F14" s="448" t="s">
        <v>1453</v>
      </c>
      <c r="G14" s="452">
        <v>50</v>
      </c>
      <c r="I14" s="474" t="s">
        <v>1538</v>
      </c>
      <c r="J14" s="460" t="s">
        <v>9</v>
      </c>
      <c r="K14" s="608">
        <v>160</v>
      </c>
      <c r="L14" s="609"/>
    </row>
    <row r="15" spans="1:14" ht="57" customHeight="1">
      <c r="A15" s="204"/>
      <c r="B15" s="480" t="s">
        <v>1441</v>
      </c>
      <c r="C15" s="460" t="s">
        <v>9</v>
      </c>
      <c r="D15" s="466">
        <v>3</v>
      </c>
      <c r="E15" s="475"/>
      <c r="F15" s="448" t="s">
        <v>1453</v>
      </c>
      <c r="G15" s="452">
        <v>100</v>
      </c>
      <c r="I15" s="474" t="s">
        <v>1441</v>
      </c>
      <c r="J15" s="460" t="s">
        <v>9</v>
      </c>
      <c r="K15" s="466">
        <v>3</v>
      </c>
      <c r="L15" s="475"/>
    </row>
    <row r="16" spans="1:14" ht="44.25" customHeight="1">
      <c r="A16" s="204"/>
      <c r="B16" s="480" t="s">
        <v>1548</v>
      </c>
      <c r="C16" s="460"/>
      <c r="D16" s="610">
        <v>300</v>
      </c>
      <c r="E16" s="611"/>
      <c r="F16" s="448"/>
      <c r="G16" s="452">
        <v>160</v>
      </c>
      <c r="I16" s="474" t="s">
        <v>1540</v>
      </c>
      <c r="J16" s="460" t="s">
        <v>9</v>
      </c>
      <c r="K16" s="612">
        <f>K9</f>
        <v>199.03390858905522</v>
      </c>
      <c r="L16" s="613"/>
      <c r="N16" s="202">
        <f>131000/658</f>
        <v>199.08814589665653</v>
      </c>
    </row>
    <row r="17" spans="1:12" ht="34.5" customHeight="1">
      <c r="A17" s="204"/>
      <c r="B17" s="480" t="s">
        <v>1541</v>
      </c>
      <c r="C17" s="460" t="s">
        <v>9</v>
      </c>
      <c r="D17" s="600">
        <f>IF(D15=1,D14/(20/3^0.5),(D14/(20*3^0.5)))</f>
        <v>0</v>
      </c>
      <c r="E17" s="601"/>
      <c r="F17" s="448" t="s">
        <v>1453</v>
      </c>
      <c r="G17" s="453">
        <v>200</v>
      </c>
      <c r="I17" s="474" t="s">
        <v>1541</v>
      </c>
      <c r="J17" s="460" t="s">
        <v>9</v>
      </c>
      <c r="K17" s="604">
        <f>IF(K15=1,K14/(20/3^0.5),(K14/(20*3^0.5)))</f>
        <v>4.6188021535170067</v>
      </c>
      <c r="L17" s="605"/>
    </row>
    <row r="18" spans="1:12" ht="34.5" customHeight="1">
      <c r="A18" s="204"/>
      <c r="B18" s="480" t="s">
        <v>1542</v>
      </c>
      <c r="C18" s="460" t="s">
        <v>9</v>
      </c>
      <c r="D18" s="600">
        <f>IF(D15=1,D14/(380/3^0.5),(D14/(380*3^0.5)))*1000</f>
        <v>0</v>
      </c>
      <c r="E18" s="601"/>
      <c r="F18" s="448" t="s">
        <v>1453</v>
      </c>
      <c r="G18" s="453">
        <v>250</v>
      </c>
      <c r="I18" s="474" t="s">
        <v>1542</v>
      </c>
      <c r="J18" s="460" t="s">
        <v>9</v>
      </c>
      <c r="K18" s="604">
        <f>IF(K15=1,K14/(380/3^0.5),(K14/(380*3^0.5)))*1000</f>
        <v>243.0948501851056</v>
      </c>
      <c r="L18" s="605"/>
    </row>
    <row r="19" spans="1:12" ht="30" customHeight="1">
      <c r="A19" s="204"/>
      <c r="B19" s="481" t="s">
        <v>1534</v>
      </c>
      <c r="C19" s="459" t="s">
        <v>9</v>
      </c>
      <c r="D19" s="600">
        <f>IF(D15=1,D14/(380/3^0.5),(D14/(380*3^0.5)))</f>
        <v>0</v>
      </c>
      <c r="E19" s="601"/>
      <c r="F19" s="207"/>
      <c r="G19" s="444"/>
      <c r="I19" s="476" t="s">
        <v>1534</v>
      </c>
      <c r="J19" s="459" t="s">
        <v>9</v>
      </c>
      <c r="K19" s="604">
        <f>IF(K15=1,K14/(380/3^0.5),(K14/(380*3^0.5)))</f>
        <v>0.2430948501851056</v>
      </c>
      <c r="L19" s="605"/>
    </row>
    <row r="20" spans="1:12" ht="30" customHeight="1" thickBot="1">
      <c r="A20" s="204"/>
      <c r="B20" s="482" t="s">
        <v>1543</v>
      </c>
      <c r="C20" s="478" t="s">
        <v>9</v>
      </c>
      <c r="D20" s="596" t="e">
        <f>D16/D18</f>
        <v>#DIV/0!</v>
      </c>
      <c r="E20" s="597"/>
      <c r="F20" s="207"/>
      <c r="G20" s="444"/>
      <c r="I20" s="477" t="s">
        <v>1534</v>
      </c>
      <c r="J20" s="478" t="s">
        <v>9</v>
      </c>
      <c r="K20" s="602">
        <f>K16/K18</f>
        <v>0.81874999999999998</v>
      </c>
      <c r="L20" s="603"/>
    </row>
    <row r="21" spans="1:12" ht="9.75" customHeight="1">
      <c r="A21" s="204"/>
      <c r="B21" s="467" t="s">
        <v>1543</v>
      </c>
      <c r="C21" s="468" t="s">
        <v>9</v>
      </c>
      <c r="D21" s="581">
        <v>1</v>
      </c>
      <c r="E21" s="581"/>
      <c r="F21" s="469"/>
      <c r="G21" s="470"/>
      <c r="H21" s="471"/>
      <c r="I21" s="467" t="s">
        <v>1534</v>
      </c>
      <c r="J21" s="468" t="s">
        <v>9</v>
      </c>
      <c r="K21" s="581">
        <v>1</v>
      </c>
      <c r="L21" s="581"/>
    </row>
    <row r="22" spans="1:12" ht="6.75" customHeight="1">
      <c r="B22" s="457"/>
      <c r="C22" s="454"/>
      <c r="D22" s="465"/>
      <c r="E22" s="465"/>
      <c r="F22" s="207"/>
      <c r="G22" s="444"/>
      <c r="J22" s="454"/>
      <c r="K22" s="465"/>
      <c r="L22" s="465"/>
    </row>
    <row r="23" spans="1:12" ht="15.75" thickBot="1"/>
    <row r="24" spans="1:12" ht="200.25" customHeight="1" thickBot="1">
      <c r="B24" s="578"/>
      <c r="C24" s="579"/>
      <c r="D24" s="579"/>
      <c r="E24" s="580"/>
      <c r="I24" s="578"/>
      <c r="J24" s="579"/>
      <c r="K24" s="579"/>
      <c r="L24" s="580"/>
    </row>
    <row r="26" spans="1:12">
      <c r="D26" s="462"/>
    </row>
    <row r="27" spans="1:12">
      <c r="D27" s="46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49" priority="5" stopIfTrue="1" operator="greaterThan">
      <formula>0.89</formula>
    </cfRule>
    <cfRule type="cellIs" dxfId="4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D21" sqref="D21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25"/>
      <c r="C1" s="625"/>
      <c r="D1" s="62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5">
        <v>1084.1250458865841</v>
      </c>
      <c r="F5" s="490" t="s">
        <v>1614</v>
      </c>
      <c r="K5" s="48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131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101525000</v>
      </c>
    </row>
    <row r="10" spans="2:11" ht="20.100000000000001" customHeight="1">
      <c r="B10" s="291" t="s">
        <v>1446</v>
      </c>
      <c r="C10" s="292" t="s">
        <v>9</v>
      </c>
      <c r="D10" s="298">
        <f ca="1">RAB!K223</f>
        <v>457905963.04299992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9158119.2608599979</v>
      </c>
    </row>
    <row r="12" spans="2:11" ht="9" customHeight="1">
      <c r="B12" s="626"/>
      <c r="C12" s="626"/>
      <c r="D12" s="626"/>
    </row>
    <row r="13" spans="2:11" ht="15.75" customHeight="1">
      <c r="B13" s="299"/>
      <c r="C13" s="299"/>
      <c r="D13" s="299"/>
    </row>
    <row r="14" spans="2:11" ht="33.75" customHeight="1">
      <c r="B14" s="419" t="s">
        <v>1379</v>
      </c>
      <c r="C14" s="420" t="s">
        <v>9</v>
      </c>
      <c r="D14" s="425" t="s">
        <v>1649</v>
      </c>
      <c r="E14" s="300" t="s">
        <v>1453</v>
      </c>
    </row>
    <row r="15" spans="2:11" ht="20.100000000000001" customHeight="1">
      <c r="B15" s="421" t="s">
        <v>1447</v>
      </c>
      <c r="C15" s="422" t="s">
        <v>9</v>
      </c>
      <c r="D15" s="426" t="s">
        <v>1620</v>
      </c>
      <c r="E15" s="300" t="s">
        <v>1453</v>
      </c>
    </row>
    <row r="16" spans="2:11" ht="20.100000000000001" customHeight="1">
      <c r="B16" s="421" t="s">
        <v>1448</v>
      </c>
      <c r="C16" s="422" t="s">
        <v>9</v>
      </c>
      <c r="D16" s="426" t="s">
        <v>1451</v>
      </c>
      <c r="E16" s="300" t="s">
        <v>1453</v>
      </c>
    </row>
    <row r="17" spans="2:5" ht="20.100000000000001" customHeight="1">
      <c r="B17" s="421" t="s">
        <v>1449</v>
      </c>
      <c r="C17" s="422" t="s">
        <v>9</v>
      </c>
      <c r="D17" s="427">
        <v>0</v>
      </c>
      <c r="E17" s="300" t="s">
        <v>1453</v>
      </c>
    </row>
    <row r="18" spans="2:5" ht="20.100000000000001" hidden="1" customHeight="1">
      <c r="B18" s="421" t="s">
        <v>1546</v>
      </c>
      <c r="C18" s="422"/>
      <c r="D18" s="427">
        <f>IF((D17&lt;=11),1,3)</f>
        <v>1</v>
      </c>
      <c r="E18" s="300"/>
    </row>
    <row r="19" spans="2:5" ht="20.100000000000001" hidden="1" customHeight="1">
      <c r="B19" s="421" t="s">
        <v>1547</v>
      </c>
      <c r="C19" s="422"/>
      <c r="D19" s="427">
        <f>IF((D17&lt;=11),220,380)</f>
        <v>220</v>
      </c>
      <c r="E19" s="300"/>
    </row>
    <row r="20" spans="2:5" ht="20.100000000000001" customHeight="1">
      <c r="B20" s="421" t="s">
        <v>1450</v>
      </c>
      <c r="C20" s="422" t="s">
        <v>9</v>
      </c>
      <c r="D20" s="427">
        <v>131</v>
      </c>
      <c r="E20" s="300" t="s">
        <v>1453</v>
      </c>
    </row>
    <row r="21" spans="2:5" ht="20.100000000000001" customHeight="1">
      <c r="B21" s="421" t="s">
        <v>1546</v>
      </c>
      <c r="C21" s="422"/>
      <c r="D21" s="427">
        <f>IF((D20&lt;=11),1,3)</f>
        <v>3</v>
      </c>
      <c r="E21" s="300"/>
    </row>
    <row r="22" spans="2:5" ht="20.100000000000001" customHeight="1">
      <c r="B22" s="421" t="s">
        <v>1547</v>
      </c>
      <c r="C22" s="422"/>
      <c r="D22" s="427">
        <f>IF((D20&lt;=11),220,380)</f>
        <v>380</v>
      </c>
      <c r="E22" s="300"/>
    </row>
    <row r="23" spans="2:5" ht="20.100000000000001" customHeight="1">
      <c r="B23" s="421" t="s">
        <v>1353</v>
      </c>
      <c r="C23" s="422" t="s">
        <v>9</v>
      </c>
      <c r="D23" s="426">
        <v>1444.7</v>
      </c>
      <c r="E23" s="300" t="s">
        <v>1453</v>
      </c>
    </row>
    <row r="24" spans="2:5" ht="20.100000000000001" customHeight="1">
      <c r="B24" s="421" t="s">
        <v>1354</v>
      </c>
      <c r="C24" s="422" t="s">
        <v>9</v>
      </c>
      <c r="D24" s="426">
        <v>1444.7</v>
      </c>
      <c r="E24" s="300" t="s">
        <v>1453</v>
      </c>
    </row>
    <row r="25" spans="2:5" ht="20.100000000000001" customHeight="1">
      <c r="B25" s="421" t="s">
        <v>1452</v>
      </c>
      <c r="C25" s="422" t="s">
        <v>9</v>
      </c>
      <c r="D25" s="427">
        <v>775</v>
      </c>
      <c r="E25" s="300" t="s">
        <v>1453</v>
      </c>
    </row>
    <row r="26" spans="2:5" ht="20.100000000000001" customHeight="1">
      <c r="B26" s="423" t="s">
        <v>1355</v>
      </c>
      <c r="C26" s="424" t="s">
        <v>9</v>
      </c>
      <c r="D26" s="42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H14" sqref="H14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7" t="s">
        <v>1357</v>
      </c>
      <c r="C3" s="627"/>
      <c r="D3" s="627"/>
      <c r="E3" s="627"/>
      <c r="F3" s="305" t="str">
        <f>DATA!D14</f>
        <v>AGR IMAM SISWANTO DS. GEMPOL DENOK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28" t="s">
        <v>1349</v>
      </c>
      <c r="C5" s="628" t="s">
        <v>1358</v>
      </c>
      <c r="D5" s="629" t="s">
        <v>1359</v>
      </c>
      <c r="E5" s="629" t="s">
        <v>1360</v>
      </c>
      <c r="F5" s="628" t="s">
        <v>1361</v>
      </c>
      <c r="G5" s="628"/>
      <c r="H5" s="628"/>
      <c r="I5" s="628"/>
      <c r="J5" s="628"/>
      <c r="K5" s="628" t="s">
        <v>1362</v>
      </c>
      <c r="L5" s="628"/>
      <c r="M5" s="307"/>
      <c r="N5" s="632" t="s">
        <v>1363</v>
      </c>
      <c r="O5" s="629" t="s">
        <v>1364</v>
      </c>
      <c r="P5" s="629" t="s">
        <v>1365</v>
      </c>
      <c r="Q5" s="629" t="s">
        <v>1366</v>
      </c>
      <c r="R5" s="308"/>
      <c r="S5" s="309"/>
      <c r="T5" s="630" t="s">
        <v>1367</v>
      </c>
      <c r="U5" s="310"/>
    </row>
    <row r="6" spans="1:21" ht="20.100000000000001" customHeight="1">
      <c r="B6" s="628"/>
      <c r="C6" s="628"/>
      <c r="D6" s="628"/>
      <c r="E6" s="62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33"/>
      <c r="O6" s="628"/>
      <c r="P6" s="628"/>
      <c r="Q6" s="628"/>
      <c r="R6" s="308"/>
      <c r="S6" s="309"/>
      <c r="T6" s="628"/>
      <c r="U6" s="312"/>
    </row>
    <row r="7" spans="1:21" ht="20.100000000000001" customHeight="1">
      <c r="A7" s="313">
        <v>0</v>
      </c>
      <c r="B7" s="314">
        <v>2023</v>
      </c>
      <c r="C7" s="483">
        <f>DATA!D8*DATA!D26*8</f>
        <v>41920</v>
      </c>
      <c r="D7" s="316">
        <f>C7*4/24</f>
        <v>6986.666666666667</v>
      </c>
      <c r="E7" s="316">
        <f>C7-D7</f>
        <v>34933.333333333336</v>
      </c>
      <c r="F7" s="317">
        <f ca="1">DATA!D10/1000000</f>
        <v>457.90596304299993</v>
      </c>
      <c r="G7" s="318">
        <f ca="1">DATA!$D$11/1000000</f>
        <v>9.1581192608599977</v>
      </c>
      <c r="H7" s="318">
        <f>C7*DATA!$D$5/1000000</f>
        <v>45.446521923565605</v>
      </c>
      <c r="I7" s="318">
        <f>(C7*DATA!$D$5*DATA!$D$7)/1000000</f>
        <v>1.022546743280226</v>
      </c>
      <c r="J7" s="316">
        <f ca="1">SUM(F7:I7)</f>
        <v>513.53315097070583</v>
      </c>
      <c r="K7" s="319">
        <f>DATA!D9/1000000</f>
        <v>101.52500000000001</v>
      </c>
      <c r="L7" s="316">
        <f>((D7*DATA!$D$23)/1000000)+((E7*DATA!$D$24)/1000000)</f>
        <v>60.561824000000009</v>
      </c>
      <c r="M7" s="316">
        <f>K7+L7</f>
        <v>162.08682400000001</v>
      </c>
      <c r="N7" s="316">
        <f ca="1">M7-J7</f>
        <v>-351.44632697070585</v>
      </c>
      <c r="O7" s="314">
        <v>1</v>
      </c>
      <c r="P7" s="316">
        <f ca="1">O7*N7</f>
        <v>-351.44632697070585</v>
      </c>
      <c r="Q7" s="316">
        <f ca="1">P7</f>
        <v>-351.44632697070585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62880</v>
      </c>
      <c r="D8" s="316">
        <f>C8*4/24</f>
        <v>10480</v>
      </c>
      <c r="E8" s="316">
        <f t="shared" ref="E8:E32" si="0">C8-D8</f>
        <v>52400</v>
      </c>
      <c r="F8" s="314"/>
      <c r="G8" s="318">
        <f ca="1">DATA!$D$11/1000000</f>
        <v>9.1581192608599977</v>
      </c>
      <c r="H8" s="318">
        <f>C8*DATA!$D$5/1000000</f>
        <v>68.169782885348411</v>
      </c>
      <c r="I8" s="318">
        <f>(C8*DATA!$D$5*DATA!$D$7)/1000000</f>
        <v>1.533820114920339</v>
      </c>
      <c r="J8" s="316">
        <f t="shared" ref="J8:J32" ca="1" si="1">SUM(F8:I8)</f>
        <v>78.861722261128747</v>
      </c>
      <c r="K8" s="321"/>
      <c r="L8" s="316">
        <f>((D8*DATA!$D$23)/1000000)+((E8*DATA!$D$24)/1000000)</f>
        <v>90.842736000000002</v>
      </c>
      <c r="M8" s="316">
        <f t="shared" ref="M8:M32" si="2">K8+L8</f>
        <v>90.842736000000002</v>
      </c>
      <c r="N8" s="316">
        <f ca="1">M8-J8</f>
        <v>11.981013738871255</v>
      </c>
      <c r="O8" s="315">
        <f>1/(1+'[93]Asumsi I'!$C$3)^(KKF!A8)</f>
        <v>0.89285714285714279</v>
      </c>
      <c r="P8" s="316">
        <f ca="1">O8*N8</f>
        <v>10.697333695420763</v>
      </c>
      <c r="Q8" s="316">
        <f ca="1">Q7+P8</f>
        <v>-340.7489932752851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62880</v>
      </c>
      <c r="D9" s="316">
        <f t="shared" ref="D9:D32" si="5">C9*4/24</f>
        <v>10480</v>
      </c>
      <c r="E9" s="316">
        <f t="shared" si="0"/>
        <v>52400</v>
      </c>
      <c r="F9" s="314"/>
      <c r="G9" s="318">
        <f ca="1">DATA!$D$11/1000000</f>
        <v>9.1581192608599977</v>
      </c>
      <c r="H9" s="318">
        <f>C9*DATA!$D$5/1000000</f>
        <v>68.169782885348411</v>
      </c>
      <c r="I9" s="318">
        <f>(C9*DATA!$D$5*DATA!$D$7)/1000000</f>
        <v>1.533820114920339</v>
      </c>
      <c r="J9" s="316">
        <f t="shared" ca="1" si="1"/>
        <v>78.861722261128747</v>
      </c>
      <c r="K9" s="316"/>
      <c r="L9" s="316">
        <f>((D9*DATA!$D$23)/1000000)+((E9*DATA!$D$24)/1000000)</f>
        <v>90.842736000000002</v>
      </c>
      <c r="M9" s="316">
        <f t="shared" si="2"/>
        <v>90.842736000000002</v>
      </c>
      <c r="N9" s="316">
        <f t="shared" ref="N9:N32" ca="1" si="6">M9-J9</f>
        <v>11.981013738871255</v>
      </c>
      <c r="O9" s="322">
        <f>1/(1+'[93]Asumsi I'!$C$3)^(KKF!A9)</f>
        <v>0.79719387755102034</v>
      </c>
      <c r="P9" s="316">
        <f t="shared" ref="P9:P32" ca="1" si="7">O9*N9</f>
        <v>9.5511907994828231</v>
      </c>
      <c r="Q9" s="316">
        <f ca="1">Q8+P9</f>
        <v>-331.19780247580229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62880</v>
      </c>
      <c r="D10" s="316">
        <f t="shared" si="5"/>
        <v>10480</v>
      </c>
      <c r="E10" s="316">
        <f t="shared" si="0"/>
        <v>52400</v>
      </c>
      <c r="F10" s="314"/>
      <c r="G10" s="318">
        <f ca="1">DATA!$D$11/1000000</f>
        <v>9.1581192608599977</v>
      </c>
      <c r="H10" s="318">
        <f>C10*DATA!$D$5/1000000</f>
        <v>68.169782885348411</v>
      </c>
      <c r="I10" s="318">
        <f>(C10*DATA!$D$5*DATA!$D$7)/1000000</f>
        <v>1.533820114920339</v>
      </c>
      <c r="J10" s="316">
        <f t="shared" ca="1" si="1"/>
        <v>78.861722261128747</v>
      </c>
      <c r="K10" s="314"/>
      <c r="L10" s="316">
        <f>((D10*DATA!$D$23)/1000000)+((E10*DATA!$D$24)/1000000)</f>
        <v>90.842736000000002</v>
      </c>
      <c r="M10" s="316">
        <f t="shared" si="2"/>
        <v>90.842736000000002</v>
      </c>
      <c r="N10" s="316">
        <f t="shared" ca="1" si="6"/>
        <v>11.981013738871255</v>
      </c>
      <c r="O10" s="315">
        <f>1/(1+'[93]Asumsi I'!$C$3)^(KKF!A10)</f>
        <v>0.71178024781341087</v>
      </c>
      <c r="P10" s="316">
        <f t="shared" ca="1" si="7"/>
        <v>8.5278489281096626</v>
      </c>
      <c r="Q10" s="316">
        <f t="shared" ref="Q10:Q30" ca="1" si="9">Q9+P10</f>
        <v>-322.66995354769261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62880</v>
      </c>
      <c r="D11" s="316">
        <f t="shared" si="5"/>
        <v>10480</v>
      </c>
      <c r="E11" s="316">
        <f t="shared" si="0"/>
        <v>52400</v>
      </c>
      <c r="F11" s="314"/>
      <c r="G11" s="318">
        <f ca="1">DATA!$D$11/1000000</f>
        <v>9.1581192608599977</v>
      </c>
      <c r="H11" s="318">
        <f>C11*DATA!$D$5/1000000</f>
        <v>68.169782885348411</v>
      </c>
      <c r="I11" s="318">
        <f>(C11*DATA!$D$5*DATA!$D$7)/1000000</f>
        <v>1.533820114920339</v>
      </c>
      <c r="J11" s="316">
        <f t="shared" ca="1" si="1"/>
        <v>78.861722261128747</v>
      </c>
      <c r="K11" s="314"/>
      <c r="L11" s="316">
        <f>((D11*DATA!$D$23)/1000000)+((E11*DATA!$D$24)/1000000)</f>
        <v>90.842736000000002</v>
      </c>
      <c r="M11" s="316">
        <f t="shared" si="2"/>
        <v>90.842736000000002</v>
      </c>
      <c r="N11" s="316">
        <f t="shared" ca="1" si="6"/>
        <v>11.981013738871255</v>
      </c>
      <c r="O11" s="315">
        <f>1/(1+'[93]Asumsi I'!$C$3)^(KKF!A11)</f>
        <v>0.63551807840483121</v>
      </c>
      <c r="P11" s="316">
        <f t="shared" ca="1" si="7"/>
        <v>7.6141508286693416</v>
      </c>
      <c r="Q11" s="316">
        <f t="shared" ca="1" si="9"/>
        <v>-315.05580271902329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62880</v>
      </c>
      <c r="D12" s="316">
        <f t="shared" si="5"/>
        <v>10480</v>
      </c>
      <c r="E12" s="316">
        <f t="shared" si="0"/>
        <v>52400</v>
      </c>
      <c r="F12" s="314"/>
      <c r="G12" s="318">
        <f ca="1">DATA!$D$11/1000000</f>
        <v>9.1581192608599977</v>
      </c>
      <c r="H12" s="318">
        <f>C12*DATA!$D$5/1000000</f>
        <v>68.169782885348411</v>
      </c>
      <c r="I12" s="318">
        <f>(C12*DATA!$D$5*DATA!$D$7)/1000000</f>
        <v>1.533820114920339</v>
      </c>
      <c r="J12" s="316">
        <f t="shared" ca="1" si="1"/>
        <v>78.861722261128747</v>
      </c>
      <c r="K12" s="314"/>
      <c r="L12" s="316">
        <f>((D12*DATA!$D$23)/1000000)+((E12*DATA!$D$24)/1000000)</f>
        <v>90.842736000000002</v>
      </c>
      <c r="M12" s="316">
        <f t="shared" si="2"/>
        <v>90.842736000000002</v>
      </c>
      <c r="N12" s="316">
        <f t="shared" ca="1" si="6"/>
        <v>11.981013738871255</v>
      </c>
      <c r="O12" s="315">
        <f>1/(1+'[93]Asumsi I'!$C$3)^(KKF!A12)</f>
        <v>0.56742685571859919</v>
      </c>
      <c r="P12" s="316">
        <f t="shared" ca="1" si="7"/>
        <v>6.7983489541690538</v>
      </c>
      <c r="Q12" s="316">
        <f t="shared" ca="1" si="9"/>
        <v>-308.25745376485423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62880</v>
      </c>
      <c r="D13" s="316">
        <f t="shared" si="5"/>
        <v>10480</v>
      </c>
      <c r="E13" s="316">
        <f t="shared" si="0"/>
        <v>52400</v>
      </c>
      <c r="F13" s="314"/>
      <c r="G13" s="318">
        <f ca="1">DATA!$D$11/1000000</f>
        <v>9.1581192608599977</v>
      </c>
      <c r="H13" s="318">
        <f>C13*DATA!$D$5/1000000</f>
        <v>68.169782885348411</v>
      </c>
      <c r="I13" s="318">
        <f>(C13*DATA!$D$5*DATA!$D$7)/1000000</f>
        <v>1.533820114920339</v>
      </c>
      <c r="J13" s="316">
        <f t="shared" ca="1" si="1"/>
        <v>78.861722261128747</v>
      </c>
      <c r="K13" s="314"/>
      <c r="L13" s="316">
        <f>((D13*DATA!$D$23)/1000000)+((E13*DATA!$D$24)/1000000)</f>
        <v>90.842736000000002</v>
      </c>
      <c r="M13" s="316">
        <f t="shared" si="2"/>
        <v>90.842736000000002</v>
      </c>
      <c r="N13" s="316">
        <f t="shared" ca="1" si="6"/>
        <v>11.981013738871255</v>
      </c>
      <c r="O13" s="315">
        <f>1/(1+'[93]Asumsi I'!$C$3)^(KKF!A13)</f>
        <v>0.50663112117732068</v>
      </c>
      <c r="P13" s="316">
        <f t="shared" ca="1" si="7"/>
        <v>6.0699544233652265</v>
      </c>
      <c r="Q13" s="316">
        <f t="shared" ca="1" si="9"/>
        <v>-302.187499341489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62880</v>
      </c>
      <c r="D14" s="316">
        <f t="shared" si="5"/>
        <v>10480</v>
      </c>
      <c r="E14" s="316">
        <f t="shared" si="0"/>
        <v>52400</v>
      </c>
      <c r="F14" s="314"/>
      <c r="G14" s="318">
        <f ca="1">DATA!$D$11/1000000</f>
        <v>9.1581192608599977</v>
      </c>
      <c r="H14" s="318">
        <f>C14*DATA!$D$5/1000000</f>
        <v>68.169782885348411</v>
      </c>
      <c r="I14" s="318">
        <f>(C14*DATA!$D$5*DATA!$D$7)/1000000</f>
        <v>1.533820114920339</v>
      </c>
      <c r="J14" s="316">
        <f t="shared" ca="1" si="1"/>
        <v>78.861722261128747</v>
      </c>
      <c r="K14" s="314"/>
      <c r="L14" s="316">
        <f>((D14*DATA!$D$23)/1000000)+((E14*DATA!$D$24)/1000000)</f>
        <v>90.842736000000002</v>
      </c>
      <c r="M14" s="316">
        <f t="shared" si="2"/>
        <v>90.842736000000002</v>
      </c>
      <c r="N14" s="316">
        <f t="shared" ca="1" si="6"/>
        <v>11.981013738871255</v>
      </c>
      <c r="O14" s="315">
        <f>1/(1+'[93]Asumsi I'!$C$3)^(KKF!A14)</f>
        <v>0.45234921533689343</v>
      </c>
      <c r="P14" s="316">
        <f t="shared" ca="1" si="7"/>
        <v>5.4196021637189515</v>
      </c>
      <c r="Q14" s="316">
        <f t="shared" ca="1" si="9"/>
        <v>-296.76789717777007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62880</v>
      </c>
      <c r="D15" s="316">
        <f t="shared" si="5"/>
        <v>10480</v>
      </c>
      <c r="E15" s="316">
        <f t="shared" si="0"/>
        <v>52400</v>
      </c>
      <c r="F15" s="314"/>
      <c r="G15" s="318">
        <f ca="1">DATA!$D$11/1000000</f>
        <v>9.1581192608599977</v>
      </c>
      <c r="H15" s="318">
        <f>C15*DATA!$D$5/1000000</f>
        <v>68.169782885348411</v>
      </c>
      <c r="I15" s="318">
        <f>(C15*DATA!$D$5*DATA!$D$7)/1000000</f>
        <v>1.533820114920339</v>
      </c>
      <c r="J15" s="316">
        <f t="shared" ca="1" si="1"/>
        <v>78.861722261128747</v>
      </c>
      <c r="K15" s="314"/>
      <c r="L15" s="316">
        <f>((D15*DATA!$D$23)/1000000)+((E15*DATA!$D$24)/1000000)</f>
        <v>90.842736000000002</v>
      </c>
      <c r="M15" s="316">
        <f t="shared" si="2"/>
        <v>90.842736000000002</v>
      </c>
      <c r="N15" s="316">
        <f t="shared" ca="1" si="6"/>
        <v>11.981013738871255</v>
      </c>
      <c r="O15" s="315">
        <f>1/(1+'[93]Asumsi I'!$C$3)^(KKF!A15)</f>
        <v>0.4038832279793691</v>
      </c>
      <c r="P15" s="316">
        <f t="shared" ca="1" si="7"/>
        <v>4.8389305033204923</v>
      </c>
      <c r="Q15" s="316">
        <f t="shared" ca="1" si="9"/>
        <v>-291.92896667444955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62880</v>
      </c>
      <c r="D16" s="316">
        <f t="shared" si="5"/>
        <v>10480</v>
      </c>
      <c r="E16" s="316">
        <f t="shared" si="0"/>
        <v>52400</v>
      </c>
      <c r="F16" s="314"/>
      <c r="G16" s="318">
        <f ca="1">DATA!$D$11/1000000</f>
        <v>9.1581192608599977</v>
      </c>
      <c r="H16" s="318">
        <f>C16*DATA!$D$5/1000000</f>
        <v>68.169782885348411</v>
      </c>
      <c r="I16" s="318">
        <f>(C16*DATA!$D$5*DATA!$D$7)/1000000</f>
        <v>1.533820114920339</v>
      </c>
      <c r="J16" s="316">
        <f t="shared" ca="1" si="1"/>
        <v>78.861722261128747</v>
      </c>
      <c r="K16" s="314"/>
      <c r="L16" s="316">
        <f>((D16*DATA!$D$23)/1000000)+((E16*DATA!$D$24)/1000000)</f>
        <v>90.842736000000002</v>
      </c>
      <c r="M16" s="316">
        <f t="shared" si="2"/>
        <v>90.842736000000002</v>
      </c>
      <c r="N16" s="316">
        <f t="shared" ca="1" si="6"/>
        <v>11.981013738871255</v>
      </c>
      <c r="O16" s="315">
        <f>1/(1+'[93]Asumsi I'!$C$3)^(KKF!A16)</f>
        <v>0.36061002498157957</v>
      </c>
      <c r="P16" s="316">
        <f t="shared" ca="1" si="7"/>
        <v>4.3204736636790111</v>
      </c>
      <c r="Q16" s="316">
        <f t="shared" ca="1" si="9"/>
        <v>-287.60849301077053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62880</v>
      </c>
      <c r="D17" s="316">
        <f t="shared" si="5"/>
        <v>10480</v>
      </c>
      <c r="E17" s="316">
        <f t="shared" si="0"/>
        <v>52400</v>
      </c>
      <c r="F17" s="314"/>
      <c r="G17" s="318">
        <f ca="1">DATA!$D$11/1000000</f>
        <v>9.1581192608599977</v>
      </c>
      <c r="H17" s="318">
        <f>C17*DATA!$D$5/1000000</f>
        <v>68.169782885348411</v>
      </c>
      <c r="I17" s="318">
        <f>(C17*DATA!$D$5*DATA!$D$7)/1000000</f>
        <v>1.533820114920339</v>
      </c>
      <c r="J17" s="316">
        <f t="shared" ca="1" si="1"/>
        <v>78.861722261128747</v>
      </c>
      <c r="K17" s="314"/>
      <c r="L17" s="316">
        <f>((D17*DATA!$D$23)/1000000)+((E17*DATA!$D$24)/1000000)</f>
        <v>90.842736000000002</v>
      </c>
      <c r="M17" s="316">
        <f t="shared" si="2"/>
        <v>90.842736000000002</v>
      </c>
      <c r="N17" s="316">
        <f t="shared" ca="1" si="6"/>
        <v>11.981013738871255</v>
      </c>
      <c r="O17" s="315">
        <f>1/(1+'[93]Asumsi I'!$C$3)^(KKF!A17)</f>
        <v>0.32197323659069599</v>
      </c>
      <c r="P17" s="316">
        <f t="shared" ca="1" si="7"/>
        <v>3.8575657711419735</v>
      </c>
      <c r="Q17" s="316">
        <f t="shared" ca="1" si="9"/>
        <v>-283.75092723962854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62880</v>
      </c>
      <c r="D18" s="316">
        <f t="shared" si="5"/>
        <v>10480</v>
      </c>
      <c r="E18" s="316">
        <f t="shared" si="0"/>
        <v>52400</v>
      </c>
      <c r="F18" s="314"/>
      <c r="G18" s="318">
        <f ca="1">DATA!$D$11/1000000</f>
        <v>9.1581192608599977</v>
      </c>
      <c r="H18" s="318">
        <f>C18*DATA!$D$5/1000000</f>
        <v>68.169782885348411</v>
      </c>
      <c r="I18" s="318">
        <f>(C18*DATA!$D$5*DATA!$D$7)/1000000</f>
        <v>1.533820114920339</v>
      </c>
      <c r="J18" s="316">
        <f t="shared" ca="1" si="1"/>
        <v>78.861722261128747</v>
      </c>
      <c r="K18" s="314"/>
      <c r="L18" s="316">
        <f>((D18*DATA!$D$23)/1000000)+((E18*DATA!$D$24)/1000000)</f>
        <v>90.842736000000002</v>
      </c>
      <c r="M18" s="316">
        <f t="shared" si="2"/>
        <v>90.842736000000002</v>
      </c>
      <c r="N18" s="316">
        <f t="shared" ca="1" si="6"/>
        <v>11.981013738871255</v>
      </c>
      <c r="O18" s="315">
        <f>1/(1+'[93]Asumsi I'!$C$3)^(KKF!A18)</f>
        <v>0.28747610409883567</v>
      </c>
      <c r="P18" s="316">
        <f t="shared" ca="1" si="7"/>
        <v>3.4442551528053333</v>
      </c>
      <c r="Q18" s="316">
        <f t="shared" ca="1" si="9"/>
        <v>-280.3066720868232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62880</v>
      </c>
      <c r="D19" s="316">
        <f t="shared" si="5"/>
        <v>10480</v>
      </c>
      <c r="E19" s="316">
        <f t="shared" si="0"/>
        <v>52400</v>
      </c>
      <c r="F19" s="314"/>
      <c r="G19" s="318">
        <f ca="1">DATA!$D$11/1000000</f>
        <v>9.1581192608599977</v>
      </c>
      <c r="H19" s="318">
        <f>C19*DATA!$D$5/1000000</f>
        <v>68.169782885348411</v>
      </c>
      <c r="I19" s="318">
        <f>(C19*DATA!$D$5*DATA!$D$7)/1000000</f>
        <v>1.533820114920339</v>
      </c>
      <c r="J19" s="316">
        <f t="shared" ca="1" si="1"/>
        <v>78.861722261128747</v>
      </c>
      <c r="K19" s="314"/>
      <c r="L19" s="316">
        <f>((D19*DATA!$D$23)/1000000)+((E19*DATA!$D$24)/1000000)</f>
        <v>90.842736000000002</v>
      </c>
      <c r="M19" s="316">
        <f t="shared" si="2"/>
        <v>90.842736000000002</v>
      </c>
      <c r="N19" s="316">
        <f t="shared" ca="1" si="6"/>
        <v>11.981013738871255</v>
      </c>
      <c r="O19" s="315">
        <f>1/(1+'[93]Asumsi I'!$C$3)^(KKF!A19)</f>
        <v>0.25667509294538904</v>
      </c>
      <c r="P19" s="316">
        <f t="shared" ca="1" si="7"/>
        <v>3.0752278150047623</v>
      </c>
      <c r="Q19" s="316">
        <f t="shared" ca="1" si="9"/>
        <v>-277.23144427181842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62880</v>
      </c>
      <c r="D20" s="316">
        <f t="shared" si="5"/>
        <v>10480</v>
      </c>
      <c r="E20" s="316">
        <f t="shared" si="0"/>
        <v>52400</v>
      </c>
      <c r="F20" s="314"/>
      <c r="G20" s="318">
        <f ca="1">DATA!$D$11/1000000</f>
        <v>9.1581192608599977</v>
      </c>
      <c r="H20" s="318">
        <f>C20*DATA!$D$5/1000000</f>
        <v>68.169782885348411</v>
      </c>
      <c r="I20" s="318">
        <f>(C20*DATA!$D$5*DATA!$D$7)/1000000</f>
        <v>1.533820114920339</v>
      </c>
      <c r="J20" s="316">
        <f t="shared" ca="1" si="1"/>
        <v>78.861722261128747</v>
      </c>
      <c r="K20" s="314"/>
      <c r="L20" s="316">
        <f>((D20*DATA!$D$23)/1000000)+((E20*DATA!$D$24)/1000000)</f>
        <v>90.842736000000002</v>
      </c>
      <c r="M20" s="316">
        <f t="shared" si="2"/>
        <v>90.842736000000002</v>
      </c>
      <c r="N20" s="316">
        <f t="shared" ca="1" si="6"/>
        <v>11.981013738871255</v>
      </c>
      <c r="O20" s="315">
        <f>1/(1+'[93]Asumsi I'!$C$3)^(KKF!A20)</f>
        <v>0.22917419012981158</v>
      </c>
      <c r="P20" s="316">
        <f t="shared" ca="1" si="7"/>
        <v>2.7457391205399655</v>
      </c>
      <c r="Q20" s="316">
        <f t="shared" ca="1" si="9"/>
        <v>-274.48570515127847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62880</v>
      </c>
      <c r="D21" s="316">
        <f t="shared" si="5"/>
        <v>10480</v>
      </c>
      <c r="E21" s="316">
        <f t="shared" si="0"/>
        <v>52400</v>
      </c>
      <c r="F21" s="314"/>
      <c r="G21" s="318">
        <f ca="1">DATA!$D$11/1000000</f>
        <v>9.1581192608599977</v>
      </c>
      <c r="H21" s="318">
        <f>C21*DATA!$D$5/1000000</f>
        <v>68.169782885348411</v>
      </c>
      <c r="I21" s="318">
        <f>(C21*DATA!$D$5*DATA!$D$7)/1000000</f>
        <v>1.533820114920339</v>
      </c>
      <c r="J21" s="316">
        <f t="shared" ca="1" si="1"/>
        <v>78.861722261128747</v>
      </c>
      <c r="K21" s="314"/>
      <c r="L21" s="316">
        <f>((D21*DATA!$D$23)/1000000)+((E21*DATA!$D$24)/1000000)</f>
        <v>90.842736000000002</v>
      </c>
      <c r="M21" s="316">
        <f t="shared" si="2"/>
        <v>90.842736000000002</v>
      </c>
      <c r="N21" s="316">
        <f t="shared" ca="1" si="6"/>
        <v>11.981013738871255</v>
      </c>
      <c r="O21" s="315">
        <f>1/(1+'[93]Asumsi I'!$C$3)^(KKF!A21)</f>
        <v>0.20461981261590317</v>
      </c>
      <c r="P21" s="316">
        <f t="shared" ca="1" si="7"/>
        <v>2.4515527861963977</v>
      </c>
      <c r="Q21" s="316">
        <f t="shared" ca="1" si="9"/>
        <v>-272.03415236508209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62880</v>
      </c>
      <c r="D22" s="316">
        <f t="shared" si="5"/>
        <v>10480</v>
      </c>
      <c r="E22" s="316">
        <f t="shared" si="0"/>
        <v>52400</v>
      </c>
      <c r="F22" s="314"/>
      <c r="G22" s="318">
        <f ca="1">DATA!$D$11/1000000</f>
        <v>9.1581192608599977</v>
      </c>
      <c r="H22" s="318">
        <f>C22*DATA!$D$5/1000000</f>
        <v>68.169782885348411</v>
      </c>
      <c r="I22" s="318">
        <f>(C22*DATA!$D$5*DATA!$D$7)/1000000</f>
        <v>1.533820114920339</v>
      </c>
      <c r="J22" s="316">
        <f t="shared" ca="1" si="1"/>
        <v>78.861722261128747</v>
      </c>
      <c r="K22" s="314"/>
      <c r="L22" s="316">
        <f>((D22*DATA!$D$23)/1000000)+((E22*DATA!$D$24)/1000000)</f>
        <v>90.842736000000002</v>
      </c>
      <c r="M22" s="316">
        <f t="shared" si="2"/>
        <v>90.842736000000002</v>
      </c>
      <c r="N22" s="316">
        <f t="shared" ca="1" si="6"/>
        <v>11.981013738871255</v>
      </c>
      <c r="O22" s="315">
        <f>1/(1+'[93]Asumsi I'!$C$3)^(KKF!A22)</f>
        <v>0.18269626126419927</v>
      </c>
      <c r="P22" s="316">
        <f t="shared" ca="1" si="7"/>
        <v>2.1888864162467838</v>
      </c>
      <c r="Q22" s="316">
        <f t="shared" ca="1" si="9"/>
        <v>-269.84526594883533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62880</v>
      </c>
      <c r="D23" s="316">
        <f t="shared" si="5"/>
        <v>10480</v>
      </c>
      <c r="E23" s="316">
        <f t="shared" si="0"/>
        <v>52400</v>
      </c>
      <c r="F23" s="314"/>
      <c r="G23" s="318">
        <f ca="1">DATA!$D$11/1000000</f>
        <v>9.1581192608599977</v>
      </c>
      <c r="H23" s="318">
        <f>C23*DATA!$D$5/1000000</f>
        <v>68.169782885348411</v>
      </c>
      <c r="I23" s="318">
        <f>(C23*DATA!$D$5*DATA!$D$7)/1000000</f>
        <v>1.533820114920339</v>
      </c>
      <c r="J23" s="316">
        <f t="shared" ca="1" si="1"/>
        <v>78.861722261128747</v>
      </c>
      <c r="K23" s="314"/>
      <c r="L23" s="316">
        <f>((D23*DATA!$D$23)/1000000)+((E23*DATA!$D$24)/1000000)</f>
        <v>90.842736000000002</v>
      </c>
      <c r="M23" s="316">
        <f t="shared" si="2"/>
        <v>90.842736000000002</v>
      </c>
      <c r="N23" s="316">
        <f t="shared" ca="1" si="6"/>
        <v>11.981013738871255</v>
      </c>
      <c r="O23" s="315">
        <f>1/(1+'[93]Asumsi I'!$C$3)^(KKF!A23)</f>
        <v>0.16312166184303503</v>
      </c>
      <c r="P23" s="316">
        <f t="shared" ca="1" si="7"/>
        <v>1.9543628716489136</v>
      </c>
      <c r="Q23" s="316">
        <f t="shared" ca="1" si="9"/>
        <v>-267.89090307718641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62880</v>
      </c>
      <c r="D24" s="316">
        <f t="shared" si="5"/>
        <v>10480</v>
      </c>
      <c r="E24" s="316">
        <f t="shared" si="0"/>
        <v>52400</v>
      </c>
      <c r="F24" s="314"/>
      <c r="G24" s="318">
        <f ca="1">DATA!$D$11/1000000</f>
        <v>9.1581192608599977</v>
      </c>
      <c r="H24" s="318">
        <f>C24*DATA!$D$5/1000000</f>
        <v>68.169782885348411</v>
      </c>
      <c r="I24" s="318">
        <f>(C24*DATA!$D$5*DATA!$D$7)/1000000</f>
        <v>1.533820114920339</v>
      </c>
      <c r="J24" s="316">
        <f t="shared" ca="1" si="1"/>
        <v>78.861722261128747</v>
      </c>
      <c r="K24" s="314"/>
      <c r="L24" s="316">
        <f>((D24*DATA!$D$23)/1000000)+((E24*DATA!$D$24)/1000000)</f>
        <v>90.842736000000002</v>
      </c>
      <c r="M24" s="316">
        <f t="shared" si="2"/>
        <v>90.842736000000002</v>
      </c>
      <c r="N24" s="316">
        <f t="shared" ca="1" si="6"/>
        <v>11.981013738871255</v>
      </c>
      <c r="O24" s="315">
        <f>1/(1+'[93]Asumsi I'!$C$3)^(KKF!A24)</f>
        <v>0.14564434093128129</v>
      </c>
      <c r="P24" s="316">
        <f t="shared" ca="1" si="7"/>
        <v>1.74496684968653</v>
      </c>
      <c r="Q24" s="316">
        <f t="shared" ca="1" si="9"/>
        <v>-266.14593622749987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62880</v>
      </c>
      <c r="D25" s="316">
        <f t="shared" si="5"/>
        <v>10480</v>
      </c>
      <c r="E25" s="316">
        <f t="shared" si="0"/>
        <v>52400</v>
      </c>
      <c r="F25" s="314"/>
      <c r="G25" s="318">
        <f ca="1">DATA!$D$11/1000000</f>
        <v>9.1581192608599977</v>
      </c>
      <c r="H25" s="318">
        <f>C25*DATA!$D$5/1000000</f>
        <v>68.169782885348411</v>
      </c>
      <c r="I25" s="318">
        <f>(C25*DATA!$D$5*DATA!$D$7)/1000000</f>
        <v>1.533820114920339</v>
      </c>
      <c r="J25" s="316">
        <f t="shared" ca="1" si="1"/>
        <v>78.861722261128747</v>
      </c>
      <c r="K25" s="314"/>
      <c r="L25" s="316">
        <f>((D25*DATA!$D$23)/1000000)+((E25*DATA!$D$24)/1000000)</f>
        <v>90.842736000000002</v>
      </c>
      <c r="M25" s="316">
        <f t="shared" si="2"/>
        <v>90.842736000000002</v>
      </c>
      <c r="N25" s="316">
        <f t="shared" ca="1" si="6"/>
        <v>11.981013738871255</v>
      </c>
      <c r="O25" s="315">
        <f>1/(1+'[93]Asumsi I'!$C$3)^(KKF!A25)</f>
        <v>0.13003959011721541</v>
      </c>
      <c r="P25" s="316">
        <f t="shared" ca="1" si="7"/>
        <v>1.5580061157915446</v>
      </c>
      <c r="Q25" s="316">
        <f t="shared" ca="1" si="9"/>
        <v>-264.58793011170832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62880</v>
      </c>
      <c r="D26" s="316">
        <f t="shared" si="5"/>
        <v>10480</v>
      </c>
      <c r="E26" s="316">
        <f t="shared" si="0"/>
        <v>52400</v>
      </c>
      <c r="F26" s="314"/>
      <c r="G26" s="318">
        <f ca="1">DATA!$D$11/1000000</f>
        <v>9.1581192608599977</v>
      </c>
      <c r="H26" s="318">
        <f>C26*DATA!$D$5/1000000</f>
        <v>68.169782885348411</v>
      </c>
      <c r="I26" s="318">
        <f>(C26*DATA!$D$5*DATA!$D$7)/1000000</f>
        <v>1.533820114920339</v>
      </c>
      <c r="J26" s="316">
        <f t="shared" ca="1" si="1"/>
        <v>78.861722261128747</v>
      </c>
      <c r="K26" s="314"/>
      <c r="L26" s="316">
        <f>((D26*DATA!$D$23)/1000000)+((E26*DATA!$D$24)/1000000)</f>
        <v>90.842736000000002</v>
      </c>
      <c r="M26" s="316">
        <f t="shared" si="2"/>
        <v>90.842736000000002</v>
      </c>
      <c r="N26" s="316">
        <f t="shared" ca="1" si="6"/>
        <v>11.981013738871255</v>
      </c>
      <c r="O26" s="315">
        <f>1/(1+'[93]Asumsi I'!$C$3)^(KKF!A26)</f>
        <v>0.1161067768903709</v>
      </c>
      <c r="P26" s="316">
        <f t="shared" ca="1" si="7"/>
        <v>1.3910768890995933</v>
      </c>
      <c r="Q26" s="316">
        <f t="shared" ca="1" si="9"/>
        <v>-263.19685322260875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62880</v>
      </c>
      <c r="D27" s="316">
        <f t="shared" si="5"/>
        <v>10480</v>
      </c>
      <c r="E27" s="316">
        <f t="shared" si="0"/>
        <v>52400</v>
      </c>
      <c r="F27" s="314"/>
      <c r="G27" s="318">
        <f ca="1">DATA!$D$11/1000000</f>
        <v>9.1581192608599977</v>
      </c>
      <c r="H27" s="318">
        <f>C27*DATA!$D$5/1000000</f>
        <v>68.169782885348411</v>
      </c>
      <c r="I27" s="318">
        <f>(C27*DATA!$D$5*DATA!$D$7)/1000000</f>
        <v>1.533820114920339</v>
      </c>
      <c r="J27" s="316">
        <f t="shared" ca="1" si="1"/>
        <v>78.861722261128747</v>
      </c>
      <c r="K27" s="314"/>
      <c r="L27" s="316">
        <f>((D27*DATA!$D$23)/1000000)+((E27*DATA!$D$24)/1000000)</f>
        <v>90.842736000000002</v>
      </c>
      <c r="M27" s="316">
        <f t="shared" si="2"/>
        <v>90.842736000000002</v>
      </c>
      <c r="N27" s="316">
        <f t="shared" ca="1" si="6"/>
        <v>11.981013738871255</v>
      </c>
      <c r="O27" s="315">
        <f>1/(1+'[93]Asumsi I'!$C$3)^(KKF!A27)</f>
        <v>0.1036667650806883</v>
      </c>
      <c r="P27" s="316">
        <f t="shared" ca="1" si="7"/>
        <v>1.2420329366960654</v>
      </c>
      <c r="Q27" s="316">
        <f t="shared" ca="1" si="9"/>
        <v>-261.95482028591266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62880</v>
      </c>
      <c r="D28" s="316">
        <f t="shared" si="5"/>
        <v>10480</v>
      </c>
      <c r="E28" s="316">
        <f t="shared" si="0"/>
        <v>52400</v>
      </c>
      <c r="F28" s="314"/>
      <c r="G28" s="318">
        <f ca="1">DATA!$D$11/1000000</f>
        <v>9.1581192608599977</v>
      </c>
      <c r="H28" s="318">
        <f>C28*DATA!$D$5/1000000</f>
        <v>68.169782885348411</v>
      </c>
      <c r="I28" s="318">
        <f>(C28*DATA!$D$5*DATA!$D$7)/1000000</f>
        <v>1.533820114920339</v>
      </c>
      <c r="J28" s="316">
        <f t="shared" ca="1" si="1"/>
        <v>78.861722261128747</v>
      </c>
      <c r="K28" s="314"/>
      <c r="L28" s="316">
        <f>((D28*DATA!$D$23)/1000000)+((E28*DATA!$D$24)/1000000)</f>
        <v>90.842736000000002</v>
      </c>
      <c r="M28" s="316">
        <f t="shared" si="2"/>
        <v>90.842736000000002</v>
      </c>
      <c r="N28" s="316">
        <f t="shared" ca="1" si="6"/>
        <v>11.981013738871255</v>
      </c>
      <c r="O28" s="315">
        <f>1/(1+'[93]Asumsi I'!$C$3)^(KKF!A28)</f>
        <v>9.2559611679185971E-2</v>
      </c>
      <c r="P28" s="316">
        <f t="shared" ca="1" si="7"/>
        <v>1.1089579791929154</v>
      </c>
      <c r="Q28" s="316">
        <f t="shared" ca="1" si="9"/>
        <v>-260.84586230671977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62880</v>
      </c>
      <c r="D29" s="316">
        <f t="shared" si="5"/>
        <v>10480</v>
      </c>
      <c r="E29" s="316">
        <f t="shared" si="0"/>
        <v>52400</v>
      </c>
      <c r="F29" s="314"/>
      <c r="G29" s="318">
        <f ca="1">DATA!$D$11/1000000</f>
        <v>9.1581192608599977</v>
      </c>
      <c r="H29" s="318">
        <f>C29*DATA!$D$5/1000000</f>
        <v>68.169782885348411</v>
      </c>
      <c r="I29" s="318">
        <f>(C29*DATA!$D$5*DATA!$D$7)/1000000</f>
        <v>1.533820114920339</v>
      </c>
      <c r="J29" s="316">
        <f t="shared" ca="1" si="1"/>
        <v>78.861722261128747</v>
      </c>
      <c r="K29" s="314"/>
      <c r="L29" s="316">
        <f>((D29*DATA!$D$23)/1000000)+((E29*DATA!$D$24)/1000000)</f>
        <v>90.842736000000002</v>
      </c>
      <c r="M29" s="316">
        <f t="shared" si="2"/>
        <v>90.842736000000002</v>
      </c>
      <c r="N29" s="316">
        <f t="shared" ca="1" si="6"/>
        <v>11.981013738871255</v>
      </c>
      <c r="O29" s="315">
        <f>1/(1+'[93]Asumsi I'!$C$3)^(KKF!A29)</f>
        <v>8.2642510427844609E-2</v>
      </c>
      <c r="P29" s="316">
        <f t="shared" ca="1" si="7"/>
        <v>0.99014105285081722</v>
      </c>
      <c r="Q29" s="316">
        <f t="shared" ca="1" si="9"/>
        <v>-259.85572125386892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62880</v>
      </c>
      <c r="D30" s="316">
        <f t="shared" si="5"/>
        <v>10480</v>
      </c>
      <c r="E30" s="316">
        <f t="shared" si="0"/>
        <v>52400</v>
      </c>
      <c r="F30" s="314"/>
      <c r="G30" s="318">
        <f ca="1">DATA!$D$11/1000000</f>
        <v>9.1581192608599977</v>
      </c>
      <c r="H30" s="318">
        <f>C30*DATA!$D$5/1000000</f>
        <v>68.169782885348411</v>
      </c>
      <c r="I30" s="318">
        <f>(C30*DATA!$D$5*DATA!$D$7)/1000000</f>
        <v>1.533820114920339</v>
      </c>
      <c r="J30" s="316">
        <f t="shared" ca="1" si="1"/>
        <v>78.861722261128747</v>
      </c>
      <c r="K30" s="314"/>
      <c r="L30" s="316">
        <f>((D30*DATA!$D$23)/1000000)+((E30*DATA!$D$24)/1000000)</f>
        <v>90.842736000000002</v>
      </c>
      <c r="M30" s="316">
        <f t="shared" si="2"/>
        <v>90.842736000000002</v>
      </c>
      <c r="N30" s="316">
        <f t="shared" ca="1" si="6"/>
        <v>11.981013738871255</v>
      </c>
      <c r="O30" s="315">
        <f>1/(1+'[93]Asumsi I'!$C$3)^(KKF!A30)</f>
        <v>7.3787955739146982E-2</v>
      </c>
      <c r="P30" s="316">
        <f t="shared" ca="1" si="7"/>
        <v>0.88405451147394409</v>
      </c>
      <c r="Q30" s="316">
        <f t="shared" ca="1" si="9"/>
        <v>-258.97166674239497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62880</v>
      </c>
      <c r="D31" s="316">
        <f t="shared" si="5"/>
        <v>10480</v>
      </c>
      <c r="E31" s="316">
        <f t="shared" si="0"/>
        <v>52400</v>
      </c>
      <c r="F31" s="314"/>
      <c r="G31" s="318">
        <f ca="1">DATA!$D$11/1000000</f>
        <v>9.1581192608599977</v>
      </c>
      <c r="H31" s="318">
        <f>C31*DATA!$D$5/1000000</f>
        <v>68.169782885348411</v>
      </c>
      <c r="I31" s="318">
        <f>(C31*DATA!$D$5*DATA!$D$7)/1000000</f>
        <v>1.533820114920339</v>
      </c>
      <c r="J31" s="316">
        <f t="shared" ca="1" si="1"/>
        <v>78.861722261128747</v>
      </c>
      <c r="K31" s="314"/>
      <c r="L31" s="316">
        <f>((D31*DATA!$D$23)/1000000)+((E31*DATA!$D$24)/1000000)</f>
        <v>90.842736000000002</v>
      </c>
      <c r="M31" s="316">
        <f t="shared" si="2"/>
        <v>90.842736000000002</v>
      </c>
      <c r="N31" s="316">
        <f t="shared" ca="1" si="6"/>
        <v>11.981013738871255</v>
      </c>
      <c r="O31" s="315">
        <f>1/(1+'[93]Asumsi I'!$C$3)^(KKF!A31)</f>
        <v>6.5882103338524081E-2</v>
      </c>
      <c r="P31" s="316">
        <f t="shared" ca="1" si="7"/>
        <v>0.78933438524459276</v>
      </c>
      <c r="Q31" s="316">
        <f ca="1">Q30+P31</f>
        <v>-258.18233235715036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62880</v>
      </c>
      <c r="D32" s="316">
        <f t="shared" si="5"/>
        <v>10480</v>
      </c>
      <c r="E32" s="316">
        <f t="shared" si="0"/>
        <v>52400</v>
      </c>
      <c r="F32" s="314"/>
      <c r="G32" s="318">
        <f ca="1">DATA!$D$11/1000000</f>
        <v>9.1581192608599977</v>
      </c>
      <c r="H32" s="318">
        <f>C32*DATA!$D$5/1000000</f>
        <v>68.169782885348411</v>
      </c>
      <c r="I32" s="318">
        <f>(C32*DATA!$D$5*DATA!$D$7)/1000000</f>
        <v>1.533820114920339</v>
      </c>
      <c r="J32" s="316">
        <f t="shared" ca="1" si="1"/>
        <v>78.861722261128747</v>
      </c>
      <c r="K32" s="314"/>
      <c r="L32" s="316">
        <f>((D32*DATA!$D$23)/1000000)+((E32*DATA!$D$24)/1000000)</f>
        <v>90.842736000000002</v>
      </c>
      <c r="M32" s="316">
        <f t="shared" si="2"/>
        <v>90.842736000000002</v>
      </c>
      <c r="N32" s="316">
        <f t="shared" ca="1" si="6"/>
        <v>11.981013738871255</v>
      </c>
      <c r="O32" s="315">
        <f>1/(1+'[93]Asumsi I'!$C$3)^(KKF!A32)</f>
        <v>5.8823306552253637E-2</v>
      </c>
      <c r="P32" s="316">
        <f t="shared" ca="1" si="7"/>
        <v>0.70476284396838629</v>
      </c>
      <c r="Q32" s="316">
        <f ca="1">Q31+P32</f>
        <v>-257.47756951318195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31" t="s">
        <v>1374</v>
      </c>
      <c r="G33" s="631"/>
      <c r="H33" s="631"/>
      <c r="I33" s="324"/>
      <c r="J33" s="325">
        <f ca="1">SUM(J7:J32)</f>
        <v>2485.0762074989248</v>
      </c>
      <c r="K33" s="631" t="s">
        <v>1375</v>
      </c>
      <c r="L33" s="631"/>
      <c r="M33" s="325">
        <f>SUM(M7:M32)</f>
        <v>2433.155224000001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42.862245396196869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0.97910688479401642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-229.89068706534101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-1.1936756771518064E-2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47" priority="1" stopIfTrue="1" operator="greaterThanOrEqual">
      <formula>$F$7</formula>
    </cfRule>
    <cfRule type="cellIs" dxfId="46" priority="2" stopIfTrue="1" operator="lessThan">
      <formula>$F$7</formula>
    </cfRule>
  </conditionalFormatting>
  <conditionalFormatting sqref="Q7:Q32">
    <cfRule type="cellIs" dxfId="45" priority="3" operator="lessThan">
      <formula>0</formula>
    </cfRule>
    <cfRule type="cellIs" dxfId="44" priority="4" operator="lessThan">
      <formula>0</formula>
    </cfRule>
    <cfRule type="cellIs" dxfId="43" priority="5" operator="lessThan">
      <formula>-6395.81</formula>
    </cfRule>
    <cfRule type="cellIs" dxfId="4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38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M186" sqref="M186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3" customWidth="1"/>
    <col min="4" max="4" width="13.7109375" style="41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4" t="s">
        <v>1036</v>
      </c>
      <c r="P3" s="634"/>
      <c r="Q3" s="346"/>
      <c r="T3" s="344"/>
      <c r="U3" s="345" t="s">
        <v>1041</v>
      </c>
      <c r="V3" s="344"/>
    </row>
    <row r="4" spans="1:22" ht="18.75">
      <c r="B4" s="635" t="s">
        <v>1023</v>
      </c>
      <c r="C4" s="635"/>
      <c r="D4" s="635"/>
      <c r="E4" s="635"/>
      <c r="F4" s="635"/>
      <c r="G4" s="635"/>
      <c r="H4" s="635"/>
      <c r="I4" s="635"/>
      <c r="J4" s="635"/>
      <c r="K4" s="635"/>
      <c r="O4" s="634"/>
      <c r="P4" s="63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51" t="str">
        <f>DATA!D14</f>
        <v>AGR IMAM SISWANTO DS. GEMPOL DENOK</v>
      </c>
      <c r="H6" s="651"/>
      <c r="I6" s="651"/>
      <c r="J6" s="651"/>
      <c r="K6" s="65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1652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1553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37" t="s">
        <v>0</v>
      </c>
      <c r="C11" s="639" t="s">
        <v>1</v>
      </c>
      <c r="D11" s="642" t="s">
        <v>42</v>
      </c>
      <c r="E11" s="642" t="s">
        <v>43</v>
      </c>
      <c r="F11" s="642" t="s">
        <v>2</v>
      </c>
      <c r="G11" s="644" t="s">
        <v>41</v>
      </c>
      <c r="H11" s="642" t="s">
        <v>3</v>
      </c>
      <c r="I11" s="642"/>
      <c r="J11" s="642"/>
      <c r="K11" s="661"/>
      <c r="O11" s="351"/>
      <c r="P11" s="352"/>
      <c r="Q11" s="351"/>
      <c r="S11" s="353"/>
      <c r="T11" s="354"/>
      <c r="U11" s="354"/>
      <c r="V11" s="354"/>
    </row>
    <row r="12" spans="1:22">
      <c r="B12" s="638"/>
      <c r="C12" s="640"/>
      <c r="D12" s="643"/>
      <c r="E12" s="643"/>
      <c r="F12" s="643"/>
      <c r="G12" s="645"/>
      <c r="H12" s="647" t="s">
        <v>46</v>
      </c>
      <c r="I12" s="647" t="s">
        <v>5</v>
      </c>
      <c r="J12" s="643" t="s">
        <v>47</v>
      </c>
      <c r="K12" s="662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38"/>
      <c r="C13" s="641"/>
      <c r="D13" s="643"/>
      <c r="E13" s="643"/>
      <c r="F13" s="643"/>
      <c r="G13" s="646"/>
      <c r="H13" s="648"/>
      <c r="I13" s="648"/>
      <c r="J13" s="643"/>
      <c r="K13" s="662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35" ca="1" si="8">IF(OR(D16="MDU",D16="MDU-KD"),(IF($O$3="RAB NON MDU","PLN KD",G16*F16)),0)</f>
        <v>0</v>
      </c>
      <c r="I16" s="361">
        <f t="shared" ref="I16:I35" ca="1" si="9">IF(D16="HDW",G16*F16,0)</f>
        <v>0</v>
      </c>
      <c r="J16" s="361">
        <f t="shared" ref="J16:J35" ca="1" si="10">IF(D16="JASA",G16*F16,0)</f>
        <v>0</v>
      </c>
      <c r="K16" s="362">
        <f t="shared" ref="K16:K35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19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8"/>
        <v>0</v>
      </c>
      <c r="I17" s="361">
        <f t="shared" ca="1" si="9"/>
        <v>110200000</v>
      </c>
      <c r="J17" s="361">
        <f t="shared" ca="1" si="10"/>
        <v>0</v>
      </c>
      <c r="K17" s="362">
        <f t="shared" ca="1" si="11"/>
        <v>110200000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56">
        <v>2</v>
      </c>
      <c r="C18" s="109" t="s">
        <v>104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506">
        <v>2</v>
      </c>
      <c r="G18" s="360">
        <f ca="1">IF(ISERROR(OFFSET('HARGA SATUAN'!$I$6,MATCH(RAB!C18,'HARGA SATUAN'!$C$7:$C$1492,0),0)),0,OFFSET('HARGA SATUAN'!$I$6,MATCH(RAB!C18,'HARGA SATUAN'!$C$7:$C$1492,0),0))</f>
        <v>6074400</v>
      </c>
      <c r="H18" s="361">
        <f t="shared" ca="1" si="8"/>
        <v>0</v>
      </c>
      <c r="I18" s="361">
        <f t="shared" ca="1" si="9"/>
        <v>12148800</v>
      </c>
      <c r="J18" s="361">
        <f t="shared" ca="1" si="10"/>
        <v>0</v>
      </c>
      <c r="K18" s="362">
        <f t="shared" ca="1" si="11"/>
        <v>12148800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56">
        <v>4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506">
        <v>21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8"/>
        <v>0</v>
      </c>
      <c r="I19" s="361">
        <f t="shared" ca="1" si="9"/>
        <v>0</v>
      </c>
      <c r="J19" s="361">
        <f t="shared" ca="1" si="10"/>
        <v>211400.00000000003</v>
      </c>
      <c r="K19" s="362">
        <f t="shared" ca="1" si="11"/>
        <v>211400.00000000003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56">
        <v>5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506">
        <v>2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8"/>
        <v>0</v>
      </c>
      <c r="I20" s="361">
        <f t="shared" ca="1" si="9"/>
        <v>400000</v>
      </c>
      <c r="J20" s="361">
        <f t="shared" ca="1" si="10"/>
        <v>0</v>
      </c>
      <c r="K20" s="362">
        <f t="shared" ca="1" si="11"/>
        <v>400000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56"/>
      <c r="C21" s="357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 t="e">
        <f>IF(AND(C22=0,#REF!=0,#REF!=0),"BLANKS",1)</f>
        <v>#REF!</v>
      </c>
      <c r="B22" s="371" t="s">
        <v>1456</v>
      </c>
      <c r="C22" s="372" t="s">
        <v>1625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8"/>
        <v>0</v>
      </c>
      <c r="I22" s="361">
        <f t="shared" ca="1" si="9"/>
        <v>0</v>
      </c>
      <c r="J22" s="361">
        <f t="shared" ca="1" si="10"/>
        <v>0</v>
      </c>
      <c r="K22" s="362">
        <f t="shared" ca="1" si="11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497"/>
      <c r="C23" s="498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07" t="s">
        <v>1035</v>
      </c>
      <c r="C24" s="508" t="s">
        <v>1621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84">
        <v>16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8"/>
        <v>0</v>
      </c>
      <c r="I24" s="361">
        <f t="shared" ca="1" si="9"/>
        <v>0</v>
      </c>
      <c r="J24" s="361">
        <f t="shared" ca="1" si="10"/>
        <v>0</v>
      </c>
      <c r="K24" s="362">
        <f t="shared" ca="1" si="11"/>
        <v>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07">
        <v>1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84">
        <f>F24*1</f>
        <v>16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8"/>
        <v>2830400</v>
      </c>
      <c r="I25" s="361">
        <f t="shared" ca="1" si="9"/>
        <v>0</v>
      </c>
      <c r="J25" s="361">
        <f t="shared" ca="1" si="10"/>
        <v>0</v>
      </c>
      <c r="K25" s="362">
        <f t="shared" ca="1" si="11"/>
        <v>2830400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07">
        <v>2</v>
      </c>
      <c r="C26" s="109" t="s">
        <v>1129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84">
        <f>F24*2</f>
        <v>32</v>
      </c>
      <c r="G26" s="360">
        <f ca="1">IF(ISERROR(OFFSET('HARGA SATUAN'!$I$6,MATCH(RAB!C26,'HARGA SATUAN'!$C$7:$C$1492,0),0)),0,OFFSET('HARGA SATUAN'!$I$6,MATCH(RAB!C26,'HARGA SATUAN'!$C$7:$C$1492,0),0))</f>
        <v>176900</v>
      </c>
      <c r="H26" s="361">
        <f t="shared" ca="1" si="8"/>
        <v>5660800</v>
      </c>
      <c r="I26" s="361">
        <f t="shared" ca="1" si="9"/>
        <v>0</v>
      </c>
      <c r="J26" s="361">
        <f t="shared" ca="1" si="10"/>
        <v>0</v>
      </c>
      <c r="K26" s="362">
        <f t="shared" ca="1" si="11"/>
        <v>5660800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07">
        <v>3</v>
      </c>
      <c r="C27" s="508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84">
        <f>F24*3</f>
        <v>48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8"/>
        <v>0</v>
      </c>
      <c r="I27" s="361">
        <f t="shared" ca="1" si="9"/>
        <v>1272000</v>
      </c>
      <c r="J27" s="361">
        <f t="shared" ca="1" si="10"/>
        <v>0</v>
      </c>
      <c r="K27" s="362">
        <f t="shared" ca="1" si="11"/>
        <v>1272000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07">
        <v>4</v>
      </c>
      <c r="C28" s="508" t="s">
        <v>163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84">
        <f>F24*2</f>
        <v>32</v>
      </c>
      <c r="G28" s="360">
        <f ca="1">IF(ISERROR(OFFSET('HARGA SATUAN'!$I$6,MATCH(RAB!C28,'HARGA SATUAN'!$C$7:$C$1492,0),0)),0,OFFSET('HARGA SATUAN'!$I$6,MATCH(RAB!C28,'HARGA SATUAN'!$C$7:$C$1492,0),0))</f>
        <v>7938</v>
      </c>
      <c r="H28" s="361">
        <f t="shared" ca="1" si="8"/>
        <v>0</v>
      </c>
      <c r="I28" s="361">
        <f t="shared" ca="1" si="9"/>
        <v>254016</v>
      </c>
      <c r="J28" s="361">
        <f t="shared" ca="1" si="10"/>
        <v>0</v>
      </c>
      <c r="K28" s="362">
        <f t="shared" ca="1" si="11"/>
        <v>254016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07">
        <v>5</v>
      </c>
      <c r="C29" s="508" t="s">
        <v>168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84">
        <f>F24*1</f>
        <v>16</v>
      </c>
      <c r="G29" s="360">
        <f ca="1">IF(ISERROR(OFFSET('HARGA SATUAN'!$I$6,MATCH(RAB!C29,'HARGA SATUAN'!$C$7:$C$1492,0),0)),0,OFFSET('HARGA SATUAN'!$I$6,MATCH(RAB!C29,'HARGA SATUAN'!$C$7:$C$1492,0),0))</f>
        <v>33600</v>
      </c>
      <c r="H29" s="361">
        <f t="shared" ca="1" si="8"/>
        <v>0</v>
      </c>
      <c r="I29" s="361">
        <f t="shared" ca="1" si="9"/>
        <v>537600</v>
      </c>
      <c r="J29" s="361">
        <f t="shared" ca="1" si="10"/>
        <v>0</v>
      </c>
      <c r="K29" s="362">
        <f t="shared" ca="1" si="11"/>
        <v>537600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07">
        <v>6</v>
      </c>
      <c r="C30" s="508" t="s">
        <v>173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84">
        <f>F24*2</f>
        <v>32</v>
      </c>
      <c r="G30" s="360">
        <f ca="1">IF(ISERROR(OFFSET('HARGA SATUAN'!$I$6,MATCH(RAB!C30,'HARGA SATUAN'!$C$7:$C$1492,0),0)),0,OFFSET('HARGA SATUAN'!$I$6,MATCH(RAB!C30,'HARGA SATUAN'!$C$7:$C$1492,0),0))</f>
        <v>45000</v>
      </c>
      <c r="H30" s="361">
        <f t="shared" ca="1" si="8"/>
        <v>0</v>
      </c>
      <c r="I30" s="361">
        <f t="shared" ca="1" si="9"/>
        <v>1440000</v>
      </c>
      <c r="J30" s="361">
        <f t="shared" ca="1" si="10"/>
        <v>0</v>
      </c>
      <c r="K30" s="362">
        <f t="shared" ca="1" si="11"/>
        <v>1440000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07">
        <v>7</v>
      </c>
      <c r="C31" s="508" t="s">
        <v>178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84">
        <f>F24*1</f>
        <v>16</v>
      </c>
      <c r="G31" s="360">
        <f ca="1">IF(ISERROR(OFFSET('HARGA SATUAN'!$I$6,MATCH(RAB!C31,'HARGA SATUAN'!$C$7:$C$1492,0),0)),0,OFFSET('HARGA SATUAN'!$I$6,MATCH(RAB!C31,'HARGA SATUAN'!$C$7:$C$1492,0),0))</f>
        <v>95000</v>
      </c>
      <c r="H31" s="361">
        <f t="shared" ca="1" si="8"/>
        <v>0</v>
      </c>
      <c r="I31" s="361">
        <f t="shared" ca="1" si="9"/>
        <v>1520000</v>
      </c>
      <c r="J31" s="361">
        <f t="shared" ca="1" si="10"/>
        <v>0</v>
      </c>
      <c r="K31" s="362">
        <f t="shared" ca="1" si="11"/>
        <v>1520000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07">
        <v>8</v>
      </c>
      <c r="C32" s="508" t="s">
        <v>593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84">
        <f>F24*1</f>
        <v>16</v>
      </c>
      <c r="G32" s="360">
        <f ca="1">IF(ISERROR(OFFSET('HARGA SATUAN'!$I$6,MATCH(RAB!C32,'HARGA SATUAN'!$C$7:$C$1492,0),0)),0,OFFSET('HARGA SATUAN'!$I$6,MATCH(RAB!C32,'HARGA SATUAN'!$C$7:$C$1492,0),0))</f>
        <v>380500</v>
      </c>
      <c r="H32" s="361">
        <f t="shared" ca="1" si="8"/>
        <v>0</v>
      </c>
      <c r="I32" s="361">
        <f t="shared" ca="1" si="9"/>
        <v>6088000</v>
      </c>
      <c r="J32" s="361">
        <f t="shared" ca="1" si="10"/>
        <v>0</v>
      </c>
      <c r="K32" s="362">
        <f t="shared" ca="1" si="11"/>
        <v>6088000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07">
        <v>9</v>
      </c>
      <c r="C33" s="508" t="s">
        <v>217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4">
        <f>F24*4</f>
        <v>64</v>
      </c>
      <c r="G33" s="360">
        <f ca="1">IF(ISERROR(OFFSET('HARGA SATUAN'!$I$6,MATCH(RAB!C33,'HARGA SATUAN'!$C$7:$C$1492,0),0)),0,OFFSET('HARGA SATUAN'!$I$6,MATCH(RAB!C33,'HARGA SATUAN'!$C$7:$C$1492,0),0))</f>
        <v>11400</v>
      </c>
      <c r="H33" s="361">
        <f t="shared" ca="1" si="8"/>
        <v>0</v>
      </c>
      <c r="I33" s="361">
        <f t="shared" ca="1" si="9"/>
        <v>729600</v>
      </c>
      <c r="J33" s="361">
        <f t="shared" ca="1" si="10"/>
        <v>0</v>
      </c>
      <c r="K33" s="362">
        <f t="shared" ca="1" si="11"/>
        <v>729600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07">
        <v>10</v>
      </c>
      <c r="C34" s="508" t="s">
        <v>247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4">
        <f>F24*1</f>
        <v>16</v>
      </c>
      <c r="G34" s="360">
        <f ca="1">IF(ISERROR(OFFSET('HARGA SATUAN'!$I$6,MATCH(RAB!C34,'HARGA SATUAN'!$C$7:$C$1492,0),0)),0,OFFSET('HARGA SATUAN'!$I$6,MATCH(RAB!C34,'HARGA SATUAN'!$C$7:$C$1492,0),0))</f>
        <v>57690</v>
      </c>
      <c r="H34" s="361">
        <f t="shared" ca="1" si="8"/>
        <v>0</v>
      </c>
      <c r="I34" s="361">
        <f t="shared" ca="1" si="9"/>
        <v>923040</v>
      </c>
      <c r="J34" s="361">
        <f t="shared" ca="1" si="10"/>
        <v>0</v>
      </c>
      <c r="K34" s="362">
        <f t="shared" ca="1" si="11"/>
        <v>923040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07">
        <v>11</v>
      </c>
      <c r="C35" s="508" t="s">
        <v>264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4">
        <f>F24*1</f>
        <v>16</v>
      </c>
      <c r="G35" s="360">
        <f ca="1">IF(ISERROR(OFFSET('HARGA SATUAN'!$I$6,MATCH(RAB!C35,'HARGA SATUAN'!$C$7:$C$1492,0),0)),0,OFFSET('HARGA SATUAN'!$I$6,MATCH(RAB!C35,'HARGA SATUAN'!$C$7:$C$1492,0),0))</f>
        <v>28000</v>
      </c>
      <c r="H35" s="361">
        <f t="shared" ca="1" si="8"/>
        <v>0</v>
      </c>
      <c r="I35" s="361">
        <f t="shared" ca="1" si="9"/>
        <v>448000</v>
      </c>
      <c r="J35" s="361">
        <f t="shared" ca="1" si="10"/>
        <v>0</v>
      </c>
      <c r="K35" s="362">
        <f t="shared" ca="1" si="11"/>
        <v>448000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07">
        <v>12</v>
      </c>
      <c r="C36" s="508" t="s">
        <v>38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84">
        <f>6.2*F24</f>
        <v>99.2</v>
      </c>
      <c r="G36" s="360">
        <f ca="1">IF(ISERROR(OFFSET('HARGA SATUAN'!$I$6,MATCH(RAB!C36,'HARGA SATUAN'!$C$7:$C$1492,0),0)),0,OFFSET('HARGA SATUAN'!$I$6,MATCH(RAB!C36,'HARGA SATUAN'!$C$7:$C$1492,0),0))</f>
        <v>8550</v>
      </c>
      <c r="H36" s="361">
        <f t="shared" ref="H36:H39" ca="1" si="12">IF(OR(D36="MDU",D36="MDU-KD"),(IF($O$3="RAB NON MDU","PLN KD",G36*F36)),0)</f>
        <v>0</v>
      </c>
      <c r="I36" s="361">
        <f t="shared" ref="I36:I39" ca="1" si="13">IF(D36="HDW",G36*F36,0)</f>
        <v>848160</v>
      </c>
      <c r="J36" s="361">
        <f t="shared" ref="J36:J39" ca="1" si="14">IF(D36="JASA",G36*F36,0)</f>
        <v>0</v>
      </c>
      <c r="K36" s="362">
        <f t="shared" ref="K36:K39" ca="1" si="15">SUM(H36:J36)</f>
        <v>848160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07">
        <v>13</v>
      </c>
      <c r="C37" s="508" t="s">
        <v>26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84">
        <f>F24*5</f>
        <v>80</v>
      </c>
      <c r="G37" s="360">
        <f ca="1">IF(ISERROR(OFFSET('HARGA SATUAN'!$I$6,MATCH(RAB!C37,'HARGA SATUAN'!$C$7:$C$1492,0),0)),0,OFFSET('HARGA SATUAN'!$I$6,MATCH(RAB!C37,'HARGA SATUAN'!$C$7:$C$1492,0),0))</f>
        <v>2500</v>
      </c>
      <c r="H37" s="361">
        <f t="shared" ca="1" si="12"/>
        <v>0</v>
      </c>
      <c r="I37" s="361">
        <f t="shared" ca="1" si="13"/>
        <v>200000</v>
      </c>
      <c r="J37" s="361">
        <f t="shared" ca="1" si="14"/>
        <v>0</v>
      </c>
      <c r="K37" s="362">
        <f t="shared" ca="1" si="15"/>
        <v>200000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07">
        <v>14</v>
      </c>
      <c r="C38" s="508" t="s">
        <v>687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484">
        <f>F24*1</f>
        <v>16</v>
      </c>
      <c r="G38" s="360">
        <f ca="1">IF(ISERROR(OFFSET('HARGA SATUAN'!$I$6,MATCH(RAB!C38,'HARGA SATUAN'!$C$7:$C$1492,0),0)),0,OFFSET('HARGA SATUAN'!$I$6,MATCH(RAB!C38,'HARGA SATUAN'!$C$7:$C$1492,0),0))</f>
        <v>111000</v>
      </c>
      <c r="H38" s="361">
        <f t="shared" ca="1" si="12"/>
        <v>0</v>
      </c>
      <c r="I38" s="361">
        <f t="shared" ca="1" si="13"/>
        <v>0</v>
      </c>
      <c r="J38" s="361">
        <f t="shared" ca="1" si="14"/>
        <v>1776000</v>
      </c>
      <c r="K38" s="362">
        <f t="shared" ca="1" si="15"/>
        <v>1776000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01"/>
      <c r="C39" s="502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484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2"/>
        <v>0</v>
      </c>
      <c r="I39" s="361">
        <f t="shared" ca="1" si="13"/>
        <v>0</v>
      </c>
      <c r="J39" s="361">
        <f t="shared" ca="1" si="14"/>
        <v>0</v>
      </c>
      <c r="K39" s="362">
        <f t="shared" ca="1" si="15"/>
        <v>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507" t="s">
        <v>1035</v>
      </c>
      <c r="C40" s="508" t="s">
        <v>1622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506">
        <v>2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ref="H40:H51" ca="1" si="16">IF(OR(D40="MDU",D40="MDU-KD"),(IF($O$3="RAB NON MDU","PLN KD",G40*F40)),0)</f>
        <v>0</v>
      </c>
      <c r="I40" s="361">
        <f t="shared" ref="I40:I51" ca="1" si="17">IF(D40="HDW",G40*F40,0)</f>
        <v>0</v>
      </c>
      <c r="J40" s="361">
        <f t="shared" ref="J40:J51" ca="1" si="18">IF(D40="JASA",G40*F40,0)</f>
        <v>0</v>
      </c>
      <c r="K40" s="362">
        <f t="shared" ref="K40:K51" ca="1" si="19">SUM(H40:J40)</f>
        <v>0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70" customFormat="1">
      <c r="A41" s="336"/>
      <c r="B41" s="507">
        <v>1</v>
      </c>
      <c r="C41" s="109" t="s">
        <v>1569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Set</v>
      </c>
      <c r="F41" s="506">
        <f>F40*3</f>
        <v>6</v>
      </c>
      <c r="G41" s="360">
        <f ca="1">IF(ISERROR(OFFSET('HARGA SATUAN'!$I$6,MATCH(RAB!C41,'HARGA SATUAN'!$C$7:$C$1492,0),0)),0,OFFSET('HARGA SATUAN'!$I$6,MATCH(RAB!C41,'HARGA SATUAN'!$C$7:$C$1492,0),0))</f>
        <v>205700</v>
      </c>
      <c r="H41" s="361">
        <f t="shared" ca="1" si="16"/>
        <v>1234200</v>
      </c>
      <c r="I41" s="361">
        <f t="shared" ca="1" si="17"/>
        <v>0</v>
      </c>
      <c r="J41" s="361">
        <f t="shared" ca="1" si="18"/>
        <v>0</v>
      </c>
      <c r="K41" s="362">
        <f t="shared" ca="1" si="19"/>
        <v>1234200</v>
      </c>
      <c r="L41" s="369"/>
      <c r="M41" s="369"/>
      <c r="N41" s="369"/>
      <c r="O41" s="363"/>
      <c r="P41" s="363"/>
      <c r="Q41" s="344"/>
      <c r="R41" s="336"/>
      <c r="S41" s="364"/>
      <c r="T41" s="341"/>
      <c r="U41" s="341"/>
      <c r="V41" s="341"/>
    </row>
    <row r="42" spans="1:22" s="370" customFormat="1">
      <c r="A42" s="336"/>
      <c r="B42" s="507">
        <v>2</v>
      </c>
      <c r="C42" s="508" t="s">
        <v>152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Mtr</v>
      </c>
      <c r="F42" s="506">
        <f>F40*1</f>
        <v>2</v>
      </c>
      <c r="G42" s="360">
        <f ca="1">IF(ISERROR(OFFSET('HARGA SATUAN'!$I$6,MATCH(RAB!C42,'HARGA SATUAN'!$C$7:$C$1492,0),0)),0,OFFSET('HARGA SATUAN'!$I$6,MATCH(RAB!C42,'HARGA SATUAN'!$C$7:$C$1492,0),0))</f>
        <v>7789</v>
      </c>
      <c r="H42" s="361">
        <f t="shared" ca="1" si="16"/>
        <v>0</v>
      </c>
      <c r="I42" s="361">
        <f t="shared" ca="1" si="17"/>
        <v>15578</v>
      </c>
      <c r="J42" s="361">
        <f t="shared" ca="1" si="18"/>
        <v>0</v>
      </c>
      <c r="K42" s="362">
        <f t="shared" ca="1" si="19"/>
        <v>15578</v>
      </c>
      <c r="L42" s="369"/>
      <c r="M42" s="369"/>
      <c r="N42" s="369"/>
      <c r="O42" s="363"/>
      <c r="P42" s="363"/>
      <c r="Q42" s="344"/>
      <c r="R42" s="336"/>
      <c r="S42" s="364"/>
      <c r="T42" s="341"/>
      <c r="U42" s="341"/>
      <c r="V42" s="341"/>
    </row>
    <row r="43" spans="1:22" s="370" customFormat="1">
      <c r="A43" s="336"/>
      <c r="B43" s="507">
        <v>3</v>
      </c>
      <c r="C43" s="508" t="s">
        <v>157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6">
        <f>F40*2</f>
        <v>4</v>
      </c>
      <c r="G43" s="360">
        <f ca="1">IF(ISERROR(OFFSET('HARGA SATUAN'!$I$6,MATCH(RAB!C43,'HARGA SATUAN'!$C$7:$C$1492,0),0)),0,OFFSET('HARGA SATUAN'!$I$6,MATCH(RAB!C43,'HARGA SATUAN'!$C$7:$C$1492,0),0))</f>
        <v>40000</v>
      </c>
      <c r="H43" s="361">
        <f t="shared" ca="1" si="16"/>
        <v>0</v>
      </c>
      <c r="I43" s="361">
        <f t="shared" ca="1" si="17"/>
        <v>160000</v>
      </c>
      <c r="J43" s="361">
        <f t="shared" ca="1" si="18"/>
        <v>0</v>
      </c>
      <c r="K43" s="362">
        <f t="shared" ca="1" si="19"/>
        <v>160000</v>
      </c>
      <c r="L43" s="369"/>
      <c r="M43" s="369"/>
      <c r="N43" s="369"/>
      <c r="O43" s="363"/>
      <c r="P43" s="363"/>
      <c r="Q43" s="344"/>
      <c r="R43" s="336"/>
      <c r="S43" s="364"/>
      <c r="T43" s="341"/>
      <c r="U43" s="341"/>
      <c r="V43" s="341"/>
    </row>
    <row r="44" spans="1:22" s="370" customFormat="1">
      <c r="A44" s="336"/>
      <c r="B44" s="507">
        <v>4</v>
      </c>
      <c r="C44" s="508" t="s">
        <v>28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6">
        <f>F40*1</f>
        <v>2</v>
      </c>
      <c r="G44" s="360">
        <f ca="1">IF(ISERROR(OFFSET('HARGA SATUAN'!$I$6,MATCH(RAB!C44,'HARGA SATUAN'!$C$7:$C$1492,0),0)),0,OFFSET('HARGA SATUAN'!$I$6,MATCH(RAB!C44,'HARGA SATUAN'!$C$7:$C$1492,0),0))</f>
        <v>26500</v>
      </c>
      <c r="H44" s="361">
        <f t="shared" ca="1" si="16"/>
        <v>0</v>
      </c>
      <c r="I44" s="361">
        <f t="shared" ca="1" si="17"/>
        <v>53000</v>
      </c>
      <c r="J44" s="361">
        <f t="shared" ca="1" si="18"/>
        <v>0</v>
      </c>
      <c r="K44" s="362">
        <f t="shared" ca="1" si="19"/>
        <v>53000</v>
      </c>
      <c r="L44" s="369"/>
      <c r="M44" s="369"/>
      <c r="N44" s="369"/>
      <c r="O44" s="363"/>
      <c r="P44" s="363"/>
      <c r="Q44" s="344"/>
      <c r="R44" s="336"/>
      <c r="S44" s="364"/>
      <c r="T44" s="341"/>
      <c r="U44" s="341"/>
      <c r="V44" s="341"/>
    </row>
    <row r="45" spans="1:22" s="370" customFormat="1">
      <c r="A45" s="336"/>
      <c r="B45" s="507">
        <v>5</v>
      </c>
      <c r="C45" s="508" t="s">
        <v>163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6">
        <f>F40*4</f>
        <v>8</v>
      </c>
      <c r="G45" s="360">
        <f ca="1">IF(ISERROR(OFFSET('HARGA SATUAN'!$I$6,MATCH(RAB!C45,'HARGA SATUAN'!$C$7:$C$1492,0),0)),0,OFFSET('HARGA SATUAN'!$I$6,MATCH(RAB!C45,'HARGA SATUAN'!$C$7:$C$1492,0),0))</f>
        <v>7938</v>
      </c>
      <c r="H45" s="361">
        <f t="shared" ca="1" si="16"/>
        <v>0</v>
      </c>
      <c r="I45" s="361">
        <f t="shared" ca="1" si="17"/>
        <v>63504</v>
      </c>
      <c r="J45" s="361">
        <f t="shared" ca="1" si="18"/>
        <v>0</v>
      </c>
      <c r="K45" s="362">
        <f t="shared" ca="1" si="19"/>
        <v>63504</v>
      </c>
      <c r="L45" s="369"/>
      <c r="M45" s="369"/>
      <c r="N45" s="369"/>
      <c r="O45" s="363"/>
      <c r="P45" s="363"/>
      <c r="Q45" s="344"/>
      <c r="R45" s="336"/>
      <c r="S45" s="364"/>
      <c r="T45" s="341"/>
      <c r="U45" s="341"/>
      <c r="V45" s="341"/>
    </row>
    <row r="46" spans="1:22" s="370" customFormat="1">
      <c r="A46" s="336"/>
      <c r="B46" s="507">
        <v>6</v>
      </c>
      <c r="C46" s="508" t="s">
        <v>173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6">
        <f>F40*4</f>
        <v>8</v>
      </c>
      <c r="G46" s="360">
        <f ca="1">IF(ISERROR(OFFSET('HARGA SATUAN'!$I$6,MATCH(RAB!C46,'HARGA SATUAN'!$C$7:$C$1492,0),0)),0,OFFSET('HARGA SATUAN'!$I$6,MATCH(RAB!C46,'HARGA SATUAN'!$C$7:$C$1492,0),0))</f>
        <v>45000</v>
      </c>
      <c r="H46" s="361">
        <f t="shared" ca="1" si="16"/>
        <v>0</v>
      </c>
      <c r="I46" s="361">
        <f t="shared" ca="1" si="17"/>
        <v>360000</v>
      </c>
      <c r="J46" s="361">
        <f t="shared" ca="1" si="18"/>
        <v>0</v>
      </c>
      <c r="K46" s="362">
        <f t="shared" ca="1" si="19"/>
        <v>360000</v>
      </c>
      <c r="L46" s="369"/>
      <c r="M46" s="369"/>
      <c r="N46" s="369"/>
      <c r="O46" s="363"/>
      <c r="P46" s="363"/>
      <c r="Q46" s="344"/>
      <c r="R46" s="336"/>
      <c r="S46" s="364"/>
      <c r="T46" s="341"/>
      <c r="U46" s="341"/>
      <c r="V46" s="341"/>
    </row>
    <row r="47" spans="1:22" s="370" customFormat="1">
      <c r="A47" s="336"/>
      <c r="B47" s="507">
        <v>7</v>
      </c>
      <c r="C47" s="508" t="s">
        <v>179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6">
        <f>F40*1</f>
        <v>2</v>
      </c>
      <c r="G47" s="360">
        <f ca="1">IF(ISERROR(OFFSET('HARGA SATUAN'!$I$6,MATCH(RAB!C47,'HARGA SATUAN'!$C$7:$C$1492,0),0)),0,OFFSET('HARGA SATUAN'!$I$6,MATCH(RAB!C47,'HARGA SATUAN'!$C$7:$C$1492,0),0))</f>
        <v>15500</v>
      </c>
      <c r="H47" s="361">
        <f t="shared" ca="1" si="16"/>
        <v>0</v>
      </c>
      <c r="I47" s="361">
        <f t="shared" ca="1" si="17"/>
        <v>31000</v>
      </c>
      <c r="J47" s="361">
        <f t="shared" ca="1" si="18"/>
        <v>0</v>
      </c>
      <c r="K47" s="362">
        <f t="shared" ca="1" si="19"/>
        <v>31000</v>
      </c>
      <c r="L47" s="369"/>
      <c r="M47" s="369"/>
      <c r="N47" s="369"/>
      <c r="O47" s="363"/>
      <c r="P47" s="363"/>
      <c r="Q47" s="344"/>
      <c r="R47" s="336"/>
      <c r="S47" s="364"/>
      <c r="T47" s="341"/>
      <c r="U47" s="341"/>
      <c r="V47" s="341"/>
    </row>
    <row r="48" spans="1:22" s="370" customFormat="1">
      <c r="A48" s="336"/>
      <c r="B48" s="507">
        <v>8</v>
      </c>
      <c r="C48" s="508" t="s">
        <v>593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6">
        <f>F40*2</f>
        <v>4</v>
      </c>
      <c r="G48" s="360">
        <f ca="1">IF(ISERROR(OFFSET('HARGA SATUAN'!$I$6,MATCH(RAB!C48,'HARGA SATUAN'!$C$7:$C$1492,0),0)),0,OFFSET('HARGA SATUAN'!$I$6,MATCH(RAB!C48,'HARGA SATUAN'!$C$7:$C$1492,0),0))</f>
        <v>380500</v>
      </c>
      <c r="H48" s="361">
        <f t="shared" ca="1" si="16"/>
        <v>0</v>
      </c>
      <c r="I48" s="361">
        <f t="shared" ca="1" si="17"/>
        <v>1522000</v>
      </c>
      <c r="J48" s="361">
        <f t="shared" ca="1" si="18"/>
        <v>0</v>
      </c>
      <c r="K48" s="362">
        <f t="shared" ca="1" si="19"/>
        <v>1522000</v>
      </c>
      <c r="L48" s="369"/>
      <c r="M48" s="369"/>
      <c r="N48" s="369"/>
      <c r="O48" s="363"/>
      <c r="P48" s="363"/>
      <c r="Q48" s="344"/>
      <c r="R48" s="336"/>
      <c r="S48" s="364"/>
      <c r="T48" s="341"/>
      <c r="U48" s="341"/>
      <c r="V48" s="341"/>
    </row>
    <row r="49" spans="1:22" s="370" customFormat="1">
      <c r="A49" s="336"/>
      <c r="B49" s="507">
        <v>9</v>
      </c>
      <c r="C49" s="508" t="s">
        <v>217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6">
        <f>F40*4</f>
        <v>8</v>
      </c>
      <c r="G49" s="360">
        <f ca="1">IF(ISERROR(OFFSET('HARGA SATUAN'!$I$6,MATCH(RAB!C49,'HARGA SATUAN'!$C$7:$C$1492,0),0)),0,OFFSET('HARGA SATUAN'!$I$6,MATCH(RAB!C49,'HARGA SATUAN'!$C$7:$C$1492,0),0))</f>
        <v>11400</v>
      </c>
      <c r="H49" s="361">
        <f t="shared" ca="1" si="16"/>
        <v>0</v>
      </c>
      <c r="I49" s="361">
        <f t="shared" ca="1" si="17"/>
        <v>91200</v>
      </c>
      <c r="J49" s="361">
        <f t="shared" ca="1" si="18"/>
        <v>0</v>
      </c>
      <c r="K49" s="362">
        <f t="shared" ca="1" si="19"/>
        <v>91200</v>
      </c>
      <c r="L49" s="369"/>
      <c r="M49" s="369"/>
      <c r="N49" s="369"/>
      <c r="O49" s="363"/>
      <c r="P49" s="363"/>
      <c r="Q49" s="344"/>
      <c r="R49" s="336"/>
      <c r="S49" s="364"/>
      <c r="T49" s="341"/>
      <c r="U49" s="341"/>
      <c r="V49" s="341"/>
    </row>
    <row r="50" spans="1:22" s="370" customFormat="1">
      <c r="A50" s="336"/>
      <c r="B50" s="507">
        <v>10</v>
      </c>
      <c r="C50" s="508" t="s">
        <v>218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6">
        <f>F40*2</f>
        <v>4</v>
      </c>
      <c r="G50" s="360">
        <f ca="1">IF(ISERROR(OFFSET('HARGA SATUAN'!$I$6,MATCH(RAB!C50,'HARGA SATUAN'!$C$7:$C$1492,0),0)),0,OFFSET('HARGA SATUAN'!$I$6,MATCH(RAB!C50,'HARGA SATUAN'!$C$7:$C$1492,0),0))</f>
        <v>29600</v>
      </c>
      <c r="H50" s="361">
        <f t="shared" ca="1" si="16"/>
        <v>0</v>
      </c>
      <c r="I50" s="361">
        <f t="shared" ca="1" si="17"/>
        <v>118400</v>
      </c>
      <c r="J50" s="361">
        <f t="shared" ca="1" si="18"/>
        <v>0</v>
      </c>
      <c r="K50" s="362">
        <f t="shared" ca="1" si="19"/>
        <v>118400</v>
      </c>
      <c r="L50" s="369"/>
      <c r="M50" s="369"/>
      <c r="N50" s="369"/>
      <c r="O50" s="363"/>
      <c r="P50" s="363"/>
      <c r="Q50" s="344"/>
      <c r="R50" s="336"/>
      <c r="S50" s="364"/>
      <c r="T50" s="341"/>
      <c r="U50" s="341"/>
      <c r="V50" s="341"/>
    </row>
    <row r="51" spans="1:22" s="370" customFormat="1">
      <c r="A51" s="336"/>
      <c r="B51" s="507">
        <v>11</v>
      </c>
      <c r="C51" s="508" t="s">
        <v>223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6">
        <f>F40*1</f>
        <v>2</v>
      </c>
      <c r="G51" s="360">
        <f ca="1">IF(ISERROR(OFFSET('HARGA SATUAN'!$I$6,MATCH(RAB!C51,'HARGA SATUAN'!$C$7:$C$1492,0),0)),0,OFFSET('HARGA SATUAN'!$I$6,MATCH(RAB!C51,'HARGA SATUAN'!$C$7:$C$1492,0),0))</f>
        <v>27815</v>
      </c>
      <c r="H51" s="361">
        <f t="shared" ca="1" si="16"/>
        <v>0</v>
      </c>
      <c r="I51" s="361">
        <f t="shared" ca="1" si="17"/>
        <v>55630</v>
      </c>
      <c r="J51" s="361">
        <f t="shared" ca="1" si="18"/>
        <v>0</v>
      </c>
      <c r="K51" s="362">
        <f t="shared" ca="1" si="19"/>
        <v>55630</v>
      </c>
      <c r="L51" s="369"/>
      <c r="M51" s="369"/>
      <c r="N51" s="369"/>
      <c r="O51" s="363"/>
      <c r="P51" s="363"/>
      <c r="Q51" s="344"/>
      <c r="R51" s="336"/>
      <c r="S51" s="364"/>
      <c r="T51" s="341"/>
      <c r="U51" s="341"/>
      <c r="V51" s="341"/>
    </row>
    <row r="52" spans="1:22" s="370" customFormat="1">
      <c r="A52" s="336"/>
      <c r="B52" s="507">
        <v>12</v>
      </c>
      <c r="C52" s="508" t="s">
        <v>25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6">
        <f>F40*3</f>
        <v>6</v>
      </c>
      <c r="G52" s="360">
        <f ca="1">IF(ISERROR(OFFSET('HARGA SATUAN'!$I$6,MATCH(RAB!C52,'HARGA SATUAN'!$C$7:$C$1492,0),0)),0,OFFSET('HARGA SATUAN'!$I$6,MATCH(RAB!C52,'HARGA SATUAN'!$C$7:$C$1492,0),0))</f>
        <v>23936</v>
      </c>
      <c r="H52" s="361">
        <f t="shared" ref="H52:H59" ca="1" si="20">IF(OR(D52="MDU",D52="MDU-KD"),(IF($O$3="RAB NON MDU","PLN KD",G52*F52)),0)</f>
        <v>0</v>
      </c>
      <c r="I52" s="361">
        <f t="shared" ref="I52:I59" ca="1" si="21">IF(D52="HDW",G52*F52,0)</f>
        <v>143616</v>
      </c>
      <c r="J52" s="361">
        <f t="shared" ref="J52:J59" ca="1" si="22">IF(D52="JASA",G52*F52,0)</f>
        <v>0</v>
      </c>
      <c r="K52" s="362">
        <f t="shared" ref="K52:K59" ca="1" si="23">SUM(H52:J52)</f>
        <v>143616</v>
      </c>
      <c r="L52" s="369"/>
      <c r="M52" s="369"/>
      <c r="N52" s="369"/>
      <c r="O52" s="363"/>
      <c r="P52" s="363"/>
      <c r="Q52" s="344"/>
      <c r="R52" s="336"/>
      <c r="S52" s="364"/>
      <c r="T52" s="341"/>
      <c r="U52" s="341"/>
      <c r="V52" s="341"/>
    </row>
    <row r="53" spans="1:22" s="370" customFormat="1">
      <c r="A53" s="336"/>
      <c r="B53" s="507">
        <v>13</v>
      </c>
      <c r="C53" s="508" t="s">
        <v>37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6">
        <f>F40*1</f>
        <v>2</v>
      </c>
      <c r="G53" s="360">
        <f ca="1">IF(ISERROR(OFFSET('HARGA SATUAN'!$I$6,MATCH(RAB!C53,'HARGA SATUAN'!$C$7:$C$1492,0),0)),0,OFFSET('HARGA SATUAN'!$I$6,MATCH(RAB!C53,'HARGA SATUAN'!$C$7:$C$1492,0),0))</f>
        <v>63500</v>
      </c>
      <c r="H53" s="361">
        <f t="shared" ca="1" si="20"/>
        <v>0</v>
      </c>
      <c r="I53" s="361">
        <f t="shared" ca="1" si="21"/>
        <v>127000</v>
      </c>
      <c r="J53" s="361">
        <f t="shared" ca="1" si="22"/>
        <v>0</v>
      </c>
      <c r="K53" s="362">
        <f t="shared" ca="1" si="23"/>
        <v>127000</v>
      </c>
      <c r="L53" s="369"/>
      <c r="M53" s="369"/>
      <c r="N53" s="369"/>
      <c r="O53" s="363"/>
      <c r="P53" s="363"/>
      <c r="Q53" s="344"/>
      <c r="R53" s="336"/>
      <c r="S53" s="364"/>
      <c r="T53" s="341"/>
      <c r="U53" s="341"/>
      <c r="V53" s="341"/>
    </row>
    <row r="54" spans="1:22" s="370" customFormat="1">
      <c r="A54" s="336"/>
      <c r="B54" s="507">
        <v>14</v>
      </c>
      <c r="C54" s="508" t="s">
        <v>247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6">
        <f>F40*1</f>
        <v>2</v>
      </c>
      <c r="G54" s="360">
        <f ca="1">IF(ISERROR(OFFSET('HARGA SATUAN'!$I$6,MATCH(RAB!C54,'HARGA SATUAN'!$C$7:$C$1492,0),0)),0,OFFSET('HARGA SATUAN'!$I$6,MATCH(RAB!C54,'HARGA SATUAN'!$C$7:$C$1492,0),0))</f>
        <v>57690</v>
      </c>
      <c r="H54" s="361">
        <f t="shared" ca="1" si="20"/>
        <v>0</v>
      </c>
      <c r="I54" s="361">
        <f t="shared" ca="1" si="21"/>
        <v>115380</v>
      </c>
      <c r="J54" s="361">
        <f t="shared" ca="1" si="22"/>
        <v>0</v>
      </c>
      <c r="K54" s="362">
        <f t="shared" ca="1" si="23"/>
        <v>115380</v>
      </c>
      <c r="L54" s="369"/>
      <c r="M54" s="369"/>
      <c r="N54" s="369"/>
      <c r="O54" s="363"/>
      <c r="P54" s="363"/>
      <c r="Q54" s="344"/>
      <c r="R54" s="336"/>
      <c r="S54" s="364"/>
      <c r="T54" s="341"/>
      <c r="U54" s="341"/>
      <c r="V54" s="341"/>
    </row>
    <row r="55" spans="1:22" s="370" customFormat="1">
      <c r="A55" s="336"/>
      <c r="B55" s="507">
        <v>15</v>
      </c>
      <c r="C55" s="508" t="s">
        <v>27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6">
        <f>F40*3</f>
        <v>6</v>
      </c>
      <c r="G55" s="360">
        <f ca="1">IF(ISERROR(OFFSET('HARGA SATUAN'!$I$6,MATCH(RAB!C55,'HARGA SATUAN'!$C$7:$C$1492,0),0)),0,OFFSET('HARGA SATUAN'!$I$6,MATCH(RAB!C55,'HARGA SATUAN'!$C$7:$C$1492,0),0))</f>
        <v>16000</v>
      </c>
      <c r="H55" s="361">
        <f t="shared" ca="1" si="20"/>
        <v>0</v>
      </c>
      <c r="I55" s="361">
        <f t="shared" ca="1" si="21"/>
        <v>96000</v>
      </c>
      <c r="J55" s="361">
        <f t="shared" ca="1" si="22"/>
        <v>0</v>
      </c>
      <c r="K55" s="362">
        <f t="shared" ca="1" si="23"/>
        <v>96000</v>
      </c>
      <c r="L55" s="369"/>
      <c r="M55" s="369"/>
      <c r="N55" s="369"/>
      <c r="O55" s="363"/>
      <c r="P55" s="363"/>
      <c r="Q55" s="344"/>
      <c r="R55" s="336"/>
      <c r="S55" s="364"/>
      <c r="T55" s="341"/>
      <c r="U55" s="341"/>
      <c r="V55" s="341"/>
    </row>
    <row r="56" spans="1:22" s="370" customFormat="1">
      <c r="A56" s="336"/>
      <c r="B56" s="507">
        <v>16</v>
      </c>
      <c r="C56" s="508" t="s">
        <v>265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6">
        <f>F40*1</f>
        <v>2</v>
      </c>
      <c r="G56" s="360">
        <f ca="1">IF(ISERROR(OFFSET('HARGA SATUAN'!$I$6,MATCH(RAB!C56,'HARGA SATUAN'!$C$7:$C$1492,0),0)),0,OFFSET('HARGA SATUAN'!$I$6,MATCH(RAB!C56,'HARGA SATUAN'!$C$7:$C$1492,0),0))</f>
        <v>33501.866666666669</v>
      </c>
      <c r="H56" s="361">
        <f t="shared" ca="1" si="20"/>
        <v>0</v>
      </c>
      <c r="I56" s="361">
        <f t="shared" ca="1" si="21"/>
        <v>67003.733333333337</v>
      </c>
      <c r="J56" s="361">
        <f t="shared" ca="1" si="22"/>
        <v>0</v>
      </c>
      <c r="K56" s="362">
        <f t="shared" ca="1" si="23"/>
        <v>67003.733333333337</v>
      </c>
      <c r="L56" s="369"/>
      <c r="M56" s="369"/>
      <c r="N56" s="369"/>
      <c r="O56" s="363"/>
      <c r="P56" s="363"/>
      <c r="Q56" s="344"/>
      <c r="R56" s="336"/>
      <c r="S56" s="364"/>
      <c r="T56" s="341"/>
      <c r="U56" s="341"/>
      <c r="V56" s="341"/>
    </row>
    <row r="57" spans="1:22" s="370" customFormat="1">
      <c r="A57" s="336"/>
      <c r="B57" s="507">
        <v>17</v>
      </c>
      <c r="C57" s="508" t="s">
        <v>26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6">
        <f>F40*11</f>
        <v>22</v>
      </c>
      <c r="G57" s="360">
        <f ca="1">IF(ISERROR(OFFSET('HARGA SATUAN'!$I$6,MATCH(RAB!C57,'HARGA SATUAN'!$C$7:$C$1492,0),0)),0,OFFSET('HARGA SATUAN'!$I$6,MATCH(RAB!C57,'HARGA SATUAN'!$C$7:$C$1492,0),0))</f>
        <v>2500</v>
      </c>
      <c r="H57" s="361">
        <f t="shared" ca="1" si="20"/>
        <v>0</v>
      </c>
      <c r="I57" s="361">
        <f t="shared" ca="1" si="21"/>
        <v>55000</v>
      </c>
      <c r="J57" s="361">
        <f t="shared" ca="1" si="22"/>
        <v>0</v>
      </c>
      <c r="K57" s="362">
        <f t="shared" ca="1" si="23"/>
        <v>55000</v>
      </c>
      <c r="L57" s="369"/>
      <c r="M57" s="369"/>
      <c r="N57" s="369"/>
      <c r="O57" s="363"/>
      <c r="P57" s="363"/>
      <c r="Q57" s="344"/>
      <c r="R57" s="336"/>
      <c r="S57" s="364"/>
      <c r="T57" s="341"/>
      <c r="U57" s="341"/>
      <c r="V57" s="341"/>
    </row>
    <row r="58" spans="1:22" s="365" customFormat="1">
      <c r="A58" s="336"/>
      <c r="B58" s="507">
        <v>18</v>
      </c>
      <c r="C58" s="508" t="s">
        <v>703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06">
        <f>F40*1</f>
        <v>2</v>
      </c>
      <c r="G58" s="360">
        <f ca="1">IF(ISERROR(OFFSET('HARGA SATUAN'!$I$6,MATCH(RAB!C58,'HARGA SATUAN'!$C$7:$C$1492,0),0)),0,OFFSET('HARGA SATUAN'!$I$6,MATCH(RAB!C58,'HARGA SATUAN'!$C$7:$C$1492,0),0))</f>
        <v>134700</v>
      </c>
      <c r="H58" s="361">
        <f t="shared" ca="1" si="20"/>
        <v>0</v>
      </c>
      <c r="I58" s="361">
        <f t="shared" ca="1" si="21"/>
        <v>0</v>
      </c>
      <c r="J58" s="361">
        <f t="shared" ca="1" si="22"/>
        <v>269400</v>
      </c>
      <c r="K58" s="362">
        <f t="shared" ca="1" si="23"/>
        <v>269400</v>
      </c>
      <c r="L58" s="342"/>
      <c r="M58" s="342"/>
      <c r="N58" s="369"/>
      <c r="O58" s="344"/>
      <c r="P58" s="344"/>
      <c r="Q58" s="398"/>
      <c r="R58" s="344"/>
      <c r="S58" s="398"/>
      <c r="T58" s="399"/>
      <c r="U58" s="399"/>
      <c r="V58" s="399"/>
    </row>
    <row r="59" spans="1:22" s="365" customFormat="1">
      <c r="A59" s="336"/>
      <c r="B59" s="373"/>
      <c r="C59" s="374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484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0"/>
        <v>0</v>
      </c>
      <c r="I59" s="361">
        <f t="shared" ca="1" si="21"/>
        <v>0</v>
      </c>
      <c r="J59" s="361">
        <f t="shared" ca="1" si="22"/>
        <v>0</v>
      </c>
      <c r="K59" s="362">
        <f t="shared" ca="1" si="23"/>
        <v>0</v>
      </c>
      <c r="L59" s="342"/>
      <c r="M59" s="342"/>
      <c r="N59" s="369"/>
      <c r="O59" s="344"/>
      <c r="P59" s="344"/>
      <c r="Q59" s="398"/>
      <c r="R59" s="344"/>
      <c r="S59" s="398"/>
      <c r="T59" s="399"/>
      <c r="U59" s="399"/>
      <c r="V59" s="399"/>
    </row>
    <row r="60" spans="1:22" s="365" customFormat="1">
      <c r="A60" s="336"/>
      <c r="B60" s="529" t="s">
        <v>1035</v>
      </c>
      <c r="C60" s="532" t="s">
        <v>1640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33">
        <v>2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ref="H60:H82" ca="1" si="24">IF(OR(D60="MDU",D60="MDU-KD"),(IF($O$3="RAB NON MDU","PLN KD",G60*F60)),0)</f>
        <v>0</v>
      </c>
      <c r="I60" s="361">
        <f t="shared" ref="I60:I82" ca="1" si="25">IF(D60="HDW",G60*F60,0)</f>
        <v>0</v>
      </c>
      <c r="J60" s="361">
        <f t="shared" ref="J60:J82" ca="1" si="26">IF(D60="JASA",G60*F60,0)</f>
        <v>0</v>
      </c>
      <c r="K60" s="362">
        <f t="shared" ref="K60:K82" ca="1" si="27">SUM(H60:J60)</f>
        <v>0</v>
      </c>
      <c r="L60" s="342"/>
      <c r="M60" s="342"/>
      <c r="N60" s="369"/>
      <c r="O60" s="344"/>
      <c r="P60" s="344"/>
      <c r="Q60" s="398"/>
      <c r="R60" s="344"/>
      <c r="S60" s="398"/>
      <c r="T60" s="399"/>
      <c r="U60" s="399"/>
      <c r="V60" s="399"/>
    </row>
    <row r="61" spans="1:22" s="365" customFormat="1">
      <c r="A61" s="336"/>
      <c r="B61" s="531">
        <v>1</v>
      </c>
      <c r="C61" s="109" t="s">
        <v>1129</v>
      </c>
      <c r="D61" s="358" t="str">
        <f ca="1">IF(ISERROR(OFFSET('HARGA SATUAN'!$D$6,MATCH(RAB!C61,'HARGA SATUAN'!$C$7:$C$1492,0),0)),"",OFFSET('HARGA SATUAN'!$D$6,MATCH(RAB!C61,'HARGA SATUAN'!$C$7:$C$1492,0),0))</f>
        <v>MDU-KD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33">
        <f>F60*1</f>
        <v>2</v>
      </c>
      <c r="G61" s="360">
        <f ca="1">IF(ISERROR(OFFSET('HARGA SATUAN'!$I$6,MATCH(RAB!C61,'HARGA SATUAN'!$C$7:$C$1492,0),0)),0,OFFSET('HARGA SATUAN'!$I$6,MATCH(RAB!C61,'HARGA SATUAN'!$C$7:$C$1492,0),0))</f>
        <v>176900</v>
      </c>
      <c r="H61" s="361">
        <f t="shared" ca="1" si="24"/>
        <v>353800</v>
      </c>
      <c r="I61" s="361">
        <f t="shared" ca="1" si="25"/>
        <v>0</v>
      </c>
      <c r="J61" s="361">
        <f t="shared" ca="1" si="26"/>
        <v>0</v>
      </c>
      <c r="K61" s="362">
        <f t="shared" ca="1" si="27"/>
        <v>353800</v>
      </c>
      <c r="L61" s="342"/>
      <c r="M61" s="342"/>
      <c r="N61" s="369"/>
      <c r="O61" s="344"/>
      <c r="P61" s="344"/>
      <c r="Q61" s="398"/>
      <c r="R61" s="344"/>
      <c r="S61" s="398"/>
      <c r="T61" s="399"/>
      <c r="U61" s="399"/>
      <c r="V61" s="399"/>
    </row>
    <row r="62" spans="1:22" s="365" customFormat="1">
      <c r="A62" s="336"/>
      <c r="B62" s="531">
        <v>2</v>
      </c>
      <c r="C62" s="109" t="s">
        <v>1129</v>
      </c>
      <c r="D62" s="358" t="str">
        <f ca="1">IF(ISERROR(OFFSET('HARGA SATUAN'!$D$6,MATCH(RAB!C62,'HARGA SATUAN'!$C$7:$C$1492,0),0)),"",OFFSET('HARGA SATUAN'!$D$6,MATCH(RAB!C62,'HARGA SATUAN'!$C$7:$C$1492,0),0))</f>
        <v>MDU-KD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33">
        <f>F60*1</f>
        <v>2</v>
      </c>
      <c r="G62" s="360">
        <f ca="1">IF(ISERROR(OFFSET('HARGA SATUAN'!$I$6,MATCH(RAB!C62,'HARGA SATUAN'!$C$7:$C$1492,0),0)),0,OFFSET('HARGA SATUAN'!$I$6,MATCH(RAB!C62,'HARGA SATUAN'!$C$7:$C$1492,0),0))</f>
        <v>176900</v>
      </c>
      <c r="H62" s="361">
        <f t="shared" ca="1" si="24"/>
        <v>353800</v>
      </c>
      <c r="I62" s="361">
        <f t="shared" ca="1" si="25"/>
        <v>0</v>
      </c>
      <c r="J62" s="361">
        <f t="shared" ca="1" si="26"/>
        <v>0</v>
      </c>
      <c r="K62" s="362">
        <f t="shared" ca="1" si="27"/>
        <v>353800</v>
      </c>
      <c r="L62" s="342"/>
      <c r="M62" s="342"/>
      <c r="N62" s="369"/>
      <c r="O62" s="344"/>
      <c r="P62" s="344"/>
      <c r="Q62" s="398"/>
      <c r="R62" s="344"/>
      <c r="S62" s="398"/>
      <c r="T62" s="399"/>
      <c r="U62" s="399"/>
      <c r="V62" s="399"/>
    </row>
    <row r="63" spans="1:22" s="365" customFormat="1">
      <c r="A63" s="336"/>
      <c r="B63" s="531">
        <v>3</v>
      </c>
      <c r="C63" s="109" t="s">
        <v>1569</v>
      </c>
      <c r="D63" s="358" t="str">
        <f ca="1">IF(ISERROR(OFFSET('HARGA SATUAN'!$D$6,MATCH(RAB!C63,'HARGA SATUAN'!$C$7:$C$1492,0),0)),"",OFFSET('HARGA SATUAN'!$D$6,MATCH(RAB!C63,'HARGA SATUAN'!$C$7:$C$1492,0),0))</f>
        <v>MDU-KD</v>
      </c>
      <c r="E63" s="359" t="str">
        <f ca="1">IF(B63="+","Unit",IF(ISERROR(OFFSET('HARGA SATUAN'!$E$6,MATCH(RAB!C63,'HARGA SATUAN'!$C$7:$C$1492,0),0)),"",OFFSET('HARGA SATUAN'!$E$6,MATCH(RAB!C63,'HARGA SATUAN'!$C$7:$C$1492,0),0)))</f>
        <v>Set</v>
      </c>
      <c r="F63" s="533">
        <f>F60*6</f>
        <v>12</v>
      </c>
      <c r="G63" s="360">
        <f ca="1">IF(ISERROR(OFFSET('HARGA SATUAN'!$I$6,MATCH(RAB!C63,'HARGA SATUAN'!$C$7:$C$1492,0),0)),0,OFFSET('HARGA SATUAN'!$I$6,MATCH(RAB!C63,'HARGA SATUAN'!$C$7:$C$1492,0),0))</f>
        <v>205700</v>
      </c>
      <c r="H63" s="361">
        <f t="shared" ca="1" si="24"/>
        <v>2468400</v>
      </c>
      <c r="I63" s="361">
        <f t="shared" ca="1" si="25"/>
        <v>0</v>
      </c>
      <c r="J63" s="361">
        <f t="shared" ca="1" si="26"/>
        <v>0</v>
      </c>
      <c r="K63" s="362">
        <f t="shared" ca="1" si="27"/>
        <v>2468400</v>
      </c>
      <c r="L63" s="342"/>
      <c r="M63" s="342"/>
      <c r="N63" s="369"/>
      <c r="O63" s="344"/>
      <c r="P63" s="344"/>
      <c r="Q63" s="398"/>
      <c r="R63" s="344"/>
      <c r="S63" s="398"/>
      <c r="T63" s="399"/>
      <c r="U63" s="399"/>
      <c r="V63" s="399"/>
    </row>
    <row r="64" spans="1:22" s="365" customFormat="1">
      <c r="A64" s="336"/>
      <c r="B64" s="531">
        <v>4</v>
      </c>
      <c r="C64" s="532" t="s">
        <v>152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33">
        <f>F60*2</f>
        <v>4</v>
      </c>
      <c r="G64" s="360">
        <f ca="1">IF(ISERROR(OFFSET('HARGA SATUAN'!$I$6,MATCH(RAB!C64,'HARGA SATUAN'!$C$7:$C$1492,0),0)),0,OFFSET('HARGA SATUAN'!$I$6,MATCH(RAB!C64,'HARGA SATUAN'!$C$7:$C$1492,0),0))</f>
        <v>7789</v>
      </c>
      <c r="H64" s="361">
        <f t="shared" ca="1" si="24"/>
        <v>0</v>
      </c>
      <c r="I64" s="361">
        <f t="shared" ca="1" si="25"/>
        <v>31156</v>
      </c>
      <c r="J64" s="361">
        <f t="shared" ca="1" si="26"/>
        <v>0</v>
      </c>
      <c r="K64" s="362">
        <f t="shared" ca="1" si="27"/>
        <v>31156</v>
      </c>
      <c r="L64" s="342"/>
      <c r="M64" s="342"/>
      <c r="N64" s="369"/>
      <c r="O64" s="344"/>
      <c r="P64" s="344"/>
      <c r="Q64" s="398"/>
      <c r="R64" s="344"/>
      <c r="S64" s="398"/>
      <c r="T64" s="399"/>
      <c r="U64" s="399"/>
      <c r="V64" s="399"/>
    </row>
    <row r="65" spans="1:22" s="365" customFormat="1">
      <c r="A65" s="336"/>
      <c r="B65" s="531">
        <v>5</v>
      </c>
      <c r="C65" s="532" t="s">
        <v>157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33">
        <f>F60*4</f>
        <v>8</v>
      </c>
      <c r="G65" s="360">
        <f ca="1">IF(ISERROR(OFFSET('HARGA SATUAN'!$I$6,MATCH(RAB!C65,'HARGA SATUAN'!$C$7:$C$1492,0),0)),0,OFFSET('HARGA SATUAN'!$I$6,MATCH(RAB!C65,'HARGA SATUAN'!$C$7:$C$1492,0),0))</f>
        <v>40000</v>
      </c>
      <c r="H65" s="361">
        <f t="shared" ca="1" si="24"/>
        <v>0</v>
      </c>
      <c r="I65" s="361">
        <f t="shared" ca="1" si="25"/>
        <v>320000</v>
      </c>
      <c r="J65" s="361">
        <f t="shared" ca="1" si="26"/>
        <v>0</v>
      </c>
      <c r="K65" s="362">
        <f t="shared" ca="1" si="27"/>
        <v>320000</v>
      </c>
      <c r="L65" s="342"/>
      <c r="M65" s="342"/>
      <c r="N65" s="369"/>
      <c r="O65" s="344"/>
      <c r="P65" s="344"/>
      <c r="Q65" s="398"/>
      <c r="R65" s="344"/>
      <c r="S65" s="398"/>
      <c r="T65" s="399"/>
      <c r="U65" s="399"/>
      <c r="V65" s="399"/>
    </row>
    <row r="66" spans="1:22" s="365" customFormat="1">
      <c r="A66" s="336"/>
      <c r="B66" s="531">
        <v>6</v>
      </c>
      <c r="C66" s="532" t="s">
        <v>163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33">
        <f>F60*8</f>
        <v>16</v>
      </c>
      <c r="G66" s="360">
        <f ca="1">IF(ISERROR(OFFSET('HARGA SATUAN'!$I$6,MATCH(RAB!C66,'HARGA SATUAN'!$C$7:$C$1492,0),0)),0,OFFSET('HARGA SATUAN'!$I$6,MATCH(RAB!C66,'HARGA SATUAN'!$C$7:$C$1492,0),0))</f>
        <v>7938</v>
      </c>
      <c r="H66" s="361">
        <f t="shared" ca="1" si="24"/>
        <v>0</v>
      </c>
      <c r="I66" s="361">
        <f t="shared" ca="1" si="25"/>
        <v>127008</v>
      </c>
      <c r="J66" s="361">
        <f t="shared" ca="1" si="26"/>
        <v>0</v>
      </c>
      <c r="K66" s="362">
        <f t="shared" ca="1" si="27"/>
        <v>127008</v>
      </c>
      <c r="L66" s="342"/>
      <c r="M66" s="342"/>
      <c r="N66" s="369"/>
      <c r="O66" s="344"/>
      <c r="P66" s="344"/>
      <c r="Q66" s="398"/>
      <c r="R66" s="344"/>
      <c r="S66" s="398"/>
      <c r="T66" s="399"/>
      <c r="U66" s="399"/>
      <c r="V66" s="399"/>
    </row>
    <row r="67" spans="1:22" s="365" customFormat="1">
      <c r="A67" s="336"/>
      <c r="B67" s="531">
        <v>7</v>
      </c>
      <c r="C67" s="532" t="s">
        <v>28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33">
        <f>F60*1</f>
        <v>2</v>
      </c>
      <c r="G67" s="360">
        <f ca="1">IF(ISERROR(OFFSET('HARGA SATUAN'!$I$6,MATCH(RAB!C67,'HARGA SATUAN'!$C$7:$C$1492,0),0)),0,OFFSET('HARGA SATUAN'!$I$6,MATCH(RAB!C67,'HARGA SATUAN'!$C$7:$C$1492,0),0))</f>
        <v>26500</v>
      </c>
      <c r="H67" s="361">
        <f t="shared" ca="1" si="24"/>
        <v>0</v>
      </c>
      <c r="I67" s="361">
        <f t="shared" ca="1" si="25"/>
        <v>53000</v>
      </c>
      <c r="J67" s="361">
        <f t="shared" ca="1" si="26"/>
        <v>0</v>
      </c>
      <c r="K67" s="362">
        <f t="shared" ca="1" si="27"/>
        <v>53000</v>
      </c>
      <c r="L67" s="342"/>
      <c r="M67" s="342"/>
      <c r="N67" s="369"/>
      <c r="O67" s="344"/>
      <c r="P67" s="344"/>
      <c r="Q67" s="398"/>
      <c r="R67" s="344"/>
      <c r="S67" s="398"/>
      <c r="T67" s="399"/>
      <c r="U67" s="399"/>
      <c r="V67" s="399"/>
    </row>
    <row r="68" spans="1:22" s="365" customFormat="1">
      <c r="A68" s="336"/>
      <c r="B68" s="531">
        <v>8</v>
      </c>
      <c r="C68" s="532" t="s">
        <v>173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33">
        <f>F60*8</f>
        <v>16</v>
      </c>
      <c r="G68" s="360">
        <f ca="1">IF(ISERROR(OFFSET('HARGA SATUAN'!$I$6,MATCH(RAB!C68,'HARGA SATUAN'!$C$7:$C$1492,0),0)),0,OFFSET('HARGA SATUAN'!$I$6,MATCH(RAB!C68,'HARGA SATUAN'!$C$7:$C$1492,0),0))</f>
        <v>45000</v>
      </c>
      <c r="H68" s="361">
        <f t="shared" ca="1" si="24"/>
        <v>0</v>
      </c>
      <c r="I68" s="361">
        <f t="shared" ca="1" si="25"/>
        <v>720000</v>
      </c>
      <c r="J68" s="361">
        <f t="shared" ca="1" si="26"/>
        <v>0</v>
      </c>
      <c r="K68" s="362">
        <f t="shared" ca="1" si="27"/>
        <v>720000</v>
      </c>
      <c r="L68" s="342"/>
      <c r="M68" s="342"/>
      <c r="N68" s="369"/>
      <c r="O68" s="344"/>
      <c r="P68" s="344"/>
      <c r="Q68" s="398"/>
      <c r="R68" s="344"/>
      <c r="S68" s="398"/>
      <c r="T68" s="399"/>
      <c r="U68" s="399"/>
      <c r="V68" s="399"/>
    </row>
    <row r="69" spans="1:22" s="365" customFormat="1">
      <c r="A69" s="336"/>
      <c r="B69" s="531">
        <v>9</v>
      </c>
      <c r="C69" s="532" t="s">
        <v>179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33">
        <f>F60*2</f>
        <v>4</v>
      </c>
      <c r="G69" s="360">
        <f ca="1">IF(ISERROR(OFFSET('HARGA SATUAN'!$I$6,MATCH(RAB!C69,'HARGA SATUAN'!$C$7:$C$1492,0),0)),0,OFFSET('HARGA SATUAN'!$I$6,MATCH(RAB!C69,'HARGA SATUAN'!$C$7:$C$1492,0),0))</f>
        <v>15500</v>
      </c>
      <c r="H69" s="361">
        <f t="shared" ca="1" si="24"/>
        <v>0</v>
      </c>
      <c r="I69" s="361">
        <f t="shared" ca="1" si="25"/>
        <v>62000</v>
      </c>
      <c r="J69" s="361">
        <f t="shared" ca="1" si="26"/>
        <v>0</v>
      </c>
      <c r="K69" s="362">
        <f t="shared" ca="1" si="27"/>
        <v>62000</v>
      </c>
      <c r="L69" s="342"/>
      <c r="M69" s="342"/>
      <c r="N69" s="369"/>
      <c r="O69" s="344"/>
      <c r="P69" s="344"/>
      <c r="Q69" s="398"/>
      <c r="R69" s="344"/>
      <c r="S69" s="398"/>
      <c r="T69" s="399"/>
      <c r="U69" s="399"/>
      <c r="V69" s="399"/>
    </row>
    <row r="70" spans="1:22" s="365" customFormat="1">
      <c r="A70" s="336"/>
      <c r="B70" s="531">
        <v>10</v>
      </c>
      <c r="C70" s="532" t="s">
        <v>181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33">
        <f>F60*4</f>
        <v>8</v>
      </c>
      <c r="G70" s="360">
        <f ca="1">IF(ISERROR(OFFSET('HARGA SATUAN'!$I$6,MATCH(RAB!C70,'HARGA SATUAN'!$C$7:$C$1492,0),0)),0,OFFSET('HARGA SATUAN'!$I$6,MATCH(RAB!C70,'HARGA SATUAN'!$C$7:$C$1492,0),0))</f>
        <v>28100</v>
      </c>
      <c r="H70" s="361">
        <f t="shared" ca="1" si="24"/>
        <v>0</v>
      </c>
      <c r="I70" s="361">
        <f t="shared" ca="1" si="25"/>
        <v>224800</v>
      </c>
      <c r="J70" s="361">
        <f t="shared" ca="1" si="26"/>
        <v>0</v>
      </c>
      <c r="K70" s="362">
        <f t="shared" ca="1" si="27"/>
        <v>224800</v>
      </c>
      <c r="L70" s="342"/>
      <c r="M70" s="342"/>
      <c r="N70" s="369"/>
      <c r="O70" s="344"/>
      <c r="P70" s="344"/>
      <c r="Q70" s="398"/>
      <c r="R70" s="344"/>
      <c r="S70" s="398"/>
      <c r="T70" s="399"/>
      <c r="U70" s="399"/>
      <c r="V70" s="399"/>
    </row>
    <row r="71" spans="1:22" s="365" customFormat="1">
      <c r="A71" s="336"/>
      <c r="B71" s="531">
        <v>11</v>
      </c>
      <c r="C71" s="532" t="s">
        <v>593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33">
        <f>F60*4</f>
        <v>8</v>
      </c>
      <c r="G71" s="360">
        <f ca="1">IF(ISERROR(OFFSET('HARGA SATUAN'!$I$6,MATCH(RAB!C71,'HARGA SATUAN'!$C$7:$C$1492,0),0)),0,OFFSET('HARGA SATUAN'!$I$6,MATCH(RAB!C71,'HARGA SATUAN'!$C$7:$C$1492,0),0))</f>
        <v>380500</v>
      </c>
      <c r="H71" s="361">
        <f t="shared" ca="1" si="24"/>
        <v>0</v>
      </c>
      <c r="I71" s="361">
        <f t="shared" ca="1" si="25"/>
        <v>3044000</v>
      </c>
      <c r="J71" s="361">
        <f t="shared" ca="1" si="26"/>
        <v>0</v>
      </c>
      <c r="K71" s="362">
        <f t="shared" ca="1" si="27"/>
        <v>3044000</v>
      </c>
      <c r="L71" s="342"/>
      <c r="M71" s="342"/>
      <c r="N71" s="369"/>
      <c r="O71" s="344"/>
      <c r="P71" s="344"/>
      <c r="Q71" s="398"/>
      <c r="R71" s="344"/>
      <c r="S71" s="398"/>
      <c r="T71" s="399"/>
      <c r="U71" s="399"/>
      <c r="V71" s="399"/>
    </row>
    <row r="72" spans="1:22" s="365" customFormat="1">
      <c r="A72" s="336"/>
      <c r="B72" s="531">
        <v>12</v>
      </c>
      <c r="C72" s="532" t="s">
        <v>218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33">
        <f>F60*4</f>
        <v>8</v>
      </c>
      <c r="G72" s="360">
        <f ca="1">IF(ISERROR(OFFSET('HARGA SATUAN'!$I$6,MATCH(RAB!C72,'HARGA SATUAN'!$C$7:$C$1492,0),0)),0,OFFSET('HARGA SATUAN'!$I$6,MATCH(RAB!C72,'HARGA SATUAN'!$C$7:$C$1492,0),0))</f>
        <v>29600</v>
      </c>
      <c r="H72" s="361">
        <f t="shared" ca="1" si="24"/>
        <v>0</v>
      </c>
      <c r="I72" s="361">
        <f t="shared" ca="1" si="25"/>
        <v>236800</v>
      </c>
      <c r="J72" s="361">
        <f t="shared" ca="1" si="26"/>
        <v>0</v>
      </c>
      <c r="K72" s="362">
        <f t="shared" ca="1" si="27"/>
        <v>236800</v>
      </c>
      <c r="L72" s="342"/>
      <c r="M72" s="342"/>
      <c r="N72" s="369"/>
      <c r="O72" s="344"/>
      <c r="P72" s="344"/>
      <c r="Q72" s="398"/>
      <c r="R72" s="344"/>
      <c r="S72" s="398"/>
      <c r="T72" s="399"/>
      <c r="U72" s="399"/>
      <c r="V72" s="399"/>
    </row>
    <row r="73" spans="1:22" s="365" customFormat="1">
      <c r="A73" s="336"/>
      <c r="B73" s="531">
        <v>13</v>
      </c>
      <c r="C73" s="532" t="s">
        <v>217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33">
        <f>F60*9</f>
        <v>18</v>
      </c>
      <c r="G73" s="360">
        <f ca="1">IF(ISERROR(OFFSET('HARGA SATUAN'!$I$6,MATCH(RAB!C73,'HARGA SATUAN'!$C$7:$C$1492,0),0)),0,OFFSET('HARGA SATUAN'!$I$6,MATCH(RAB!C73,'HARGA SATUAN'!$C$7:$C$1492,0),0))</f>
        <v>11400</v>
      </c>
      <c r="H73" s="361">
        <f t="shared" ca="1" si="24"/>
        <v>0</v>
      </c>
      <c r="I73" s="361">
        <f t="shared" ca="1" si="25"/>
        <v>205200</v>
      </c>
      <c r="J73" s="361">
        <f t="shared" ca="1" si="26"/>
        <v>0</v>
      </c>
      <c r="K73" s="362">
        <f t="shared" ca="1" si="27"/>
        <v>205200</v>
      </c>
      <c r="L73" s="342"/>
      <c r="M73" s="342"/>
      <c r="N73" s="369"/>
      <c r="O73" s="344"/>
      <c r="P73" s="344"/>
      <c r="Q73" s="398"/>
      <c r="R73" s="344"/>
      <c r="S73" s="398"/>
      <c r="T73" s="399"/>
      <c r="U73" s="399"/>
      <c r="V73" s="399"/>
    </row>
    <row r="74" spans="1:22" s="365" customFormat="1">
      <c r="A74" s="336"/>
      <c r="B74" s="531">
        <v>14</v>
      </c>
      <c r="C74" s="532" t="s">
        <v>223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33">
        <f>F60*2</f>
        <v>4</v>
      </c>
      <c r="G74" s="360">
        <f ca="1">IF(ISERROR(OFFSET('HARGA SATUAN'!$I$6,MATCH(RAB!C74,'HARGA SATUAN'!$C$7:$C$1492,0),0)),0,OFFSET('HARGA SATUAN'!$I$6,MATCH(RAB!C74,'HARGA SATUAN'!$C$7:$C$1492,0),0))</f>
        <v>27815</v>
      </c>
      <c r="H74" s="361">
        <f t="shared" ca="1" si="24"/>
        <v>0</v>
      </c>
      <c r="I74" s="361">
        <f t="shared" ca="1" si="25"/>
        <v>111260</v>
      </c>
      <c r="J74" s="361">
        <f t="shared" ca="1" si="26"/>
        <v>0</v>
      </c>
      <c r="K74" s="362">
        <f t="shared" ca="1" si="27"/>
        <v>111260</v>
      </c>
      <c r="L74" s="342"/>
      <c r="M74" s="342"/>
      <c r="N74" s="369"/>
      <c r="O74" s="344"/>
      <c r="P74" s="344"/>
      <c r="Q74" s="398"/>
      <c r="R74" s="344"/>
      <c r="S74" s="398"/>
      <c r="T74" s="399"/>
      <c r="U74" s="399"/>
      <c r="V74" s="399"/>
    </row>
    <row r="75" spans="1:22" s="365" customFormat="1">
      <c r="A75" s="336"/>
      <c r="B75" s="531">
        <v>15</v>
      </c>
      <c r="C75" s="532" t="s">
        <v>25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33">
        <f>F60*6</f>
        <v>12</v>
      </c>
      <c r="G75" s="360">
        <f ca="1">IF(ISERROR(OFFSET('HARGA SATUAN'!$I$6,MATCH(RAB!C75,'HARGA SATUAN'!$C$7:$C$1492,0),0)),0,OFFSET('HARGA SATUAN'!$I$6,MATCH(RAB!C75,'HARGA SATUAN'!$C$7:$C$1492,0),0))</f>
        <v>23936</v>
      </c>
      <c r="H75" s="361">
        <f t="shared" ca="1" si="24"/>
        <v>0</v>
      </c>
      <c r="I75" s="361">
        <f t="shared" ca="1" si="25"/>
        <v>287232</v>
      </c>
      <c r="J75" s="361">
        <f t="shared" ca="1" si="26"/>
        <v>0</v>
      </c>
      <c r="K75" s="362">
        <f t="shared" ca="1" si="27"/>
        <v>287232</v>
      </c>
      <c r="L75" s="342"/>
      <c r="M75" s="342"/>
      <c r="N75" s="369"/>
      <c r="O75" s="344"/>
      <c r="P75" s="344"/>
      <c r="Q75" s="398"/>
      <c r="R75" s="344"/>
      <c r="S75" s="398"/>
      <c r="T75" s="399"/>
      <c r="U75" s="399"/>
      <c r="V75" s="399"/>
    </row>
    <row r="76" spans="1:22" s="365" customFormat="1">
      <c r="A76" s="336"/>
      <c r="B76" s="531">
        <v>16</v>
      </c>
      <c r="C76" s="532" t="s">
        <v>37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33">
        <f>F60*3</f>
        <v>6</v>
      </c>
      <c r="G76" s="360">
        <f ca="1">IF(ISERROR(OFFSET('HARGA SATUAN'!$I$6,MATCH(RAB!C76,'HARGA SATUAN'!$C$7:$C$1492,0),0)),0,OFFSET('HARGA SATUAN'!$I$6,MATCH(RAB!C76,'HARGA SATUAN'!$C$7:$C$1492,0),0))</f>
        <v>63500</v>
      </c>
      <c r="H76" s="361">
        <f t="shared" ca="1" si="24"/>
        <v>0</v>
      </c>
      <c r="I76" s="361">
        <f t="shared" ca="1" si="25"/>
        <v>381000</v>
      </c>
      <c r="J76" s="361">
        <f t="shared" ca="1" si="26"/>
        <v>0</v>
      </c>
      <c r="K76" s="362">
        <f t="shared" ca="1" si="27"/>
        <v>381000</v>
      </c>
      <c r="L76" s="342"/>
      <c r="M76" s="342"/>
      <c r="N76" s="369"/>
      <c r="O76" s="344"/>
      <c r="P76" s="344"/>
      <c r="Q76" s="398"/>
      <c r="R76" s="344"/>
      <c r="S76" s="398"/>
      <c r="T76" s="399"/>
      <c r="U76" s="399"/>
      <c r="V76" s="399"/>
    </row>
    <row r="77" spans="1:22" s="365" customFormat="1">
      <c r="A77" s="336"/>
      <c r="B77" s="531">
        <v>17</v>
      </c>
      <c r="C77" s="532" t="s">
        <v>247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33">
        <f>F60*3</f>
        <v>6</v>
      </c>
      <c r="G77" s="360">
        <f ca="1">IF(ISERROR(OFFSET('HARGA SATUAN'!$I$6,MATCH(RAB!C77,'HARGA SATUAN'!$C$7:$C$1492,0),0)),0,OFFSET('HARGA SATUAN'!$I$6,MATCH(RAB!C77,'HARGA SATUAN'!$C$7:$C$1492,0),0))</f>
        <v>57690</v>
      </c>
      <c r="H77" s="361">
        <f t="shared" ca="1" si="24"/>
        <v>0</v>
      </c>
      <c r="I77" s="361">
        <f t="shared" ca="1" si="25"/>
        <v>346140</v>
      </c>
      <c r="J77" s="361">
        <f t="shared" ca="1" si="26"/>
        <v>0</v>
      </c>
      <c r="K77" s="362">
        <f t="shared" ca="1" si="27"/>
        <v>346140</v>
      </c>
      <c r="L77" s="342"/>
      <c r="M77" s="342"/>
      <c r="N77" s="369"/>
      <c r="O77" s="344"/>
      <c r="P77" s="344"/>
      <c r="Q77" s="398"/>
      <c r="R77" s="344"/>
      <c r="S77" s="398"/>
      <c r="T77" s="399"/>
      <c r="U77" s="399"/>
      <c r="V77" s="399"/>
    </row>
    <row r="78" spans="1:22" s="365" customFormat="1">
      <c r="A78" s="336"/>
      <c r="B78" s="531">
        <v>18</v>
      </c>
      <c r="C78" s="532" t="s">
        <v>27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33">
        <f>F60*6</f>
        <v>12</v>
      </c>
      <c r="G78" s="360">
        <f ca="1">IF(ISERROR(OFFSET('HARGA SATUAN'!$I$6,MATCH(RAB!C78,'HARGA SATUAN'!$C$7:$C$1492,0),0)),0,OFFSET('HARGA SATUAN'!$I$6,MATCH(RAB!C78,'HARGA SATUAN'!$C$7:$C$1492,0),0))</f>
        <v>16000</v>
      </c>
      <c r="H78" s="361">
        <f t="shared" ca="1" si="24"/>
        <v>0</v>
      </c>
      <c r="I78" s="361">
        <f t="shared" ca="1" si="25"/>
        <v>192000</v>
      </c>
      <c r="J78" s="361">
        <f t="shared" ca="1" si="26"/>
        <v>0</v>
      </c>
      <c r="K78" s="362">
        <f t="shared" ca="1" si="27"/>
        <v>192000</v>
      </c>
      <c r="L78" s="342"/>
      <c r="M78" s="342"/>
      <c r="N78" s="369"/>
      <c r="O78" s="344"/>
      <c r="P78" s="344"/>
      <c r="Q78" s="398"/>
      <c r="R78" s="344"/>
      <c r="S78" s="398"/>
      <c r="T78" s="399"/>
      <c r="U78" s="399"/>
      <c r="V78" s="399"/>
    </row>
    <row r="79" spans="1:22" s="365" customFormat="1">
      <c r="A79" s="336"/>
      <c r="B79" s="531">
        <v>19</v>
      </c>
      <c r="C79" s="532" t="s">
        <v>265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33">
        <f>F60*2</f>
        <v>4</v>
      </c>
      <c r="G79" s="360">
        <f ca="1">IF(ISERROR(OFFSET('HARGA SATUAN'!$I$6,MATCH(RAB!C79,'HARGA SATUAN'!$C$7:$C$1492,0),0)),0,OFFSET('HARGA SATUAN'!$I$6,MATCH(RAB!C79,'HARGA SATUAN'!$C$7:$C$1492,0),0))</f>
        <v>33501.866666666669</v>
      </c>
      <c r="H79" s="361">
        <f t="shared" ca="1" si="24"/>
        <v>0</v>
      </c>
      <c r="I79" s="361">
        <f t="shared" ca="1" si="25"/>
        <v>134007.46666666667</v>
      </c>
      <c r="J79" s="361">
        <f t="shared" ca="1" si="26"/>
        <v>0</v>
      </c>
      <c r="K79" s="362">
        <f t="shared" ca="1" si="27"/>
        <v>134007.46666666667</v>
      </c>
      <c r="L79" s="342"/>
      <c r="M79" s="342"/>
      <c r="N79" s="369"/>
      <c r="O79" s="344"/>
      <c r="P79" s="344"/>
      <c r="Q79" s="398"/>
      <c r="R79" s="344"/>
      <c r="S79" s="398"/>
      <c r="T79" s="399"/>
      <c r="U79" s="399"/>
      <c r="V79" s="399"/>
    </row>
    <row r="80" spans="1:22" s="365" customFormat="1">
      <c r="A80" s="336"/>
      <c r="B80" s="531">
        <v>20</v>
      </c>
      <c r="C80" s="532" t="s">
        <v>38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Mtr</v>
      </c>
      <c r="F80" s="533">
        <f>3.6*F60</f>
        <v>7.2</v>
      </c>
      <c r="G80" s="360">
        <f ca="1">IF(ISERROR(OFFSET('HARGA SATUAN'!$I$6,MATCH(RAB!C80,'HARGA SATUAN'!$C$7:$C$1492,0),0)),0,OFFSET('HARGA SATUAN'!$I$6,MATCH(RAB!C80,'HARGA SATUAN'!$C$7:$C$1492,0),0))</f>
        <v>8550</v>
      </c>
      <c r="H80" s="361">
        <f t="shared" ca="1" si="24"/>
        <v>0</v>
      </c>
      <c r="I80" s="361">
        <f t="shared" ca="1" si="25"/>
        <v>61560</v>
      </c>
      <c r="J80" s="361">
        <f t="shared" ca="1" si="26"/>
        <v>0</v>
      </c>
      <c r="K80" s="362">
        <f t="shared" ca="1" si="27"/>
        <v>61560</v>
      </c>
      <c r="L80" s="342"/>
      <c r="M80" s="342"/>
      <c r="N80" s="369"/>
      <c r="O80" s="344"/>
      <c r="P80" s="344"/>
      <c r="Q80" s="398"/>
      <c r="R80" s="344"/>
      <c r="S80" s="398"/>
      <c r="T80" s="399"/>
      <c r="U80" s="399"/>
      <c r="V80" s="399"/>
    </row>
    <row r="81" spans="1:22" s="365" customFormat="1">
      <c r="A81" s="336"/>
      <c r="B81" s="531">
        <v>21</v>
      </c>
      <c r="C81" s="532" t="s">
        <v>26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33">
        <f>F60*22</f>
        <v>44</v>
      </c>
      <c r="G81" s="360">
        <f ca="1">IF(ISERROR(OFFSET('HARGA SATUAN'!$I$6,MATCH(RAB!C81,'HARGA SATUAN'!$C$7:$C$1492,0),0)),0,OFFSET('HARGA SATUAN'!$I$6,MATCH(RAB!C81,'HARGA SATUAN'!$C$7:$C$1492,0),0))</f>
        <v>2500</v>
      </c>
      <c r="H81" s="361">
        <f t="shared" ca="1" si="24"/>
        <v>0</v>
      </c>
      <c r="I81" s="361">
        <f t="shared" ca="1" si="25"/>
        <v>110000</v>
      </c>
      <c r="J81" s="361">
        <f t="shared" ca="1" si="26"/>
        <v>0</v>
      </c>
      <c r="K81" s="362">
        <f t="shared" ca="1" si="27"/>
        <v>110000</v>
      </c>
      <c r="L81" s="342"/>
      <c r="M81" s="342"/>
      <c r="N81" s="369"/>
      <c r="O81" s="344"/>
      <c r="P81" s="344"/>
      <c r="Q81" s="398"/>
      <c r="R81" s="344"/>
      <c r="S81" s="398"/>
      <c r="T81" s="399"/>
      <c r="U81" s="399"/>
      <c r="V81" s="399"/>
    </row>
    <row r="82" spans="1:22" s="365" customFormat="1">
      <c r="A82" s="336"/>
      <c r="B82" s="531">
        <v>22</v>
      </c>
      <c r="C82" s="530" t="s">
        <v>709</v>
      </c>
      <c r="D82" s="358" t="str">
        <f ca="1">IF(ISERROR(OFFSET('HARGA SATUAN'!$D$6,MATCH(RAB!C82,'HARGA SATUAN'!$C$7:$C$1492,0),0)),"",OFFSET('HARGA SATUAN'!$D$6,MATCH(RAB!C82,'HARGA SATUAN'!$C$7:$C$1492,0),0))</f>
        <v>JASA</v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533">
        <f>F60*1</f>
        <v>2</v>
      </c>
      <c r="G82" s="360">
        <f ca="1">IF(ISERROR(OFFSET('HARGA SATUAN'!$I$6,MATCH(RAB!C82,'HARGA SATUAN'!$C$7:$C$1492,0),0)),0,OFFSET('HARGA SATUAN'!$I$6,MATCH(RAB!C82,'HARGA SATUAN'!$C$7:$C$1492,0),0))</f>
        <v>197500</v>
      </c>
      <c r="H82" s="361">
        <f t="shared" ca="1" si="24"/>
        <v>0</v>
      </c>
      <c r="I82" s="361">
        <f t="shared" ca="1" si="25"/>
        <v>0</v>
      </c>
      <c r="J82" s="361">
        <f t="shared" ca="1" si="26"/>
        <v>395000</v>
      </c>
      <c r="K82" s="362">
        <f t="shared" ca="1" si="27"/>
        <v>395000</v>
      </c>
      <c r="L82" s="342"/>
      <c r="M82" s="342"/>
      <c r="N82" s="369"/>
      <c r="O82" s="344"/>
      <c r="P82" s="344"/>
      <c r="Q82" s="398"/>
      <c r="R82" s="344"/>
      <c r="S82" s="398"/>
      <c r="T82" s="399"/>
      <c r="U82" s="399"/>
      <c r="V82" s="399"/>
    </row>
    <row r="83" spans="1:22" s="365" customFormat="1">
      <c r="A83" s="336"/>
      <c r="B83" s="373"/>
      <c r="C83" s="374"/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/>
      </c>
      <c r="F83" s="484"/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ref="H83:H107" ca="1" si="28">IF(OR(D83="MDU",D83="MDU-KD"),(IF($O$3="RAB NON MDU","PLN KD",G83*F83)),0)</f>
        <v>0</v>
      </c>
      <c r="I83" s="361">
        <f t="shared" ref="I83:I107" ca="1" si="29">IF(D83="HDW",G83*F83,0)</f>
        <v>0</v>
      </c>
      <c r="J83" s="361">
        <f t="shared" ref="J83:J107" ca="1" si="30">IF(D83="JASA",G83*F83,0)</f>
        <v>0</v>
      </c>
      <c r="K83" s="362">
        <f t="shared" ref="K83:K107" ca="1" si="31">SUM(H83:J83)</f>
        <v>0</v>
      </c>
      <c r="L83" s="342"/>
      <c r="M83" s="342"/>
      <c r="N83" s="369"/>
      <c r="O83" s="344"/>
      <c r="P83" s="344"/>
      <c r="Q83" s="398"/>
      <c r="R83" s="344"/>
      <c r="S83" s="398"/>
      <c r="T83" s="399"/>
      <c r="U83" s="399"/>
      <c r="V83" s="399"/>
    </row>
    <row r="84" spans="1:22" s="365" customFormat="1">
      <c r="A84" s="336"/>
      <c r="B84" s="737" t="s">
        <v>1035</v>
      </c>
      <c r="C84" s="738" t="s">
        <v>1644</v>
      </c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484">
        <v>2</v>
      </c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28"/>
        <v>0</v>
      </c>
      <c r="I84" s="361">
        <f t="shared" ca="1" si="29"/>
        <v>0</v>
      </c>
      <c r="J84" s="361">
        <f t="shared" ca="1" si="30"/>
        <v>0</v>
      </c>
      <c r="K84" s="362">
        <f t="shared" ca="1" si="31"/>
        <v>0</v>
      </c>
      <c r="L84" s="342"/>
      <c r="M84" s="342"/>
      <c r="N84" s="369"/>
      <c r="O84" s="344"/>
      <c r="P84" s="344"/>
      <c r="Q84" s="398"/>
      <c r="R84" s="344"/>
      <c r="S84" s="398"/>
      <c r="T84" s="399"/>
      <c r="U84" s="399"/>
      <c r="V84" s="399"/>
    </row>
    <row r="85" spans="1:22" s="365" customFormat="1">
      <c r="A85" s="336"/>
      <c r="B85" s="737">
        <v>1</v>
      </c>
      <c r="C85" s="109" t="s">
        <v>1129</v>
      </c>
      <c r="D85" s="358" t="str">
        <f ca="1">IF(ISERROR(OFFSET('HARGA SATUAN'!$D$6,MATCH(RAB!C85,'HARGA SATUAN'!$C$7:$C$1492,0),0)),"",OFFSET('HARGA SATUAN'!$D$6,MATCH(RAB!C85,'HARGA SATUAN'!$C$7:$C$1492,0),0))</f>
        <v>MDU-KD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484">
        <f>F84*1</f>
        <v>2</v>
      </c>
      <c r="G85" s="360">
        <f ca="1">IF(ISERROR(OFFSET('HARGA SATUAN'!$I$6,MATCH(RAB!C85,'HARGA SATUAN'!$C$7:$C$1492,0),0)),0,OFFSET('HARGA SATUAN'!$I$6,MATCH(RAB!C85,'HARGA SATUAN'!$C$7:$C$1492,0),0))</f>
        <v>176900</v>
      </c>
      <c r="H85" s="361">
        <f t="shared" ca="1" si="28"/>
        <v>353800</v>
      </c>
      <c r="I85" s="361">
        <f t="shared" ca="1" si="29"/>
        <v>0</v>
      </c>
      <c r="J85" s="361">
        <f t="shared" ca="1" si="30"/>
        <v>0</v>
      </c>
      <c r="K85" s="362">
        <f t="shared" ca="1" si="31"/>
        <v>353800</v>
      </c>
      <c r="L85" s="342"/>
      <c r="M85" s="342"/>
      <c r="N85" s="369"/>
      <c r="O85" s="344"/>
      <c r="P85" s="344"/>
      <c r="Q85" s="398"/>
      <c r="R85" s="344"/>
      <c r="S85" s="398"/>
      <c r="T85" s="399"/>
      <c r="U85" s="399"/>
      <c r="V85" s="399"/>
    </row>
    <row r="86" spans="1:22" s="365" customFormat="1">
      <c r="A86" s="336"/>
      <c r="B86" s="737">
        <v>2</v>
      </c>
      <c r="C86" s="109" t="s">
        <v>1129</v>
      </c>
      <c r="D86" s="358" t="str">
        <f ca="1">IF(ISERROR(OFFSET('HARGA SATUAN'!$D$6,MATCH(RAB!C86,'HARGA SATUAN'!$C$7:$C$1492,0),0)),"",OFFSET('HARGA SATUAN'!$D$6,MATCH(RAB!C86,'HARGA SATUAN'!$C$7:$C$1492,0),0))</f>
        <v>MDU-KD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484">
        <f>F84*2</f>
        <v>4</v>
      </c>
      <c r="G86" s="360">
        <f ca="1">IF(ISERROR(OFFSET('HARGA SATUAN'!$I$6,MATCH(RAB!C86,'HARGA SATUAN'!$C$7:$C$1492,0),0)),0,OFFSET('HARGA SATUAN'!$I$6,MATCH(RAB!C86,'HARGA SATUAN'!$C$7:$C$1492,0),0))</f>
        <v>176900</v>
      </c>
      <c r="H86" s="361">
        <f t="shared" ca="1" si="28"/>
        <v>707600</v>
      </c>
      <c r="I86" s="361">
        <f t="shared" ca="1" si="29"/>
        <v>0</v>
      </c>
      <c r="J86" s="361">
        <f t="shared" ca="1" si="30"/>
        <v>0</v>
      </c>
      <c r="K86" s="362">
        <f t="shared" ca="1" si="31"/>
        <v>707600</v>
      </c>
      <c r="L86" s="342"/>
      <c r="M86" s="342"/>
      <c r="N86" s="369"/>
      <c r="O86" s="344"/>
      <c r="P86" s="344"/>
      <c r="Q86" s="398"/>
      <c r="R86" s="344"/>
      <c r="S86" s="398"/>
      <c r="T86" s="399"/>
      <c r="U86" s="399"/>
      <c r="V86" s="399"/>
    </row>
    <row r="87" spans="1:22" s="365" customFormat="1">
      <c r="A87" s="336"/>
      <c r="B87" s="737">
        <v>3</v>
      </c>
      <c r="C87" s="109" t="s">
        <v>1569</v>
      </c>
      <c r="D87" s="358" t="str">
        <f ca="1">IF(ISERROR(OFFSET('HARGA SATUAN'!$D$6,MATCH(RAB!C87,'HARGA SATUAN'!$C$7:$C$1492,0),0)),"",OFFSET('HARGA SATUAN'!$D$6,MATCH(RAB!C87,'HARGA SATUAN'!$C$7:$C$1492,0),0))</f>
        <v>MDU-KD</v>
      </c>
      <c r="E87" s="359" t="str">
        <f ca="1">IF(B87="+","Unit",IF(ISERROR(OFFSET('HARGA SATUAN'!$E$6,MATCH(RAB!C87,'HARGA SATUAN'!$C$7:$C$1492,0),0)),"",OFFSET('HARGA SATUAN'!$E$6,MATCH(RAB!C87,'HARGA SATUAN'!$C$7:$C$1492,0),0)))</f>
        <v>Set</v>
      </c>
      <c r="F87" s="484">
        <f>F84*6</f>
        <v>12</v>
      </c>
      <c r="G87" s="360">
        <f ca="1">IF(ISERROR(OFFSET('HARGA SATUAN'!$I$6,MATCH(RAB!C87,'HARGA SATUAN'!$C$7:$C$1492,0),0)),0,OFFSET('HARGA SATUAN'!$I$6,MATCH(RAB!C87,'HARGA SATUAN'!$C$7:$C$1492,0),0))</f>
        <v>205700</v>
      </c>
      <c r="H87" s="361">
        <f t="shared" ca="1" si="28"/>
        <v>2468400</v>
      </c>
      <c r="I87" s="361">
        <f t="shared" ca="1" si="29"/>
        <v>0</v>
      </c>
      <c r="J87" s="361">
        <f t="shared" ca="1" si="30"/>
        <v>0</v>
      </c>
      <c r="K87" s="362">
        <f t="shared" ca="1" si="31"/>
        <v>2468400</v>
      </c>
      <c r="L87" s="342"/>
      <c r="M87" s="342"/>
      <c r="N87" s="369"/>
      <c r="O87" s="344"/>
      <c r="P87" s="344"/>
      <c r="Q87" s="398"/>
      <c r="R87" s="344"/>
      <c r="S87" s="398"/>
      <c r="T87" s="399"/>
      <c r="U87" s="399"/>
      <c r="V87" s="399"/>
    </row>
    <row r="88" spans="1:22" s="365" customFormat="1">
      <c r="A88" s="336"/>
      <c r="B88" s="737">
        <v>4</v>
      </c>
      <c r="C88" s="738" t="s">
        <v>152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Mtr</v>
      </c>
      <c r="F88" s="484">
        <f>F84*2</f>
        <v>4</v>
      </c>
      <c r="G88" s="360">
        <f ca="1">IF(ISERROR(OFFSET('HARGA SATUAN'!$I$6,MATCH(RAB!C88,'HARGA SATUAN'!$C$7:$C$1492,0),0)),0,OFFSET('HARGA SATUAN'!$I$6,MATCH(RAB!C88,'HARGA SATUAN'!$C$7:$C$1492,0),0))</f>
        <v>7789</v>
      </c>
      <c r="H88" s="361">
        <f t="shared" ca="1" si="28"/>
        <v>0</v>
      </c>
      <c r="I88" s="361">
        <f t="shared" ca="1" si="29"/>
        <v>31156</v>
      </c>
      <c r="J88" s="361">
        <f t="shared" ca="1" si="30"/>
        <v>0</v>
      </c>
      <c r="K88" s="362">
        <f t="shared" ca="1" si="31"/>
        <v>31156</v>
      </c>
      <c r="L88" s="342"/>
      <c r="M88" s="342"/>
      <c r="N88" s="369"/>
      <c r="O88" s="344"/>
      <c r="P88" s="344"/>
      <c r="Q88" s="398"/>
      <c r="R88" s="344"/>
      <c r="S88" s="398"/>
      <c r="T88" s="399"/>
      <c r="U88" s="399"/>
      <c r="V88" s="399"/>
    </row>
    <row r="89" spans="1:22" s="365" customFormat="1">
      <c r="A89" s="336"/>
      <c r="B89" s="737">
        <v>5</v>
      </c>
      <c r="C89" s="738" t="s">
        <v>157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484">
        <f>F84*2</f>
        <v>4</v>
      </c>
      <c r="G89" s="360">
        <f ca="1">IF(ISERROR(OFFSET('HARGA SATUAN'!$I$6,MATCH(RAB!C89,'HARGA SATUAN'!$C$7:$C$1492,0),0)),0,OFFSET('HARGA SATUAN'!$I$6,MATCH(RAB!C89,'HARGA SATUAN'!$C$7:$C$1492,0),0))</f>
        <v>40000</v>
      </c>
      <c r="H89" s="361">
        <f t="shared" ca="1" si="28"/>
        <v>0</v>
      </c>
      <c r="I89" s="361">
        <f t="shared" ca="1" si="29"/>
        <v>160000</v>
      </c>
      <c r="J89" s="361">
        <f t="shared" ca="1" si="30"/>
        <v>0</v>
      </c>
      <c r="K89" s="362">
        <f t="shared" ca="1" si="31"/>
        <v>160000</v>
      </c>
      <c r="L89" s="342"/>
      <c r="M89" s="342"/>
      <c r="N89" s="369"/>
      <c r="O89" s="344"/>
      <c r="P89" s="344"/>
      <c r="Q89" s="398"/>
      <c r="R89" s="344"/>
      <c r="S89" s="398"/>
      <c r="T89" s="399"/>
      <c r="U89" s="399"/>
      <c r="V89" s="399"/>
    </row>
    <row r="90" spans="1:22" s="365" customFormat="1">
      <c r="A90" s="336"/>
      <c r="B90" s="737">
        <v>6</v>
      </c>
      <c r="C90" s="738" t="s">
        <v>28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484">
        <f>F84*3</f>
        <v>6</v>
      </c>
      <c r="G90" s="360">
        <f ca="1">IF(ISERROR(OFFSET('HARGA SATUAN'!$I$6,MATCH(RAB!C90,'HARGA SATUAN'!$C$7:$C$1492,0),0)),0,OFFSET('HARGA SATUAN'!$I$6,MATCH(RAB!C90,'HARGA SATUAN'!$C$7:$C$1492,0),0))</f>
        <v>26500</v>
      </c>
      <c r="H90" s="361">
        <f t="shared" ca="1" si="28"/>
        <v>0</v>
      </c>
      <c r="I90" s="361">
        <f t="shared" ca="1" si="29"/>
        <v>159000</v>
      </c>
      <c r="J90" s="361">
        <f t="shared" ca="1" si="30"/>
        <v>0</v>
      </c>
      <c r="K90" s="362">
        <f t="shared" ca="1" si="31"/>
        <v>159000</v>
      </c>
      <c r="L90" s="342"/>
      <c r="M90" s="342"/>
      <c r="N90" s="369"/>
      <c r="O90" s="344"/>
      <c r="P90" s="344"/>
      <c r="Q90" s="398"/>
      <c r="R90" s="344"/>
      <c r="S90" s="398"/>
      <c r="T90" s="399"/>
      <c r="U90" s="399"/>
      <c r="V90" s="399"/>
    </row>
    <row r="91" spans="1:22" s="365" customFormat="1">
      <c r="A91" s="336"/>
      <c r="B91" s="737">
        <v>7</v>
      </c>
      <c r="C91" s="738" t="s">
        <v>163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484">
        <f>F84*4</f>
        <v>8</v>
      </c>
      <c r="G91" s="360">
        <f ca="1">IF(ISERROR(OFFSET('HARGA SATUAN'!$I$6,MATCH(RAB!C91,'HARGA SATUAN'!$C$7:$C$1492,0),0)),0,OFFSET('HARGA SATUAN'!$I$6,MATCH(RAB!C91,'HARGA SATUAN'!$C$7:$C$1492,0),0))</f>
        <v>7938</v>
      </c>
      <c r="H91" s="361">
        <f t="shared" ca="1" si="28"/>
        <v>0</v>
      </c>
      <c r="I91" s="361">
        <f t="shared" ca="1" si="29"/>
        <v>63504</v>
      </c>
      <c r="J91" s="361">
        <f t="shared" ca="1" si="30"/>
        <v>0</v>
      </c>
      <c r="K91" s="362">
        <f t="shared" ca="1" si="31"/>
        <v>63504</v>
      </c>
      <c r="L91" s="342"/>
      <c r="M91" s="342"/>
      <c r="N91" s="369"/>
      <c r="O91" s="344"/>
      <c r="P91" s="344"/>
      <c r="Q91" s="398"/>
      <c r="R91" s="344"/>
      <c r="S91" s="398"/>
      <c r="T91" s="399"/>
      <c r="U91" s="399"/>
      <c r="V91" s="399"/>
    </row>
    <row r="92" spans="1:22" s="365" customFormat="1">
      <c r="A92" s="336"/>
      <c r="B92" s="737">
        <v>8</v>
      </c>
      <c r="C92" s="738" t="s">
        <v>173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484">
        <f>F84*4</f>
        <v>8</v>
      </c>
      <c r="G92" s="360">
        <f ca="1">IF(ISERROR(OFFSET('HARGA SATUAN'!$I$6,MATCH(RAB!C92,'HARGA SATUAN'!$C$7:$C$1492,0),0)),0,OFFSET('HARGA SATUAN'!$I$6,MATCH(RAB!C92,'HARGA SATUAN'!$C$7:$C$1492,0),0))</f>
        <v>45000</v>
      </c>
      <c r="H92" s="361">
        <f t="shared" ca="1" si="28"/>
        <v>0</v>
      </c>
      <c r="I92" s="361">
        <f t="shared" ca="1" si="29"/>
        <v>360000</v>
      </c>
      <c r="J92" s="361">
        <f t="shared" ca="1" si="30"/>
        <v>0</v>
      </c>
      <c r="K92" s="362">
        <f t="shared" ca="1" si="31"/>
        <v>360000</v>
      </c>
      <c r="L92" s="342"/>
      <c r="M92" s="342"/>
      <c r="N92" s="369"/>
      <c r="O92" s="344"/>
      <c r="P92" s="344"/>
      <c r="Q92" s="398"/>
      <c r="R92" s="344"/>
      <c r="S92" s="398"/>
      <c r="T92" s="399"/>
      <c r="U92" s="399"/>
      <c r="V92" s="399"/>
    </row>
    <row r="93" spans="1:22" s="365" customFormat="1">
      <c r="A93" s="336"/>
      <c r="B93" s="737">
        <v>9</v>
      </c>
      <c r="C93" s="738" t="s">
        <v>178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484">
        <f>F84*1</f>
        <v>2</v>
      </c>
      <c r="G93" s="360">
        <f ca="1">IF(ISERROR(OFFSET('HARGA SATUAN'!$I$6,MATCH(RAB!C93,'HARGA SATUAN'!$C$7:$C$1492,0),0)),0,OFFSET('HARGA SATUAN'!$I$6,MATCH(RAB!C93,'HARGA SATUAN'!$C$7:$C$1492,0),0))</f>
        <v>95000</v>
      </c>
      <c r="H93" s="361">
        <f t="shared" ca="1" si="28"/>
        <v>0</v>
      </c>
      <c r="I93" s="361">
        <f t="shared" ca="1" si="29"/>
        <v>190000</v>
      </c>
      <c r="J93" s="361">
        <f t="shared" ca="1" si="30"/>
        <v>0</v>
      </c>
      <c r="K93" s="362">
        <f t="shared" ca="1" si="31"/>
        <v>190000</v>
      </c>
      <c r="L93" s="342"/>
      <c r="M93" s="342"/>
      <c r="N93" s="369"/>
      <c r="O93" s="344"/>
      <c r="P93" s="344"/>
      <c r="Q93" s="398"/>
      <c r="R93" s="344"/>
      <c r="S93" s="398"/>
      <c r="T93" s="399"/>
      <c r="U93" s="399"/>
      <c r="V93" s="399"/>
    </row>
    <row r="94" spans="1:22" s="365" customFormat="1">
      <c r="A94" s="336"/>
      <c r="B94" s="737">
        <v>10</v>
      </c>
      <c r="C94" s="738" t="s">
        <v>179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484">
        <f>F84*2</f>
        <v>4</v>
      </c>
      <c r="G94" s="360">
        <f ca="1">IF(ISERROR(OFFSET('HARGA SATUAN'!$I$6,MATCH(RAB!C94,'HARGA SATUAN'!$C$7:$C$1492,0),0)),0,OFFSET('HARGA SATUAN'!$I$6,MATCH(RAB!C94,'HARGA SATUAN'!$C$7:$C$1492,0),0))</f>
        <v>15500</v>
      </c>
      <c r="H94" s="361">
        <f t="shared" ca="1" si="28"/>
        <v>0</v>
      </c>
      <c r="I94" s="361">
        <f t="shared" ca="1" si="29"/>
        <v>62000</v>
      </c>
      <c r="J94" s="361">
        <f t="shared" ca="1" si="30"/>
        <v>0</v>
      </c>
      <c r="K94" s="362">
        <f t="shared" ca="1" si="31"/>
        <v>62000</v>
      </c>
      <c r="L94" s="342"/>
      <c r="M94" s="342"/>
      <c r="N94" s="369"/>
      <c r="O94" s="344"/>
      <c r="P94" s="344"/>
      <c r="Q94" s="398"/>
      <c r="R94" s="344"/>
      <c r="S94" s="398"/>
      <c r="T94" s="399"/>
      <c r="U94" s="399"/>
      <c r="V94" s="399"/>
    </row>
    <row r="95" spans="1:22" s="365" customFormat="1">
      <c r="A95" s="336"/>
      <c r="B95" s="737">
        <v>11</v>
      </c>
      <c r="C95" s="738" t="s">
        <v>181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484">
        <f>F84*4</f>
        <v>8</v>
      </c>
      <c r="G95" s="360">
        <f ca="1">IF(ISERROR(OFFSET('HARGA SATUAN'!$I$6,MATCH(RAB!C95,'HARGA SATUAN'!$C$7:$C$1492,0),0)),0,OFFSET('HARGA SATUAN'!$I$6,MATCH(RAB!C95,'HARGA SATUAN'!$C$7:$C$1492,0),0))</f>
        <v>28100</v>
      </c>
      <c r="H95" s="361">
        <f t="shared" ca="1" si="28"/>
        <v>0</v>
      </c>
      <c r="I95" s="361">
        <f t="shared" ca="1" si="29"/>
        <v>224800</v>
      </c>
      <c r="J95" s="361">
        <f t="shared" ca="1" si="30"/>
        <v>0</v>
      </c>
      <c r="K95" s="362">
        <f t="shared" ca="1" si="31"/>
        <v>224800</v>
      </c>
      <c r="L95" s="342"/>
      <c r="M95" s="342"/>
      <c r="N95" s="369"/>
      <c r="O95" s="344"/>
      <c r="P95" s="344"/>
      <c r="Q95" s="398"/>
      <c r="R95" s="344"/>
      <c r="S95" s="398"/>
      <c r="T95" s="399"/>
      <c r="U95" s="399"/>
      <c r="V95" s="399"/>
    </row>
    <row r="96" spans="1:22" s="365" customFormat="1">
      <c r="A96" s="336"/>
      <c r="B96" s="737">
        <v>12</v>
      </c>
      <c r="C96" s="738" t="s">
        <v>593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484">
        <f>F84*2</f>
        <v>4</v>
      </c>
      <c r="G96" s="360">
        <f ca="1">IF(ISERROR(OFFSET('HARGA SATUAN'!$I$6,MATCH(RAB!C96,'HARGA SATUAN'!$C$7:$C$1492,0),0)),0,OFFSET('HARGA SATUAN'!$I$6,MATCH(RAB!C96,'HARGA SATUAN'!$C$7:$C$1492,0),0))</f>
        <v>380500</v>
      </c>
      <c r="H96" s="361">
        <f t="shared" ca="1" si="28"/>
        <v>0</v>
      </c>
      <c r="I96" s="361">
        <f t="shared" ca="1" si="29"/>
        <v>1522000</v>
      </c>
      <c r="J96" s="361">
        <f t="shared" ca="1" si="30"/>
        <v>0</v>
      </c>
      <c r="K96" s="362">
        <f t="shared" ca="1" si="31"/>
        <v>1522000</v>
      </c>
      <c r="L96" s="342"/>
      <c r="M96" s="342"/>
      <c r="N96" s="369"/>
      <c r="O96" s="344"/>
      <c r="P96" s="344"/>
      <c r="Q96" s="398"/>
      <c r="R96" s="344"/>
      <c r="S96" s="398"/>
      <c r="T96" s="399"/>
      <c r="U96" s="399"/>
      <c r="V96" s="399"/>
    </row>
    <row r="97" spans="1:22" s="365" customFormat="1">
      <c r="A97" s="336"/>
      <c r="B97" s="737">
        <v>13</v>
      </c>
      <c r="C97" s="738" t="s">
        <v>217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484">
        <f>F84*3</f>
        <v>6</v>
      </c>
      <c r="G97" s="360">
        <f ca="1">IF(ISERROR(OFFSET('HARGA SATUAN'!$I$6,MATCH(RAB!C97,'HARGA SATUAN'!$C$7:$C$1492,0),0)),0,OFFSET('HARGA SATUAN'!$I$6,MATCH(RAB!C97,'HARGA SATUAN'!$C$7:$C$1492,0),0))</f>
        <v>11400</v>
      </c>
      <c r="H97" s="361">
        <f t="shared" ca="1" si="28"/>
        <v>0</v>
      </c>
      <c r="I97" s="361">
        <f t="shared" ca="1" si="29"/>
        <v>68400</v>
      </c>
      <c r="J97" s="361">
        <f t="shared" ca="1" si="30"/>
        <v>0</v>
      </c>
      <c r="K97" s="362">
        <f t="shared" ca="1" si="31"/>
        <v>68400</v>
      </c>
      <c r="L97" s="342"/>
      <c r="M97" s="342"/>
      <c r="N97" s="369"/>
      <c r="O97" s="344"/>
      <c r="P97" s="344"/>
      <c r="Q97" s="398"/>
      <c r="R97" s="344"/>
      <c r="S97" s="398"/>
      <c r="T97" s="399"/>
      <c r="U97" s="399"/>
      <c r="V97" s="399"/>
    </row>
    <row r="98" spans="1:22" s="365" customFormat="1">
      <c r="A98" s="336"/>
      <c r="B98" s="737">
        <v>14</v>
      </c>
      <c r="C98" s="738" t="s">
        <v>218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484">
        <f>F84*4</f>
        <v>8</v>
      </c>
      <c r="G98" s="360">
        <f ca="1">IF(ISERROR(OFFSET('HARGA SATUAN'!$I$6,MATCH(RAB!C98,'HARGA SATUAN'!$C$7:$C$1492,0),0)),0,OFFSET('HARGA SATUAN'!$I$6,MATCH(RAB!C98,'HARGA SATUAN'!$C$7:$C$1492,0),0))</f>
        <v>29600</v>
      </c>
      <c r="H98" s="361">
        <f t="shared" ca="1" si="28"/>
        <v>0</v>
      </c>
      <c r="I98" s="361">
        <f t="shared" ca="1" si="29"/>
        <v>236800</v>
      </c>
      <c r="J98" s="361">
        <f t="shared" ca="1" si="30"/>
        <v>0</v>
      </c>
      <c r="K98" s="362">
        <f t="shared" ca="1" si="31"/>
        <v>236800</v>
      </c>
      <c r="L98" s="342"/>
      <c r="M98" s="342"/>
      <c r="N98" s="369"/>
      <c r="O98" s="344"/>
      <c r="P98" s="344"/>
      <c r="Q98" s="398"/>
      <c r="R98" s="344"/>
      <c r="S98" s="398"/>
      <c r="T98" s="399"/>
      <c r="U98" s="399"/>
      <c r="V98" s="399"/>
    </row>
    <row r="99" spans="1:22" s="365" customFormat="1">
      <c r="A99" s="336"/>
      <c r="B99" s="737">
        <v>15</v>
      </c>
      <c r="C99" s="738" t="s">
        <v>223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484">
        <f>F84*3</f>
        <v>6</v>
      </c>
      <c r="G99" s="360">
        <f ca="1">IF(ISERROR(OFFSET('HARGA SATUAN'!$I$6,MATCH(RAB!C99,'HARGA SATUAN'!$C$7:$C$1492,0),0)),0,OFFSET('HARGA SATUAN'!$I$6,MATCH(RAB!C99,'HARGA SATUAN'!$C$7:$C$1492,0),0))</f>
        <v>27815</v>
      </c>
      <c r="H99" s="361">
        <f t="shared" ca="1" si="28"/>
        <v>0</v>
      </c>
      <c r="I99" s="361">
        <f t="shared" ca="1" si="29"/>
        <v>166890</v>
      </c>
      <c r="J99" s="361">
        <f t="shared" ca="1" si="30"/>
        <v>0</v>
      </c>
      <c r="K99" s="362">
        <f t="shared" ca="1" si="31"/>
        <v>166890</v>
      </c>
      <c r="L99" s="342"/>
      <c r="M99" s="342"/>
      <c r="N99" s="369"/>
      <c r="O99" s="344"/>
      <c r="P99" s="344"/>
      <c r="Q99" s="398"/>
      <c r="R99" s="344"/>
      <c r="S99" s="398"/>
      <c r="T99" s="399"/>
      <c r="U99" s="399"/>
      <c r="V99" s="399"/>
    </row>
    <row r="100" spans="1:22" s="365" customFormat="1">
      <c r="A100" s="336"/>
      <c r="B100" s="737">
        <v>16</v>
      </c>
      <c r="C100" s="738" t="s">
        <v>25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484">
        <f>F84*9</f>
        <v>18</v>
      </c>
      <c r="G100" s="360">
        <f ca="1">IF(ISERROR(OFFSET('HARGA SATUAN'!$I$6,MATCH(RAB!C100,'HARGA SATUAN'!$C$7:$C$1492,0),0)),0,OFFSET('HARGA SATUAN'!$I$6,MATCH(RAB!C100,'HARGA SATUAN'!$C$7:$C$1492,0),0))</f>
        <v>23936</v>
      </c>
      <c r="H100" s="361">
        <f t="shared" ca="1" si="28"/>
        <v>0</v>
      </c>
      <c r="I100" s="361">
        <f t="shared" ca="1" si="29"/>
        <v>430848</v>
      </c>
      <c r="J100" s="361">
        <f t="shared" ca="1" si="30"/>
        <v>0</v>
      </c>
      <c r="K100" s="362">
        <f t="shared" ca="1" si="31"/>
        <v>430848</v>
      </c>
      <c r="L100" s="342"/>
      <c r="M100" s="342"/>
      <c r="N100" s="369"/>
      <c r="O100" s="344"/>
      <c r="P100" s="344"/>
      <c r="Q100" s="398"/>
      <c r="R100" s="344"/>
      <c r="S100" s="398"/>
      <c r="T100" s="399"/>
      <c r="U100" s="399"/>
      <c r="V100" s="399"/>
    </row>
    <row r="101" spans="1:22" s="365" customFormat="1">
      <c r="A101" s="336"/>
      <c r="B101" s="737">
        <v>17</v>
      </c>
      <c r="C101" s="738" t="s">
        <v>37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484">
        <f>F84*1</f>
        <v>2</v>
      </c>
      <c r="G101" s="360">
        <f ca="1">IF(ISERROR(OFFSET('HARGA SATUAN'!$I$6,MATCH(RAB!C101,'HARGA SATUAN'!$C$7:$C$1492,0),0)),0,OFFSET('HARGA SATUAN'!$I$6,MATCH(RAB!C101,'HARGA SATUAN'!$C$7:$C$1492,0),0))</f>
        <v>63500</v>
      </c>
      <c r="H101" s="361">
        <f t="shared" ca="1" si="28"/>
        <v>0</v>
      </c>
      <c r="I101" s="361">
        <f t="shared" ca="1" si="29"/>
        <v>127000</v>
      </c>
      <c r="J101" s="361">
        <f t="shared" ca="1" si="30"/>
        <v>0</v>
      </c>
      <c r="K101" s="362">
        <f t="shared" ca="1" si="31"/>
        <v>127000</v>
      </c>
      <c r="L101" s="342"/>
      <c r="M101" s="342"/>
      <c r="N101" s="369"/>
      <c r="O101" s="344"/>
      <c r="P101" s="344"/>
      <c r="Q101" s="398"/>
      <c r="R101" s="344"/>
      <c r="S101" s="398"/>
      <c r="T101" s="399"/>
      <c r="U101" s="399"/>
      <c r="V101" s="399"/>
    </row>
    <row r="102" spans="1:22" s="365" customFormat="1">
      <c r="A102" s="336"/>
      <c r="B102" s="737">
        <v>18</v>
      </c>
      <c r="C102" s="738" t="s">
        <v>27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484">
        <f>F84*8</f>
        <v>16</v>
      </c>
      <c r="G102" s="360">
        <f ca="1">IF(ISERROR(OFFSET('HARGA SATUAN'!$I$6,MATCH(RAB!C102,'HARGA SATUAN'!$C$7:$C$1492,0),0)),0,OFFSET('HARGA SATUAN'!$I$6,MATCH(RAB!C102,'HARGA SATUAN'!$C$7:$C$1492,0),0))</f>
        <v>16000</v>
      </c>
      <c r="H102" s="361">
        <f t="shared" ca="1" si="28"/>
        <v>0</v>
      </c>
      <c r="I102" s="361">
        <f t="shared" ca="1" si="29"/>
        <v>256000</v>
      </c>
      <c r="J102" s="361">
        <f t="shared" ca="1" si="30"/>
        <v>0</v>
      </c>
      <c r="K102" s="362">
        <f t="shared" ca="1" si="31"/>
        <v>256000</v>
      </c>
      <c r="L102" s="342"/>
      <c r="M102" s="342"/>
      <c r="N102" s="369"/>
      <c r="O102" s="344"/>
      <c r="P102" s="344"/>
      <c r="Q102" s="398"/>
      <c r="R102" s="344"/>
      <c r="S102" s="398"/>
      <c r="T102" s="399"/>
      <c r="U102" s="399"/>
      <c r="V102" s="399"/>
    </row>
    <row r="103" spans="1:22" s="365" customFormat="1">
      <c r="A103" s="336"/>
      <c r="B103" s="737">
        <v>19</v>
      </c>
      <c r="C103" s="738" t="s">
        <v>265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484">
        <f>F84*2</f>
        <v>4</v>
      </c>
      <c r="G103" s="360">
        <f ca="1">IF(ISERROR(OFFSET('HARGA SATUAN'!$I$6,MATCH(RAB!C103,'HARGA SATUAN'!$C$7:$C$1492,0),0)),0,OFFSET('HARGA SATUAN'!$I$6,MATCH(RAB!C103,'HARGA SATUAN'!$C$7:$C$1492,0),0))</f>
        <v>33501.866666666669</v>
      </c>
      <c r="H103" s="361">
        <f t="shared" ca="1" si="28"/>
        <v>0</v>
      </c>
      <c r="I103" s="361">
        <f t="shared" ca="1" si="29"/>
        <v>134007.46666666667</v>
      </c>
      <c r="J103" s="361">
        <f t="shared" ca="1" si="30"/>
        <v>0</v>
      </c>
      <c r="K103" s="362">
        <f t="shared" ca="1" si="31"/>
        <v>134007.46666666667</v>
      </c>
      <c r="L103" s="342"/>
      <c r="M103" s="342"/>
      <c r="N103" s="369"/>
      <c r="O103" s="344"/>
      <c r="P103" s="344"/>
      <c r="Q103" s="398"/>
      <c r="R103" s="344"/>
      <c r="S103" s="398"/>
      <c r="T103" s="399"/>
      <c r="U103" s="399"/>
      <c r="V103" s="399"/>
    </row>
    <row r="104" spans="1:22" s="365" customFormat="1">
      <c r="A104" s="336"/>
      <c r="B104" s="737">
        <v>20</v>
      </c>
      <c r="C104" s="738" t="s">
        <v>38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Mtr</v>
      </c>
      <c r="F104" s="484">
        <f>5.4*F84</f>
        <v>10.8</v>
      </c>
      <c r="G104" s="360">
        <f ca="1">IF(ISERROR(OFFSET('HARGA SATUAN'!$I$6,MATCH(RAB!C104,'HARGA SATUAN'!$C$7:$C$1492,0),0)),0,OFFSET('HARGA SATUAN'!$I$6,MATCH(RAB!C104,'HARGA SATUAN'!$C$7:$C$1492,0),0))</f>
        <v>8550</v>
      </c>
      <c r="H104" s="361">
        <f t="shared" ca="1" si="28"/>
        <v>0</v>
      </c>
      <c r="I104" s="361">
        <f t="shared" ca="1" si="29"/>
        <v>92340</v>
      </c>
      <c r="J104" s="361">
        <f t="shared" ca="1" si="30"/>
        <v>0</v>
      </c>
      <c r="K104" s="362">
        <f t="shared" ca="1" si="31"/>
        <v>92340</v>
      </c>
      <c r="L104" s="342"/>
      <c r="M104" s="342"/>
      <c r="N104" s="369"/>
      <c r="O104" s="344"/>
      <c r="P104" s="344"/>
      <c r="Q104" s="398"/>
      <c r="R104" s="344"/>
      <c r="S104" s="398"/>
      <c r="T104" s="399"/>
      <c r="U104" s="399"/>
      <c r="V104" s="399"/>
    </row>
    <row r="105" spans="1:22" s="365" customFormat="1">
      <c r="A105" s="336"/>
      <c r="B105" s="737">
        <v>21</v>
      </c>
      <c r="C105" s="738" t="s">
        <v>26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484">
        <f>F84*13</f>
        <v>26</v>
      </c>
      <c r="G105" s="360">
        <f ca="1">IF(ISERROR(OFFSET('HARGA SATUAN'!$I$6,MATCH(RAB!C105,'HARGA SATUAN'!$C$7:$C$1492,0),0)),0,OFFSET('HARGA SATUAN'!$I$6,MATCH(RAB!C105,'HARGA SATUAN'!$C$7:$C$1492,0),0))</f>
        <v>2500</v>
      </c>
      <c r="H105" s="361">
        <f t="shared" ca="1" si="28"/>
        <v>0</v>
      </c>
      <c r="I105" s="361">
        <f t="shared" ca="1" si="29"/>
        <v>65000</v>
      </c>
      <c r="J105" s="361">
        <f t="shared" ca="1" si="30"/>
        <v>0</v>
      </c>
      <c r="K105" s="362">
        <f t="shared" ca="1" si="31"/>
        <v>65000</v>
      </c>
      <c r="L105" s="342"/>
      <c r="M105" s="342"/>
      <c r="N105" s="369"/>
      <c r="O105" s="344"/>
      <c r="P105" s="344"/>
      <c r="Q105" s="398"/>
      <c r="R105" s="344"/>
      <c r="S105" s="398"/>
      <c r="T105" s="399"/>
      <c r="U105" s="399"/>
      <c r="V105" s="399"/>
    </row>
    <row r="106" spans="1:22" s="365" customFormat="1">
      <c r="A106" s="336"/>
      <c r="B106" s="737">
        <v>22</v>
      </c>
      <c r="C106" s="738" t="s">
        <v>708</v>
      </c>
      <c r="D106" s="358" t="str">
        <f ca="1">IF(ISERROR(OFFSET('HARGA SATUAN'!$D$6,MATCH(RAB!C106,'HARGA SATUAN'!$C$7:$C$1492,0),0)),"",OFFSET('HARGA SATUAN'!$D$6,MATCH(RAB!C106,'HARGA SATUAN'!$C$7:$C$1492,0),0))</f>
        <v>JASA</v>
      </c>
      <c r="E106" s="359" t="str">
        <f ca="1">IF(B106="+","Unit",IF(ISERROR(OFFSET('HARGA SATUAN'!$E$6,MATCH(RAB!C106,'HARGA SATUAN'!$C$7:$C$1492,0),0)),"",OFFSET('HARGA SATUAN'!$E$6,MATCH(RAB!C106,'HARGA SATUAN'!$C$7:$C$1492,0),0)))</f>
        <v>Unit</v>
      </c>
      <c r="F106" s="484">
        <f>F84*1</f>
        <v>2</v>
      </c>
      <c r="G106" s="360">
        <f ca="1">IF(ISERROR(OFFSET('HARGA SATUAN'!$I$6,MATCH(RAB!C106,'HARGA SATUAN'!$C$7:$C$1492,0),0)),0,OFFSET('HARGA SATUAN'!$I$6,MATCH(RAB!C106,'HARGA SATUAN'!$C$7:$C$1492,0),0))</f>
        <v>254900</v>
      </c>
      <c r="H106" s="361">
        <f t="shared" ca="1" si="28"/>
        <v>0</v>
      </c>
      <c r="I106" s="361">
        <f t="shared" ca="1" si="29"/>
        <v>0</v>
      </c>
      <c r="J106" s="361">
        <f t="shared" ca="1" si="30"/>
        <v>509800</v>
      </c>
      <c r="K106" s="362">
        <f t="shared" ca="1" si="31"/>
        <v>509800</v>
      </c>
      <c r="L106" s="342"/>
      <c r="M106" s="342"/>
      <c r="N106" s="369"/>
      <c r="O106" s="344"/>
      <c r="P106" s="344"/>
      <c r="Q106" s="398"/>
      <c r="R106" s="344"/>
      <c r="S106" s="398"/>
      <c r="T106" s="399"/>
      <c r="U106" s="399"/>
      <c r="V106" s="399"/>
    </row>
    <row r="107" spans="1:22" s="365" customFormat="1">
      <c r="A107" s="336"/>
      <c r="B107" s="373"/>
      <c r="C107" s="374"/>
      <c r="D107" s="358" t="str">
        <f ca="1">IF(ISERROR(OFFSET('HARGA SATUAN'!$D$6,MATCH(RAB!C107,'HARGA SATUAN'!$C$7:$C$1492,0),0)),"",OFFSET('HARGA SATUAN'!$D$6,MATCH(RAB!C107,'HARGA SATUAN'!$C$7:$C$1492,0),0))</f>
        <v/>
      </c>
      <c r="E107" s="359" t="str">
        <f ca="1">IF(B107="+","Unit",IF(ISERROR(OFFSET('HARGA SATUAN'!$E$6,MATCH(RAB!C107,'HARGA SATUAN'!$C$7:$C$1492,0),0)),"",OFFSET('HARGA SATUAN'!$E$6,MATCH(RAB!C107,'HARGA SATUAN'!$C$7:$C$1492,0),0)))</f>
        <v/>
      </c>
      <c r="F107" s="484"/>
      <c r="G107" s="360">
        <f ca="1">IF(ISERROR(OFFSET('HARGA SATUAN'!$I$6,MATCH(RAB!C107,'HARGA SATUAN'!$C$7:$C$1492,0),0)),0,OFFSET('HARGA SATUAN'!$I$6,MATCH(RAB!C107,'HARGA SATUAN'!$C$7:$C$1492,0),0))</f>
        <v>0</v>
      </c>
      <c r="H107" s="361">
        <f t="shared" ca="1" si="28"/>
        <v>0</v>
      </c>
      <c r="I107" s="361">
        <f t="shared" ca="1" si="29"/>
        <v>0</v>
      </c>
      <c r="J107" s="361">
        <f t="shared" ca="1" si="30"/>
        <v>0</v>
      </c>
      <c r="K107" s="362">
        <f t="shared" ca="1" si="31"/>
        <v>0</v>
      </c>
      <c r="L107" s="342"/>
      <c r="M107" s="342"/>
      <c r="N107" s="369"/>
      <c r="O107" s="344"/>
      <c r="P107" s="344"/>
      <c r="Q107" s="398"/>
      <c r="R107" s="344"/>
      <c r="S107" s="398"/>
      <c r="T107" s="399"/>
      <c r="U107" s="399"/>
      <c r="V107" s="399"/>
    </row>
    <row r="108" spans="1:22" s="365" customFormat="1">
      <c r="A108" s="336"/>
      <c r="B108" s="507" t="s">
        <v>1035</v>
      </c>
      <c r="C108" s="508" t="s">
        <v>1623</v>
      </c>
      <c r="D108" s="358" t="str">
        <f ca="1">IF(ISERROR(OFFSET('HARGA SATUAN'!$D$6,MATCH(RAB!C108,'HARGA SATUAN'!$C$7:$C$1492,0),0)),"",OFFSET('HARGA SATUAN'!$D$6,MATCH(RAB!C108,'HARGA SATUAN'!$C$7:$C$1492,0),0))</f>
        <v/>
      </c>
      <c r="E108" s="359" t="str">
        <f ca="1">IF(B108="+","Unit",IF(ISERROR(OFFSET('HARGA SATUAN'!$E$6,MATCH(RAB!C108,'HARGA SATUAN'!$C$7:$C$1492,0),0)),"",OFFSET('HARGA SATUAN'!$E$6,MATCH(RAB!C108,'HARGA SATUAN'!$C$7:$C$1492,0),0)))</f>
        <v>Unit</v>
      </c>
      <c r="F108" s="484">
        <v>17</v>
      </c>
      <c r="G108" s="360">
        <f ca="1">IF(ISERROR(OFFSET('HARGA SATUAN'!$I$6,MATCH(RAB!C108,'HARGA SATUAN'!$C$7:$C$1492,0),0)),0,OFFSET('HARGA SATUAN'!$I$6,MATCH(RAB!C108,'HARGA SATUAN'!$C$7:$C$1492,0),0))</f>
        <v>0</v>
      </c>
      <c r="H108" s="361">
        <f t="shared" ref="H108:H118" ca="1" si="32">IF(OR(D108="MDU",D108="MDU-KD"),(IF($O$3="RAB NON MDU","PLN KD",G108*F108)),0)</f>
        <v>0</v>
      </c>
      <c r="I108" s="361">
        <f t="shared" ref="I108:I118" ca="1" si="33">IF(D108="HDW",G108*F108,0)</f>
        <v>0</v>
      </c>
      <c r="J108" s="361">
        <f t="shared" ref="J108:J118" ca="1" si="34">IF(D108="JASA",G108*F108,0)</f>
        <v>0</v>
      </c>
      <c r="K108" s="362">
        <f t="shared" ref="K108:K118" ca="1" si="35">SUM(H108:J108)</f>
        <v>0</v>
      </c>
      <c r="L108" s="342"/>
      <c r="M108" s="342"/>
      <c r="N108" s="369"/>
      <c r="O108" s="344"/>
      <c r="P108" s="344"/>
      <c r="Q108" s="398"/>
      <c r="R108" s="344"/>
      <c r="S108" s="398"/>
      <c r="T108" s="399"/>
      <c r="U108" s="399"/>
      <c r="V108" s="399"/>
    </row>
    <row r="109" spans="1:22" s="365" customFormat="1">
      <c r="A109" s="336"/>
      <c r="B109" s="507">
        <v>1</v>
      </c>
      <c r="C109" s="508" t="s">
        <v>30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484">
        <f>F108*1</f>
        <v>17</v>
      </c>
      <c r="G109" s="360">
        <f ca="1">IF(ISERROR(OFFSET('HARGA SATUAN'!$I$6,MATCH(RAB!C109,'HARGA SATUAN'!$C$7:$C$1492,0),0)),0,OFFSET('HARGA SATUAN'!$I$6,MATCH(RAB!C109,'HARGA SATUAN'!$C$7:$C$1492,0),0))</f>
        <v>47459</v>
      </c>
      <c r="H109" s="361">
        <f t="shared" ca="1" si="32"/>
        <v>0</v>
      </c>
      <c r="I109" s="361">
        <f t="shared" ca="1" si="33"/>
        <v>806803</v>
      </c>
      <c r="J109" s="361">
        <f t="shared" ca="1" si="34"/>
        <v>0</v>
      </c>
      <c r="K109" s="362">
        <f t="shared" ca="1" si="35"/>
        <v>806803</v>
      </c>
      <c r="L109" s="342"/>
      <c r="M109" s="342"/>
      <c r="N109" s="369"/>
      <c r="O109" s="344"/>
      <c r="P109" s="344"/>
      <c r="Q109" s="398"/>
      <c r="R109" s="344"/>
      <c r="S109" s="398"/>
      <c r="T109" s="399"/>
      <c r="U109" s="399"/>
      <c r="V109" s="399"/>
    </row>
    <row r="110" spans="1:22" s="365" customFormat="1">
      <c r="A110" s="336"/>
      <c r="B110" s="507">
        <v>2</v>
      </c>
      <c r="C110" s="508" t="s">
        <v>32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Mtr</v>
      </c>
      <c r="F110" s="484">
        <f>F108*0.8</f>
        <v>13.600000000000001</v>
      </c>
      <c r="G110" s="360">
        <f ca="1">IF(ISERROR(OFFSET('HARGA SATUAN'!$I$6,MATCH(RAB!C110,'HARGA SATUAN'!$C$7:$C$1492,0),0)),0,OFFSET('HARGA SATUAN'!$I$6,MATCH(RAB!C110,'HARGA SATUAN'!$C$7:$C$1492,0),0))</f>
        <v>30000</v>
      </c>
      <c r="H110" s="361">
        <f t="shared" ca="1" si="32"/>
        <v>0</v>
      </c>
      <c r="I110" s="361">
        <f t="shared" ca="1" si="33"/>
        <v>408000.00000000006</v>
      </c>
      <c r="J110" s="361">
        <f t="shared" ca="1" si="34"/>
        <v>0</v>
      </c>
      <c r="K110" s="362">
        <f t="shared" ca="1" si="35"/>
        <v>408000.00000000006</v>
      </c>
      <c r="L110" s="342"/>
      <c r="M110" s="342"/>
      <c r="N110" s="369"/>
      <c r="O110" s="344"/>
      <c r="P110" s="344"/>
      <c r="Q110" s="398"/>
      <c r="R110" s="344"/>
      <c r="S110" s="398"/>
      <c r="T110" s="399"/>
      <c r="U110" s="399"/>
      <c r="V110" s="399"/>
    </row>
    <row r="111" spans="1:22" s="365" customFormat="1">
      <c r="A111" s="336"/>
      <c r="B111" s="507">
        <v>3</v>
      </c>
      <c r="C111" s="508" t="s">
        <v>33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Bh</v>
      </c>
      <c r="F111" s="484">
        <f>F108*1</f>
        <v>17</v>
      </c>
      <c r="G111" s="360">
        <f ca="1">IF(ISERROR(OFFSET('HARGA SATUAN'!$I$6,MATCH(RAB!C111,'HARGA SATUAN'!$C$7:$C$1492,0),0)),0,OFFSET('HARGA SATUAN'!$I$6,MATCH(RAB!C111,'HARGA SATUAN'!$C$7:$C$1492,0),0))</f>
        <v>9500</v>
      </c>
      <c r="H111" s="361">
        <f t="shared" ca="1" si="32"/>
        <v>0</v>
      </c>
      <c r="I111" s="361">
        <f t="shared" ca="1" si="33"/>
        <v>161500</v>
      </c>
      <c r="J111" s="361">
        <f t="shared" ca="1" si="34"/>
        <v>0</v>
      </c>
      <c r="K111" s="362">
        <f t="shared" ca="1" si="35"/>
        <v>161500</v>
      </c>
      <c r="L111" s="342"/>
      <c r="M111" s="342"/>
      <c r="N111" s="369"/>
      <c r="O111" s="344"/>
      <c r="P111" s="344"/>
      <c r="Q111" s="398"/>
      <c r="R111" s="344"/>
      <c r="S111" s="398"/>
      <c r="T111" s="399"/>
      <c r="U111" s="399"/>
      <c r="V111" s="399"/>
    </row>
    <row r="112" spans="1:22" s="365" customFormat="1">
      <c r="A112" s="336"/>
      <c r="B112" s="507">
        <v>4</v>
      </c>
      <c r="C112" s="508" t="s">
        <v>737</v>
      </c>
      <c r="D112" s="358" t="str">
        <f ca="1">IF(ISERROR(OFFSET('HARGA SATUAN'!$D$6,MATCH(RAB!C112,'HARGA SATUAN'!$C$7:$C$1492,0),0)),"",OFFSET('HARGA SATUAN'!$D$6,MATCH(RAB!C112,'HARGA SATUAN'!$C$7:$C$1492,0),0))</f>
        <v>JASA</v>
      </c>
      <c r="E112" s="359" t="str">
        <f ca="1">IF(B112="+","Unit",IF(ISERROR(OFFSET('HARGA SATUAN'!$E$6,MATCH(RAB!C112,'HARGA SATUAN'!$C$7:$C$1492,0),0)),"",OFFSET('HARGA SATUAN'!$E$6,MATCH(RAB!C112,'HARGA SATUAN'!$C$7:$C$1492,0),0)))</f>
        <v>Unit</v>
      </c>
      <c r="F112" s="484">
        <f>F108*1</f>
        <v>17</v>
      </c>
      <c r="G112" s="360">
        <f ca="1">IF(ISERROR(OFFSET('HARGA SATUAN'!$I$6,MATCH(RAB!C112,'HARGA SATUAN'!$C$7:$C$1492,0),0)),0,OFFSET('HARGA SATUAN'!$I$6,MATCH(RAB!C112,'HARGA SATUAN'!$C$7:$C$1492,0),0))</f>
        <v>16200</v>
      </c>
      <c r="H112" s="361">
        <f t="shared" ca="1" si="32"/>
        <v>0</v>
      </c>
      <c r="I112" s="361">
        <f t="shared" ca="1" si="33"/>
        <v>0</v>
      </c>
      <c r="J112" s="361">
        <f t="shared" ca="1" si="34"/>
        <v>275400</v>
      </c>
      <c r="K112" s="362">
        <f t="shared" ca="1" si="35"/>
        <v>275400</v>
      </c>
      <c r="L112" s="342"/>
      <c r="M112" s="342"/>
      <c r="N112" s="369"/>
      <c r="O112" s="344"/>
      <c r="P112" s="344"/>
      <c r="Q112" s="398"/>
      <c r="R112" s="344"/>
      <c r="S112" s="398"/>
      <c r="T112" s="399"/>
      <c r="U112" s="399"/>
      <c r="V112" s="399"/>
    </row>
    <row r="113" spans="1:22" s="365" customFormat="1">
      <c r="A113" s="336"/>
      <c r="B113" s="373"/>
      <c r="C113" s="374"/>
      <c r="D113" s="358" t="str">
        <f ca="1">IF(ISERROR(OFFSET('HARGA SATUAN'!$D$6,MATCH(RAB!C113,'HARGA SATUAN'!$C$7:$C$1492,0),0)),"",OFFSET('HARGA SATUAN'!$D$6,MATCH(RAB!C113,'HARGA SATUAN'!$C$7:$C$1492,0),0))</f>
        <v/>
      </c>
      <c r="E113" s="359" t="str">
        <f ca="1">IF(B113="+","Unit",IF(ISERROR(OFFSET('HARGA SATUAN'!$E$6,MATCH(RAB!C113,'HARGA SATUAN'!$C$7:$C$1492,0),0)),"",OFFSET('HARGA SATUAN'!$E$6,MATCH(RAB!C113,'HARGA SATUAN'!$C$7:$C$1492,0),0)))</f>
        <v/>
      </c>
      <c r="F113" s="484"/>
      <c r="G113" s="360">
        <f ca="1">IF(ISERROR(OFFSET('HARGA SATUAN'!$I$6,MATCH(RAB!C113,'HARGA SATUAN'!$C$7:$C$1492,0),0)),0,OFFSET('HARGA SATUAN'!$I$6,MATCH(RAB!C113,'HARGA SATUAN'!$C$7:$C$1492,0),0))</f>
        <v>0</v>
      </c>
      <c r="H113" s="361">
        <f t="shared" ca="1" si="32"/>
        <v>0</v>
      </c>
      <c r="I113" s="361">
        <f t="shared" ca="1" si="33"/>
        <v>0</v>
      </c>
      <c r="J113" s="361">
        <f t="shared" ca="1" si="34"/>
        <v>0</v>
      </c>
      <c r="K113" s="362">
        <f t="shared" ca="1" si="35"/>
        <v>0</v>
      </c>
      <c r="L113" s="342"/>
      <c r="M113" s="342"/>
      <c r="N113" s="369"/>
      <c r="O113" s="344"/>
      <c r="P113" s="344"/>
      <c r="Q113" s="398"/>
      <c r="R113" s="344"/>
      <c r="S113" s="398"/>
      <c r="T113" s="399"/>
      <c r="U113" s="399"/>
      <c r="V113" s="399"/>
    </row>
    <row r="114" spans="1:22" s="365" customFormat="1">
      <c r="A114" s="336"/>
      <c r="B114" s="373"/>
      <c r="C114" s="510" t="s">
        <v>1624</v>
      </c>
      <c r="D114" s="358" t="str">
        <f ca="1">IF(ISERROR(OFFSET('HARGA SATUAN'!$D$6,MATCH(RAB!C114,'HARGA SATUAN'!$C$7:$C$1492,0),0)),"",OFFSET('HARGA SATUAN'!$D$6,MATCH(RAB!C114,'HARGA SATUAN'!$C$7:$C$1492,0),0))</f>
        <v/>
      </c>
      <c r="E114" s="359" t="str">
        <f ca="1">IF(B114="+","Unit",IF(ISERROR(OFFSET('HARGA SATUAN'!$E$6,MATCH(RAB!C114,'HARGA SATUAN'!$C$7:$C$1492,0),0)),"",OFFSET('HARGA SATUAN'!$E$6,MATCH(RAB!C114,'HARGA SATUAN'!$C$7:$C$1492,0),0)))</f>
        <v/>
      </c>
      <c r="F114" s="484"/>
      <c r="G114" s="360">
        <f ca="1">IF(ISERROR(OFFSET('HARGA SATUAN'!$I$6,MATCH(RAB!C114,'HARGA SATUAN'!$C$7:$C$1492,0),0)),0,OFFSET('HARGA SATUAN'!$I$6,MATCH(RAB!C114,'HARGA SATUAN'!$C$7:$C$1492,0),0))</f>
        <v>0</v>
      </c>
      <c r="H114" s="361">
        <f t="shared" ca="1" si="32"/>
        <v>0</v>
      </c>
      <c r="I114" s="361">
        <f t="shared" ca="1" si="33"/>
        <v>0</v>
      </c>
      <c r="J114" s="361">
        <f t="shared" ca="1" si="34"/>
        <v>0</v>
      </c>
      <c r="K114" s="362">
        <f t="shared" ca="1" si="35"/>
        <v>0</v>
      </c>
      <c r="L114" s="342"/>
      <c r="M114" s="342"/>
      <c r="N114" s="369"/>
      <c r="O114" s="344"/>
      <c r="P114" s="344"/>
      <c r="Q114" s="398"/>
      <c r="R114" s="344"/>
      <c r="S114" s="398"/>
      <c r="T114" s="399"/>
      <c r="U114" s="399"/>
      <c r="V114" s="399"/>
    </row>
    <row r="115" spans="1:22" s="365" customFormat="1">
      <c r="A115" s="336"/>
      <c r="B115" s="373">
        <v>1</v>
      </c>
      <c r="C115" s="109" t="s">
        <v>66</v>
      </c>
      <c r="D115" s="358" t="str">
        <f ca="1">IF(ISERROR(OFFSET('HARGA SATUAN'!$D$6,MATCH(RAB!C115,'HARGA SATUAN'!$C$7:$C$1492,0),0)),"",OFFSET('HARGA SATUAN'!$D$6,MATCH(RAB!C115,'HARGA SATUAN'!$C$7:$C$1492,0),0))</f>
        <v>MDU-KD</v>
      </c>
      <c r="E115" s="359" t="str">
        <f ca="1">IF(B115="+","Unit",IF(ISERROR(OFFSET('HARGA SATUAN'!$E$6,MATCH(RAB!C115,'HARGA SATUAN'!$C$7:$C$1492,0),0)),"",OFFSET('HARGA SATUAN'!$E$6,MATCH(RAB!C115,'HARGA SATUAN'!$C$7:$C$1492,0),0)))</f>
        <v>Mtr</v>
      </c>
      <c r="F115" s="484">
        <v>3560</v>
      </c>
      <c r="G115" s="360">
        <f ca="1">IF(ISERROR(OFFSET('HARGA SATUAN'!$I$6,MATCH(RAB!C115,'HARGA SATUAN'!$C$7:$C$1492,0),0)),0,OFFSET('HARGA SATUAN'!$I$6,MATCH(RAB!C115,'HARGA SATUAN'!$C$7:$C$1492,0),0))</f>
        <v>25300</v>
      </c>
      <c r="H115" s="361">
        <f t="shared" ca="1" si="32"/>
        <v>90068000</v>
      </c>
      <c r="I115" s="361">
        <f t="shared" ca="1" si="33"/>
        <v>0</v>
      </c>
      <c r="J115" s="361">
        <f t="shared" ca="1" si="34"/>
        <v>0</v>
      </c>
      <c r="K115" s="362">
        <f t="shared" ca="1" si="35"/>
        <v>90068000</v>
      </c>
      <c r="L115" s="342"/>
      <c r="M115" s="342"/>
      <c r="N115" s="369"/>
      <c r="O115" s="344"/>
      <c r="P115" s="344"/>
      <c r="Q115" s="398"/>
      <c r="R115" s="344"/>
      <c r="S115" s="398"/>
      <c r="T115" s="399"/>
      <c r="U115" s="399"/>
      <c r="V115" s="399"/>
    </row>
    <row r="116" spans="1:22" s="365" customFormat="1">
      <c r="A116" s="336"/>
      <c r="B116" s="373">
        <v>2</v>
      </c>
      <c r="C116" s="109" t="s">
        <v>299</v>
      </c>
      <c r="D116" s="358" t="str">
        <f ca="1">IF(ISERROR(OFFSET('HARGA SATUAN'!$D$6,MATCH(RAB!C116,'HARGA SATUAN'!$C$7:$C$1492,0),0)),"",OFFSET('HARGA SATUAN'!$D$6,MATCH(RAB!C116,'HARGA SATUAN'!$C$7:$C$1492,0),0))</f>
        <v>JASA</v>
      </c>
      <c r="E116" s="359" t="str">
        <f ca="1">IF(B116="+","Unit",IF(ISERROR(OFFSET('HARGA SATUAN'!$E$6,MATCH(RAB!C116,'HARGA SATUAN'!$C$7:$C$1492,0),0)),"",OFFSET('HARGA SATUAN'!$E$6,MATCH(RAB!C116,'HARGA SATUAN'!$C$7:$C$1492,0),0)))</f>
        <v>Per 50 m</v>
      </c>
      <c r="F116" s="484">
        <f>F115/200</f>
        <v>17.8</v>
      </c>
      <c r="G116" s="360">
        <f ca="1">IF(ISERROR(OFFSET('HARGA SATUAN'!$I$6,MATCH(RAB!C116,'HARGA SATUAN'!$C$7:$C$1492,0),0)),0,OFFSET('HARGA SATUAN'!$I$6,MATCH(RAB!C116,'HARGA SATUAN'!$C$7:$C$1492,0),0))</f>
        <v>371300</v>
      </c>
      <c r="H116" s="361">
        <f t="shared" ca="1" si="32"/>
        <v>0</v>
      </c>
      <c r="I116" s="361">
        <f t="shared" ca="1" si="33"/>
        <v>0</v>
      </c>
      <c r="J116" s="361">
        <f t="shared" ca="1" si="34"/>
        <v>6609140</v>
      </c>
      <c r="K116" s="362">
        <f t="shared" ca="1" si="35"/>
        <v>6609140</v>
      </c>
      <c r="L116" s="342"/>
      <c r="M116" s="342"/>
      <c r="N116" s="369"/>
      <c r="O116" s="344"/>
      <c r="P116" s="344"/>
      <c r="Q116" s="398"/>
      <c r="R116" s="344"/>
      <c r="S116" s="398"/>
      <c r="T116" s="399"/>
      <c r="U116" s="399"/>
      <c r="V116" s="399"/>
    </row>
    <row r="117" spans="1:22" s="365" customFormat="1">
      <c r="A117" s="336"/>
      <c r="B117" s="373">
        <v>3</v>
      </c>
      <c r="C117" s="109" t="s">
        <v>183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484">
        <v>4</v>
      </c>
      <c r="G117" s="360">
        <f ca="1">IF(ISERROR(OFFSET('HARGA SATUAN'!$I$6,MATCH(RAB!C117,'HARGA SATUAN'!$C$7:$C$1492,0),0)),0,OFFSET('HARGA SATUAN'!$I$6,MATCH(RAB!C117,'HARGA SATUAN'!$C$7:$C$1492,0),0))</f>
        <v>22500</v>
      </c>
      <c r="H117" s="361">
        <f t="shared" ca="1" si="32"/>
        <v>0</v>
      </c>
      <c r="I117" s="361">
        <f t="shared" ca="1" si="33"/>
        <v>90000</v>
      </c>
      <c r="J117" s="361">
        <f t="shared" ca="1" si="34"/>
        <v>0</v>
      </c>
      <c r="K117" s="362">
        <f t="shared" ca="1" si="35"/>
        <v>90000</v>
      </c>
      <c r="L117" s="342"/>
      <c r="M117" s="342"/>
      <c r="N117" s="369"/>
      <c r="O117" s="344"/>
      <c r="P117" s="344"/>
      <c r="Q117" s="398"/>
      <c r="R117" s="344"/>
      <c r="S117" s="398"/>
      <c r="T117" s="399"/>
      <c r="U117" s="399"/>
      <c r="V117" s="399"/>
    </row>
    <row r="118" spans="1:22" s="365" customFormat="1">
      <c r="A118" s="336"/>
      <c r="B118" s="373">
        <v>4</v>
      </c>
      <c r="C118" s="197" t="s">
        <v>1099</v>
      </c>
      <c r="D118" s="358" t="str">
        <f ca="1">IF(ISERROR(OFFSET('HARGA SATUAN'!$D$6,MATCH(RAB!C118,'HARGA SATUAN'!$C$7:$C$1492,0),0)),"",OFFSET('HARGA SATUAN'!$D$6,MATCH(RAB!C118,'HARGA SATUAN'!$C$7:$C$1492,0),0))</f>
        <v>JASA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484">
        <v>4</v>
      </c>
      <c r="G118" s="360">
        <f ca="1">IF(ISERROR(OFFSET('HARGA SATUAN'!$I$6,MATCH(RAB!C118,'HARGA SATUAN'!$C$7:$C$1492,0),0)),0,OFFSET('HARGA SATUAN'!$I$6,MATCH(RAB!C118,'HARGA SATUAN'!$C$7:$C$1492,0),0))</f>
        <v>13770</v>
      </c>
      <c r="H118" s="361">
        <f t="shared" ca="1" si="32"/>
        <v>0</v>
      </c>
      <c r="I118" s="361">
        <f t="shared" ca="1" si="33"/>
        <v>0</v>
      </c>
      <c r="J118" s="361">
        <f t="shared" ca="1" si="34"/>
        <v>55080</v>
      </c>
      <c r="K118" s="362">
        <f t="shared" ca="1" si="35"/>
        <v>55080</v>
      </c>
      <c r="L118" s="342"/>
      <c r="M118" s="342"/>
      <c r="N118" s="369"/>
      <c r="O118" s="344"/>
      <c r="P118" s="344"/>
      <c r="Q118" s="398"/>
      <c r="R118" s="344"/>
      <c r="S118" s="398"/>
      <c r="T118" s="399"/>
      <c r="U118" s="399"/>
      <c r="V118" s="399"/>
    </row>
    <row r="119" spans="1:22" s="365" customFormat="1">
      <c r="A119" s="336"/>
      <c r="B119" s="373"/>
      <c r="C119" s="374"/>
      <c r="D119" s="358" t="str">
        <f ca="1">IF(ISERROR(OFFSET('HARGA SATUAN'!$D$6,MATCH(RAB!C119,'HARGA SATUAN'!$C$7:$C$1492,0),0)),"",OFFSET('HARGA SATUAN'!$D$6,MATCH(RAB!C119,'HARGA SATUAN'!$C$7:$C$1492,0),0))</f>
        <v/>
      </c>
      <c r="E119" s="359" t="str">
        <f ca="1">IF(B119="+","Unit",IF(ISERROR(OFFSET('HARGA SATUAN'!$E$6,MATCH(RAB!C119,'HARGA SATUAN'!$C$7:$C$1492,0),0)),"",OFFSET('HARGA SATUAN'!$E$6,MATCH(RAB!C119,'HARGA SATUAN'!$C$7:$C$1492,0),0)))</f>
        <v/>
      </c>
      <c r="F119" s="484"/>
      <c r="G119" s="360">
        <f ca="1">IF(ISERROR(OFFSET('HARGA SATUAN'!$I$6,MATCH(RAB!C119,'HARGA SATUAN'!$C$7:$C$1492,0),0)),0,OFFSET('HARGA SATUAN'!$I$6,MATCH(RAB!C119,'HARGA SATUAN'!$C$7:$C$1492,0),0))</f>
        <v>0</v>
      </c>
      <c r="H119" s="361">
        <f t="shared" ref="H119:H140" ca="1" si="36">IF(OR(D119="MDU",D119="MDU-KD"),(IF($O$3="RAB NON MDU","PLN KD",G119*F119)),0)</f>
        <v>0</v>
      </c>
      <c r="I119" s="361">
        <f t="shared" ref="I119:I140" ca="1" si="37">IF(D119="HDW",G119*F119,0)</f>
        <v>0</v>
      </c>
      <c r="J119" s="361">
        <f t="shared" ref="J119:J140" ca="1" si="38">IF(D119="JASA",G119*F119,0)</f>
        <v>0</v>
      </c>
      <c r="K119" s="362">
        <f t="shared" ref="K119:K140" ca="1" si="39">SUM(H119:J119)</f>
        <v>0</v>
      </c>
      <c r="L119" s="342"/>
      <c r="M119" s="342"/>
      <c r="N119" s="369"/>
      <c r="O119" s="344"/>
      <c r="P119" s="344"/>
      <c r="Q119" s="398"/>
      <c r="R119" s="344"/>
      <c r="S119" s="398"/>
      <c r="T119" s="399"/>
      <c r="U119" s="399"/>
      <c r="V119" s="399"/>
    </row>
    <row r="120" spans="1:22" s="365" customFormat="1">
      <c r="A120" s="336"/>
      <c r="B120" s="373"/>
      <c r="C120" s="510" t="s">
        <v>1631</v>
      </c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/>
      </c>
      <c r="F120" s="484"/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ca="1" si="36"/>
        <v>0</v>
      </c>
      <c r="I120" s="361">
        <f t="shared" ca="1" si="37"/>
        <v>0</v>
      </c>
      <c r="J120" s="361">
        <f t="shared" ca="1" si="38"/>
        <v>0</v>
      </c>
      <c r="K120" s="362">
        <f t="shared" ca="1" si="39"/>
        <v>0</v>
      </c>
      <c r="L120" s="342"/>
      <c r="M120" s="342"/>
      <c r="N120" s="369"/>
      <c r="O120" s="344"/>
      <c r="P120" s="344"/>
      <c r="Q120" s="398"/>
      <c r="R120" s="344"/>
      <c r="S120" s="398"/>
      <c r="T120" s="399"/>
      <c r="U120" s="399"/>
      <c r="V120" s="399"/>
    </row>
    <row r="121" spans="1:22" s="365" customFormat="1">
      <c r="A121" s="336"/>
      <c r="B121" s="373"/>
      <c r="C121" s="374"/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/>
      </c>
      <c r="F121" s="484"/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36"/>
        <v>0</v>
      </c>
      <c r="I121" s="361">
        <f t="shared" ca="1" si="37"/>
        <v>0</v>
      </c>
      <c r="J121" s="361">
        <f t="shared" ca="1" si="38"/>
        <v>0</v>
      </c>
      <c r="K121" s="362">
        <f t="shared" ca="1" si="39"/>
        <v>0</v>
      </c>
      <c r="L121" s="342"/>
      <c r="M121" s="342"/>
      <c r="N121" s="369"/>
      <c r="O121" s="344"/>
      <c r="P121" s="344"/>
      <c r="Q121" s="398"/>
      <c r="R121" s="344"/>
      <c r="S121" s="398"/>
      <c r="T121" s="399"/>
      <c r="U121" s="399"/>
      <c r="V121" s="399"/>
    </row>
    <row r="122" spans="1:22" s="365" customFormat="1">
      <c r="A122" s="336"/>
      <c r="B122" s="507" t="s">
        <v>1035</v>
      </c>
      <c r="C122" s="508" t="s">
        <v>1632</v>
      </c>
      <c r="D122" s="358" t="str">
        <f ca="1">IF(ISERROR(OFFSET('HARGA SATUAN'!$D$6,MATCH(RAB!C122,'HARGA SATUAN'!$C$7:$C$1492,0),0)),"",OFFSET('HARGA SATUAN'!$D$6,MATCH(RAB!C122,'HARGA SATUAN'!$C$7:$C$1492,0),0))</f>
        <v/>
      </c>
      <c r="E122" s="359" t="str">
        <f ca="1">IF(B122="+","Unit",IF(ISERROR(OFFSET('HARGA SATUAN'!$E$6,MATCH(RAB!C122,'HARGA SATUAN'!$C$7:$C$1492,0),0)),"",OFFSET('HARGA SATUAN'!$E$6,MATCH(RAB!C122,'HARGA SATUAN'!$C$7:$C$1492,0),0)))</f>
        <v>Unit</v>
      </c>
      <c r="F122" s="484">
        <v>4</v>
      </c>
      <c r="G122" s="360">
        <f ca="1">IF(ISERROR(OFFSET('HARGA SATUAN'!$I$6,MATCH(RAB!C122,'HARGA SATUAN'!$C$7:$C$1492,0),0)),0,OFFSET('HARGA SATUAN'!$I$6,MATCH(RAB!C122,'HARGA SATUAN'!$C$7:$C$1492,0),0))</f>
        <v>0</v>
      </c>
      <c r="H122" s="361">
        <f t="shared" ca="1" si="36"/>
        <v>0</v>
      </c>
      <c r="I122" s="361">
        <f t="shared" ca="1" si="37"/>
        <v>0</v>
      </c>
      <c r="J122" s="361">
        <f t="shared" ca="1" si="38"/>
        <v>0</v>
      </c>
      <c r="K122" s="362">
        <f t="shared" ca="1" si="39"/>
        <v>0</v>
      </c>
      <c r="L122" s="342"/>
      <c r="M122" s="342"/>
      <c r="N122" s="369"/>
      <c r="O122" s="344"/>
      <c r="P122" s="344"/>
      <c r="Q122" s="398"/>
      <c r="R122" s="344"/>
      <c r="S122" s="398"/>
      <c r="T122" s="399"/>
      <c r="U122" s="399"/>
      <c r="V122" s="399"/>
    </row>
    <row r="123" spans="1:22" s="365" customFormat="1">
      <c r="A123" s="336"/>
      <c r="B123" s="507">
        <v>1</v>
      </c>
      <c r="C123" s="508" t="s">
        <v>28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Bh</v>
      </c>
      <c r="F123" s="484">
        <f>F122*1</f>
        <v>4</v>
      </c>
      <c r="G123" s="360">
        <f ca="1">IF(ISERROR(OFFSET('HARGA SATUAN'!$I$6,MATCH(RAB!C123,'HARGA SATUAN'!$C$7:$C$1492,0),0)),0,OFFSET('HARGA SATUAN'!$I$6,MATCH(RAB!C123,'HARGA SATUAN'!$C$7:$C$1492,0),0))</f>
        <v>26500</v>
      </c>
      <c r="H123" s="361">
        <f t="shared" ca="1" si="36"/>
        <v>0</v>
      </c>
      <c r="I123" s="361">
        <f t="shared" ca="1" si="37"/>
        <v>106000</v>
      </c>
      <c r="J123" s="361">
        <f t="shared" ca="1" si="38"/>
        <v>0</v>
      </c>
      <c r="K123" s="362">
        <f t="shared" ca="1" si="39"/>
        <v>106000</v>
      </c>
      <c r="L123" s="342"/>
      <c r="M123" s="342"/>
      <c r="N123" s="369"/>
      <c r="O123" s="344"/>
      <c r="P123" s="344"/>
      <c r="Q123" s="398"/>
      <c r="R123" s="344"/>
      <c r="S123" s="398"/>
      <c r="T123" s="399"/>
      <c r="U123" s="399"/>
      <c r="V123" s="399"/>
    </row>
    <row r="124" spans="1:22" s="365" customFormat="1">
      <c r="A124" s="336"/>
      <c r="B124" s="507">
        <v>2</v>
      </c>
      <c r="C124" s="508" t="s">
        <v>203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Bh</v>
      </c>
      <c r="F124" s="484">
        <f>F122*1</f>
        <v>4</v>
      </c>
      <c r="G124" s="360">
        <f ca="1">IF(ISERROR(OFFSET('HARGA SATUAN'!$I$6,MATCH(RAB!C124,'HARGA SATUAN'!$C$7:$C$1492,0),0)),0,OFFSET('HARGA SATUAN'!$I$6,MATCH(RAB!C124,'HARGA SATUAN'!$C$7:$C$1492,0),0))</f>
        <v>12500</v>
      </c>
      <c r="H124" s="361">
        <f t="shared" ca="1" si="36"/>
        <v>0</v>
      </c>
      <c r="I124" s="361">
        <f t="shared" ca="1" si="37"/>
        <v>50000</v>
      </c>
      <c r="J124" s="361">
        <f t="shared" ca="1" si="38"/>
        <v>0</v>
      </c>
      <c r="K124" s="362">
        <f t="shared" ca="1" si="39"/>
        <v>50000</v>
      </c>
      <c r="L124" s="342"/>
      <c r="M124" s="342"/>
      <c r="N124" s="369"/>
      <c r="O124" s="344"/>
      <c r="P124" s="344"/>
      <c r="Q124" s="398"/>
      <c r="R124" s="344"/>
      <c r="S124" s="398"/>
      <c r="T124" s="399"/>
      <c r="U124" s="399"/>
      <c r="V124" s="399"/>
    </row>
    <row r="125" spans="1:22" s="365" customFormat="1">
      <c r="A125" s="336"/>
      <c r="B125" s="507">
        <v>3</v>
      </c>
      <c r="C125" s="508" t="s">
        <v>206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Mtr</v>
      </c>
      <c r="F125" s="484">
        <f>F122*12</f>
        <v>48</v>
      </c>
      <c r="G125" s="360">
        <f ca="1">IF(ISERROR(OFFSET('HARGA SATUAN'!$I$6,MATCH(RAB!C125,'HARGA SATUAN'!$C$7:$C$1492,0),0)),0,OFFSET('HARGA SATUAN'!$I$6,MATCH(RAB!C125,'HARGA SATUAN'!$C$7:$C$1492,0),0))</f>
        <v>39204</v>
      </c>
      <c r="H125" s="361">
        <f t="shared" ca="1" si="36"/>
        <v>0</v>
      </c>
      <c r="I125" s="361">
        <f t="shared" ca="1" si="37"/>
        <v>1881792</v>
      </c>
      <c r="J125" s="361">
        <f t="shared" ca="1" si="38"/>
        <v>0</v>
      </c>
      <c r="K125" s="362">
        <f t="shared" ca="1" si="39"/>
        <v>1881792</v>
      </c>
      <c r="L125" s="342"/>
      <c r="M125" s="342"/>
      <c r="N125" s="369"/>
      <c r="O125" s="344"/>
      <c r="P125" s="344"/>
      <c r="Q125" s="398"/>
      <c r="R125" s="344"/>
      <c r="S125" s="398"/>
      <c r="T125" s="399"/>
      <c r="U125" s="399"/>
      <c r="V125" s="399"/>
    </row>
    <row r="126" spans="1:22" s="365" customFormat="1">
      <c r="A126" s="336"/>
      <c r="B126" s="507">
        <v>4</v>
      </c>
      <c r="C126" s="508" t="s">
        <v>287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Bh</v>
      </c>
      <c r="F126" s="484">
        <f>F122*2</f>
        <v>8</v>
      </c>
      <c r="G126" s="360">
        <f ca="1">IF(ISERROR(OFFSET('HARGA SATUAN'!$I$6,MATCH(RAB!C126,'HARGA SATUAN'!$C$7:$C$1492,0),0)),0,OFFSET('HARGA SATUAN'!$I$6,MATCH(RAB!C126,'HARGA SATUAN'!$C$7:$C$1492,0),0))</f>
        <v>40000</v>
      </c>
      <c r="H126" s="361">
        <f t="shared" ca="1" si="36"/>
        <v>0</v>
      </c>
      <c r="I126" s="361">
        <f t="shared" ca="1" si="37"/>
        <v>320000</v>
      </c>
      <c r="J126" s="361">
        <f t="shared" ca="1" si="38"/>
        <v>0</v>
      </c>
      <c r="K126" s="362">
        <f t="shared" ca="1" si="39"/>
        <v>320000</v>
      </c>
      <c r="L126" s="342"/>
      <c r="M126" s="342"/>
      <c r="N126" s="369"/>
      <c r="O126" s="344"/>
      <c r="P126" s="344"/>
      <c r="Q126" s="398"/>
      <c r="R126" s="344"/>
      <c r="S126" s="398"/>
      <c r="T126" s="399"/>
      <c r="U126" s="399"/>
      <c r="V126" s="399"/>
    </row>
    <row r="127" spans="1:22" s="365" customFormat="1">
      <c r="A127" s="336"/>
      <c r="B127" s="507">
        <v>5</v>
      </c>
      <c r="C127" s="508" t="s">
        <v>26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484">
        <f>F122*1</f>
        <v>4</v>
      </c>
      <c r="G127" s="360">
        <f ca="1">IF(ISERROR(OFFSET('HARGA SATUAN'!$I$6,MATCH(RAB!C127,'HARGA SATUAN'!$C$7:$C$1492,0),0)),0,OFFSET('HARGA SATUAN'!$I$6,MATCH(RAB!C127,'HARGA SATUAN'!$C$7:$C$1492,0),0))</f>
        <v>2500</v>
      </c>
      <c r="H127" s="361">
        <f t="shared" ca="1" si="36"/>
        <v>0</v>
      </c>
      <c r="I127" s="361">
        <f t="shared" ca="1" si="37"/>
        <v>10000</v>
      </c>
      <c r="J127" s="361">
        <f t="shared" ca="1" si="38"/>
        <v>0</v>
      </c>
      <c r="K127" s="362">
        <f t="shared" ca="1" si="39"/>
        <v>10000</v>
      </c>
      <c r="L127" s="342"/>
      <c r="M127" s="342"/>
      <c r="N127" s="369"/>
      <c r="O127" s="344"/>
      <c r="P127" s="344"/>
      <c r="Q127" s="398"/>
      <c r="R127" s="344"/>
      <c r="S127" s="398"/>
      <c r="T127" s="399"/>
      <c r="U127" s="399"/>
      <c r="V127" s="399"/>
    </row>
    <row r="128" spans="1:22" s="365" customFormat="1">
      <c r="A128" s="336"/>
      <c r="B128" s="507">
        <v>6</v>
      </c>
      <c r="C128" s="508" t="s">
        <v>760</v>
      </c>
      <c r="D128" s="358" t="str">
        <f ca="1">IF(ISERROR(OFFSET('HARGA SATUAN'!$D$6,MATCH(RAB!C128,'HARGA SATUAN'!$C$7:$C$1492,0),0)),"",OFFSET('HARGA SATUAN'!$D$6,MATCH(RAB!C128,'HARGA SATUAN'!$C$7:$C$1492,0),0))</f>
        <v>JASA</v>
      </c>
      <c r="E128" s="359" t="str">
        <f ca="1">IF(B128="+","Unit",IF(ISERROR(OFFSET('HARGA SATUAN'!$E$6,MATCH(RAB!C128,'HARGA SATUAN'!$C$7:$C$1492,0),0)),"",OFFSET('HARGA SATUAN'!$E$6,MATCH(RAB!C128,'HARGA SATUAN'!$C$7:$C$1492,0),0)))</f>
        <v>Unit</v>
      </c>
      <c r="F128" s="484">
        <f>F122*1</f>
        <v>4</v>
      </c>
      <c r="G128" s="360">
        <f ca="1">IF(ISERROR(OFFSET('HARGA SATUAN'!$I$6,MATCH(RAB!C128,'HARGA SATUAN'!$C$7:$C$1492,0),0)),0,OFFSET('HARGA SATUAN'!$I$6,MATCH(RAB!C128,'HARGA SATUAN'!$C$7:$C$1492,0),0))</f>
        <v>36600</v>
      </c>
      <c r="H128" s="361">
        <f t="shared" ca="1" si="36"/>
        <v>0</v>
      </c>
      <c r="I128" s="361">
        <f t="shared" ca="1" si="37"/>
        <v>0</v>
      </c>
      <c r="J128" s="361">
        <f t="shared" ca="1" si="38"/>
        <v>146400</v>
      </c>
      <c r="K128" s="362">
        <f t="shared" ca="1" si="39"/>
        <v>146400</v>
      </c>
      <c r="L128" s="342"/>
      <c r="M128" s="342"/>
      <c r="N128" s="369"/>
      <c r="O128" s="344"/>
      <c r="P128" s="344"/>
      <c r="Q128" s="398"/>
      <c r="R128" s="344"/>
      <c r="S128" s="398"/>
      <c r="T128" s="399"/>
      <c r="U128" s="399"/>
      <c r="V128" s="399"/>
    </row>
    <row r="129" spans="1:22" s="365" customFormat="1">
      <c r="A129" s="336"/>
      <c r="B129" s="373"/>
      <c r="C129" s="374"/>
      <c r="D129" s="358" t="str">
        <f ca="1">IF(ISERROR(OFFSET('HARGA SATUAN'!$D$6,MATCH(RAB!C129,'HARGA SATUAN'!$C$7:$C$1492,0),0)),"",OFFSET('HARGA SATUAN'!$D$6,MATCH(RAB!C129,'HARGA SATUAN'!$C$7:$C$1492,0),0))</f>
        <v/>
      </c>
      <c r="E129" s="359" t="str">
        <f ca="1">IF(B129="+","Unit",IF(ISERROR(OFFSET('HARGA SATUAN'!$E$6,MATCH(RAB!C129,'HARGA SATUAN'!$C$7:$C$1492,0),0)),"",OFFSET('HARGA SATUAN'!$E$6,MATCH(RAB!C129,'HARGA SATUAN'!$C$7:$C$1492,0),0)))</f>
        <v/>
      </c>
      <c r="F129" s="484"/>
      <c r="G129" s="360">
        <f ca="1">IF(ISERROR(OFFSET('HARGA SATUAN'!$I$6,MATCH(RAB!C129,'HARGA SATUAN'!$C$7:$C$1492,0),0)),0,OFFSET('HARGA SATUAN'!$I$6,MATCH(RAB!C129,'HARGA SATUAN'!$C$7:$C$1492,0),0))</f>
        <v>0</v>
      </c>
      <c r="H129" s="361">
        <f t="shared" ca="1" si="36"/>
        <v>0</v>
      </c>
      <c r="I129" s="361">
        <f t="shared" ca="1" si="37"/>
        <v>0</v>
      </c>
      <c r="J129" s="361">
        <f t="shared" ca="1" si="38"/>
        <v>0</v>
      </c>
      <c r="K129" s="362">
        <f t="shared" ca="1" si="39"/>
        <v>0</v>
      </c>
      <c r="L129" s="342"/>
      <c r="M129" s="342"/>
      <c r="N129" s="369"/>
      <c r="O129" s="344"/>
      <c r="P129" s="344"/>
      <c r="Q129" s="398"/>
      <c r="R129" s="344"/>
      <c r="S129" s="398"/>
      <c r="T129" s="399"/>
      <c r="U129" s="399"/>
      <c r="V129" s="399"/>
    </row>
    <row r="130" spans="1:22" s="365" customFormat="1">
      <c r="A130" s="336"/>
      <c r="B130" s="507" t="s">
        <v>1035</v>
      </c>
      <c r="C130" s="508" t="s">
        <v>1633</v>
      </c>
      <c r="D130" s="358" t="str">
        <f ca="1">IF(ISERROR(OFFSET('HARGA SATUAN'!$D$6,MATCH(RAB!C130,'HARGA SATUAN'!$C$7:$C$1492,0),0)),"",OFFSET('HARGA SATUAN'!$D$6,MATCH(RAB!C130,'HARGA SATUAN'!$C$7:$C$1492,0),0))</f>
        <v/>
      </c>
      <c r="E130" s="359" t="str">
        <f ca="1">IF(B130="+","Unit",IF(ISERROR(OFFSET('HARGA SATUAN'!$E$6,MATCH(RAB!C130,'HARGA SATUAN'!$C$7:$C$1492,0),0)),"",OFFSET('HARGA SATUAN'!$E$6,MATCH(RAB!C130,'HARGA SATUAN'!$C$7:$C$1492,0),0)))</f>
        <v>Unit</v>
      </c>
      <c r="F130" s="484">
        <f>F122</f>
        <v>4</v>
      </c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ca="1" si="36"/>
        <v>0</v>
      </c>
      <c r="I130" s="361">
        <f t="shared" ca="1" si="37"/>
        <v>0</v>
      </c>
      <c r="J130" s="361">
        <f t="shared" ca="1" si="38"/>
        <v>0</v>
      </c>
      <c r="K130" s="362">
        <f t="shared" ca="1" si="39"/>
        <v>0</v>
      </c>
      <c r="L130" s="342"/>
      <c r="M130" s="342"/>
      <c r="N130" s="369"/>
      <c r="O130" s="344"/>
      <c r="P130" s="344"/>
      <c r="Q130" s="398"/>
      <c r="R130" s="344"/>
      <c r="S130" s="398"/>
      <c r="T130" s="399"/>
      <c r="U130" s="399"/>
      <c r="V130" s="399"/>
    </row>
    <row r="131" spans="1:22" s="365" customFormat="1">
      <c r="A131" s="336"/>
      <c r="B131" s="516">
        <v>1</v>
      </c>
      <c r="C131" s="517" t="s">
        <v>597</v>
      </c>
      <c r="D131" s="358" t="str">
        <f ca="1">IF(ISERROR(OFFSET('HARGA SATUAN'!$D$6,MATCH(RAB!C131,'HARGA SATUAN'!$C$7:$C$1492,0),0)),"",OFFSET('HARGA SATUAN'!$D$6,MATCH(RAB!C131,'HARGA SATUAN'!$C$7:$C$1492,0),0))</f>
        <v>HDW</v>
      </c>
      <c r="E131" s="359" t="str">
        <f ca="1">IF(B131="+","Unit",IF(ISERROR(OFFSET('HARGA SATUAN'!$E$6,MATCH(RAB!C131,'HARGA SATUAN'!$C$7:$C$1492,0),0)),"",OFFSET('HARGA SATUAN'!$E$6,MATCH(RAB!C131,'HARGA SATUAN'!$C$7:$C$1492,0),0)))</f>
        <v>Bh</v>
      </c>
      <c r="F131" s="484">
        <f>F130*1</f>
        <v>4</v>
      </c>
      <c r="G131" s="360">
        <f ca="1">IF(ISERROR(OFFSET('HARGA SATUAN'!$I$6,MATCH(RAB!C131,'HARGA SATUAN'!$C$7:$C$1492,0),0)),0,OFFSET('HARGA SATUAN'!$I$6,MATCH(RAB!C131,'HARGA SATUAN'!$C$7:$C$1492,0),0))</f>
        <v>120900</v>
      </c>
      <c r="H131" s="361">
        <f t="shared" ca="1" si="36"/>
        <v>0</v>
      </c>
      <c r="I131" s="361">
        <f t="shared" ca="1" si="37"/>
        <v>483600</v>
      </c>
      <c r="J131" s="361">
        <f t="shared" ca="1" si="38"/>
        <v>0</v>
      </c>
      <c r="K131" s="362">
        <f t="shared" ca="1" si="39"/>
        <v>483600</v>
      </c>
      <c r="L131" s="342"/>
      <c r="M131" s="342"/>
      <c r="N131" s="369"/>
      <c r="O131" s="344"/>
      <c r="P131" s="344"/>
      <c r="Q131" s="398"/>
      <c r="R131" s="344"/>
      <c r="S131" s="398"/>
      <c r="T131" s="399"/>
      <c r="U131" s="399"/>
      <c r="V131" s="399"/>
    </row>
    <row r="132" spans="1:22" s="365" customFormat="1">
      <c r="A132" s="336"/>
      <c r="B132" s="511">
        <v>2</v>
      </c>
      <c r="C132" s="514" t="s">
        <v>261</v>
      </c>
      <c r="D132" s="358" t="str">
        <f ca="1">IF(ISERROR(OFFSET('HARGA SATUAN'!$D$6,MATCH(RAB!C132,'HARGA SATUAN'!$C$7:$C$1492,0),0)),"",OFFSET('HARGA SATUAN'!$D$6,MATCH(RAB!C132,'HARGA SATUAN'!$C$7:$C$1492,0),0))</f>
        <v>HDW</v>
      </c>
      <c r="E132" s="359" t="str">
        <f ca="1">IF(B132="+","Unit",IF(ISERROR(OFFSET('HARGA SATUAN'!$E$6,MATCH(RAB!C132,'HARGA SATUAN'!$C$7:$C$1492,0),0)),"",OFFSET('HARGA SATUAN'!$E$6,MATCH(RAB!C132,'HARGA SATUAN'!$C$7:$C$1492,0),0)))</f>
        <v>Bh</v>
      </c>
      <c r="F132" s="484">
        <f>F130*1</f>
        <v>4</v>
      </c>
      <c r="G132" s="360">
        <f ca="1">IF(ISERROR(OFFSET('HARGA SATUAN'!$I$6,MATCH(RAB!C132,'HARGA SATUAN'!$C$7:$C$1492,0),0)),0,OFFSET('HARGA SATUAN'!$I$6,MATCH(RAB!C132,'HARGA SATUAN'!$C$7:$C$1492,0),0))</f>
        <v>135800</v>
      </c>
      <c r="H132" s="361">
        <f t="shared" ca="1" si="36"/>
        <v>0</v>
      </c>
      <c r="I132" s="361">
        <f t="shared" ca="1" si="37"/>
        <v>543200</v>
      </c>
      <c r="J132" s="361">
        <f t="shared" ca="1" si="38"/>
        <v>0</v>
      </c>
      <c r="K132" s="362">
        <f t="shared" ca="1" si="39"/>
        <v>543200</v>
      </c>
      <c r="L132" s="342"/>
      <c r="M132" s="342"/>
      <c r="N132" s="369"/>
      <c r="O132" s="344"/>
      <c r="P132" s="344"/>
      <c r="Q132" s="398"/>
      <c r="R132" s="344"/>
      <c r="S132" s="398"/>
      <c r="T132" s="399"/>
      <c r="U132" s="399"/>
      <c r="V132" s="399"/>
    </row>
    <row r="133" spans="1:22" s="365" customFormat="1">
      <c r="A133" s="336"/>
      <c r="B133" s="511">
        <v>3</v>
      </c>
      <c r="C133" s="509" t="s">
        <v>214</v>
      </c>
      <c r="D133" s="358" t="str">
        <f ca="1">IF(ISERROR(OFFSET('HARGA SATUAN'!$D$6,MATCH(RAB!C133,'HARGA SATUAN'!$C$7:$C$1492,0),0)),"",OFFSET('HARGA SATUAN'!$D$6,MATCH(RAB!C133,'HARGA SATUAN'!$C$7:$C$1492,0),0))</f>
        <v>HDW</v>
      </c>
      <c r="E133" s="359" t="str">
        <f ca="1">IF(B133="+","Unit",IF(ISERROR(OFFSET('HARGA SATUAN'!$E$6,MATCH(RAB!C133,'HARGA SATUAN'!$C$7:$C$1492,0),0)),"",OFFSET('HARGA SATUAN'!$E$6,MATCH(RAB!C133,'HARGA SATUAN'!$C$7:$C$1492,0),0)))</f>
        <v>Bh</v>
      </c>
      <c r="F133" s="506">
        <f>F130*1</f>
        <v>4</v>
      </c>
      <c r="G133" s="360">
        <f ca="1">IF(ISERROR(OFFSET('HARGA SATUAN'!$I$6,MATCH(RAB!C133,'HARGA SATUAN'!$C$7:$C$1492,0),0)),0,OFFSET('HARGA SATUAN'!$I$6,MATCH(RAB!C133,'HARGA SATUAN'!$C$7:$C$1492,0),0))</f>
        <v>4500</v>
      </c>
      <c r="H133" s="361">
        <f t="shared" ca="1" si="36"/>
        <v>0</v>
      </c>
      <c r="I133" s="361">
        <f t="shared" ca="1" si="37"/>
        <v>18000</v>
      </c>
      <c r="J133" s="361">
        <f t="shared" ca="1" si="38"/>
        <v>0</v>
      </c>
      <c r="K133" s="362">
        <f t="shared" ca="1" si="39"/>
        <v>18000</v>
      </c>
      <c r="L133" s="342"/>
      <c r="M133" s="342"/>
      <c r="N133" s="369"/>
      <c r="O133" s="344"/>
      <c r="P133" s="344"/>
      <c r="Q133" s="398"/>
      <c r="R133" s="344"/>
      <c r="S133" s="398"/>
      <c r="T133" s="399"/>
      <c r="U133" s="399"/>
      <c r="V133" s="399"/>
    </row>
    <row r="134" spans="1:22" s="365" customFormat="1">
      <c r="A134" s="336"/>
      <c r="B134" s="507">
        <v>4</v>
      </c>
      <c r="C134" s="508" t="s">
        <v>768</v>
      </c>
      <c r="D134" s="358" t="str">
        <f ca="1">IF(ISERROR(OFFSET('HARGA SATUAN'!$D$6,MATCH(RAB!C134,'HARGA SATUAN'!$C$7:$C$1492,0),0)),"",OFFSET('HARGA SATUAN'!$D$6,MATCH(RAB!C134,'HARGA SATUAN'!$C$7:$C$1492,0),0))</f>
        <v>JASA</v>
      </c>
      <c r="E134" s="359" t="str">
        <f ca="1">IF(B134="+","Unit",IF(ISERROR(OFFSET('HARGA SATUAN'!$E$6,MATCH(RAB!C134,'HARGA SATUAN'!$C$7:$C$1492,0),0)),"",OFFSET('HARGA SATUAN'!$E$6,MATCH(RAB!C134,'HARGA SATUAN'!$C$7:$C$1492,0),0)))</f>
        <v>Unit</v>
      </c>
      <c r="F134" s="484">
        <f>F130*1</f>
        <v>4</v>
      </c>
      <c r="G134" s="360">
        <f ca="1">IF(ISERROR(OFFSET('HARGA SATUAN'!$I$6,MATCH(RAB!C134,'HARGA SATUAN'!$C$7:$C$1492,0),0)),0,OFFSET('HARGA SATUAN'!$I$6,MATCH(RAB!C134,'HARGA SATUAN'!$C$7:$C$1492,0),0))</f>
        <v>55500</v>
      </c>
      <c r="H134" s="361">
        <f t="shared" ca="1" si="36"/>
        <v>0</v>
      </c>
      <c r="I134" s="361">
        <f t="shared" ca="1" si="37"/>
        <v>0</v>
      </c>
      <c r="J134" s="361">
        <f t="shared" ca="1" si="38"/>
        <v>222000</v>
      </c>
      <c r="K134" s="362">
        <f t="shared" ca="1" si="39"/>
        <v>222000</v>
      </c>
      <c r="L134" s="342"/>
      <c r="M134" s="342"/>
      <c r="N134" s="369"/>
      <c r="O134" s="344"/>
      <c r="P134" s="344"/>
      <c r="Q134" s="398"/>
      <c r="R134" s="344"/>
      <c r="S134" s="398"/>
      <c r="T134" s="399"/>
      <c r="U134" s="399"/>
      <c r="V134" s="399"/>
    </row>
    <row r="135" spans="1:22" s="365" customFormat="1">
      <c r="A135" s="336"/>
      <c r="B135" s="507"/>
      <c r="C135" s="508"/>
      <c r="D135" s="358"/>
      <c r="E135" s="359"/>
      <c r="F135" s="484"/>
      <c r="G135" s="360"/>
      <c r="H135" s="361"/>
      <c r="I135" s="361"/>
      <c r="J135" s="361"/>
      <c r="K135" s="362"/>
      <c r="L135" s="342"/>
      <c r="M135" s="342"/>
      <c r="N135" s="369"/>
      <c r="O135" s="344"/>
      <c r="P135" s="344"/>
      <c r="Q135" s="398"/>
      <c r="R135" s="344"/>
      <c r="S135" s="398"/>
      <c r="T135" s="399"/>
      <c r="U135" s="399"/>
      <c r="V135" s="399"/>
    </row>
    <row r="136" spans="1:22" s="365" customFormat="1">
      <c r="A136" s="336"/>
      <c r="B136" s="507" t="s">
        <v>1035</v>
      </c>
      <c r="C136" s="508" t="s">
        <v>1634</v>
      </c>
      <c r="D136" s="358" t="str">
        <f ca="1">IF(ISERROR(OFFSET('HARGA SATUAN'!$D$6,MATCH(RAB!C136,'HARGA SATUAN'!$C$7:$C$1492,0),0)),"",OFFSET('HARGA SATUAN'!$D$6,MATCH(RAB!C136,'HARGA SATUAN'!$C$7:$C$1492,0),0))</f>
        <v/>
      </c>
      <c r="E136" s="359" t="str">
        <f ca="1">IF(B136="+","Unit",IF(ISERROR(OFFSET('HARGA SATUAN'!$E$6,MATCH(RAB!C136,'HARGA SATUAN'!$C$7:$C$1492,0),0)),"",OFFSET('HARGA SATUAN'!$E$6,MATCH(RAB!C136,'HARGA SATUAN'!$C$7:$C$1492,0),0)))</f>
        <v>Unit</v>
      </c>
      <c r="F136" s="484">
        <f>F122</f>
        <v>4</v>
      </c>
      <c r="G136" s="360">
        <f ca="1">IF(ISERROR(OFFSET('HARGA SATUAN'!$I$6,MATCH(RAB!C136,'HARGA SATUAN'!$C$7:$C$1492,0),0)),0,OFFSET('HARGA SATUAN'!$I$6,MATCH(RAB!C136,'HARGA SATUAN'!$C$7:$C$1492,0),0))</f>
        <v>0</v>
      </c>
      <c r="H136" s="361">
        <f t="shared" ca="1" si="36"/>
        <v>0</v>
      </c>
      <c r="I136" s="361">
        <f t="shared" ca="1" si="37"/>
        <v>0</v>
      </c>
      <c r="J136" s="361">
        <f t="shared" ca="1" si="38"/>
        <v>0</v>
      </c>
      <c r="K136" s="362">
        <f t="shared" ca="1" si="39"/>
        <v>0</v>
      </c>
      <c r="L136" s="342"/>
      <c r="M136" s="342"/>
      <c r="N136" s="369"/>
      <c r="O136" s="344"/>
      <c r="P136" s="344"/>
      <c r="Q136" s="398"/>
      <c r="R136" s="344"/>
      <c r="S136" s="398"/>
      <c r="T136" s="399"/>
      <c r="U136" s="399"/>
      <c r="V136" s="399"/>
    </row>
    <row r="137" spans="1:22" s="365" customFormat="1">
      <c r="A137" s="336"/>
      <c r="B137" s="507">
        <v>1</v>
      </c>
      <c r="C137" s="508" t="s">
        <v>30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Bh</v>
      </c>
      <c r="F137" s="484">
        <f>F136*1</f>
        <v>4</v>
      </c>
      <c r="G137" s="360">
        <f ca="1">IF(ISERROR(OFFSET('HARGA SATUAN'!$I$6,MATCH(RAB!C137,'HARGA SATUAN'!$C$7:$C$1492,0),0)),0,OFFSET('HARGA SATUAN'!$I$6,MATCH(RAB!C137,'HARGA SATUAN'!$C$7:$C$1492,0),0))</f>
        <v>47459</v>
      </c>
      <c r="H137" s="361">
        <f t="shared" ca="1" si="36"/>
        <v>0</v>
      </c>
      <c r="I137" s="361">
        <f t="shared" ca="1" si="37"/>
        <v>189836</v>
      </c>
      <c r="J137" s="361">
        <f t="shared" ca="1" si="38"/>
        <v>0</v>
      </c>
      <c r="K137" s="362">
        <f t="shared" ca="1" si="39"/>
        <v>189836</v>
      </c>
      <c r="L137" s="342"/>
      <c r="M137" s="342"/>
      <c r="N137" s="369"/>
      <c r="O137" s="344"/>
      <c r="P137" s="344"/>
      <c r="Q137" s="398"/>
      <c r="R137" s="344"/>
      <c r="S137" s="398"/>
      <c r="T137" s="399"/>
      <c r="U137" s="399"/>
      <c r="V137" s="399"/>
    </row>
    <row r="138" spans="1:22" s="365" customFormat="1">
      <c r="A138" s="336"/>
      <c r="B138" s="507">
        <v>2</v>
      </c>
      <c r="C138" s="508" t="s">
        <v>32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Mtr</v>
      </c>
      <c r="F138" s="484">
        <f>F136*1</f>
        <v>4</v>
      </c>
      <c r="G138" s="360">
        <f ca="1">IF(ISERROR(OFFSET('HARGA SATUAN'!$I$6,MATCH(RAB!C138,'HARGA SATUAN'!$C$7:$C$1492,0),0)),0,OFFSET('HARGA SATUAN'!$I$6,MATCH(RAB!C138,'HARGA SATUAN'!$C$7:$C$1492,0),0))</f>
        <v>30000</v>
      </c>
      <c r="H138" s="361">
        <f t="shared" ca="1" si="36"/>
        <v>0</v>
      </c>
      <c r="I138" s="361">
        <f t="shared" ca="1" si="37"/>
        <v>120000</v>
      </c>
      <c r="J138" s="361">
        <f t="shared" ca="1" si="38"/>
        <v>0</v>
      </c>
      <c r="K138" s="362">
        <f t="shared" ca="1" si="39"/>
        <v>120000</v>
      </c>
      <c r="L138" s="342"/>
      <c r="M138" s="342"/>
      <c r="N138" s="369"/>
      <c r="O138" s="344"/>
      <c r="P138" s="344"/>
      <c r="Q138" s="398"/>
      <c r="R138" s="344"/>
      <c r="S138" s="398"/>
      <c r="T138" s="399"/>
      <c r="U138" s="399"/>
      <c r="V138" s="399"/>
    </row>
    <row r="139" spans="1:22" s="365" customFormat="1">
      <c r="A139" s="336"/>
      <c r="B139" s="507">
        <v>3</v>
      </c>
      <c r="C139" s="508" t="s">
        <v>33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Bh</v>
      </c>
      <c r="F139" s="484">
        <f>F136*1</f>
        <v>4</v>
      </c>
      <c r="G139" s="360">
        <f ca="1">IF(ISERROR(OFFSET('HARGA SATUAN'!$I$6,MATCH(RAB!C139,'HARGA SATUAN'!$C$7:$C$1492,0),0)),0,OFFSET('HARGA SATUAN'!$I$6,MATCH(RAB!C139,'HARGA SATUAN'!$C$7:$C$1492,0),0))</f>
        <v>9500</v>
      </c>
      <c r="H139" s="361">
        <f t="shared" ca="1" si="36"/>
        <v>0</v>
      </c>
      <c r="I139" s="361">
        <f t="shared" ca="1" si="37"/>
        <v>38000</v>
      </c>
      <c r="J139" s="361">
        <f t="shared" ca="1" si="38"/>
        <v>0</v>
      </c>
      <c r="K139" s="362">
        <f t="shared" ca="1" si="39"/>
        <v>38000</v>
      </c>
      <c r="L139" s="342"/>
      <c r="M139" s="342"/>
      <c r="N139" s="369"/>
      <c r="O139" s="344"/>
      <c r="P139" s="344"/>
      <c r="Q139" s="398"/>
      <c r="R139" s="344"/>
      <c r="S139" s="398"/>
      <c r="T139" s="399"/>
      <c r="U139" s="399"/>
      <c r="V139" s="399"/>
    </row>
    <row r="140" spans="1:22" s="365" customFormat="1">
      <c r="A140" s="336"/>
      <c r="B140" s="507">
        <v>4</v>
      </c>
      <c r="C140" s="508" t="s">
        <v>738</v>
      </c>
      <c r="D140" s="358" t="str">
        <f ca="1">IF(ISERROR(OFFSET('HARGA SATUAN'!$D$6,MATCH(RAB!C140,'HARGA SATUAN'!$C$7:$C$1492,0),0)),"",OFFSET('HARGA SATUAN'!$D$6,MATCH(RAB!C140,'HARGA SATUAN'!$C$7:$C$1492,0),0))</f>
        <v>JASA</v>
      </c>
      <c r="E140" s="359" t="str">
        <f ca="1">IF(B140="+","Unit",IF(ISERROR(OFFSET('HARGA SATUAN'!$E$6,MATCH(RAB!C140,'HARGA SATUAN'!$C$7:$C$1492,0),0)),"",OFFSET('HARGA SATUAN'!$E$6,MATCH(RAB!C140,'HARGA SATUAN'!$C$7:$C$1492,0),0)))</f>
        <v>Unit</v>
      </c>
      <c r="F140" s="484">
        <f>F136*1</f>
        <v>4</v>
      </c>
      <c r="G140" s="360">
        <f ca="1">IF(ISERROR(OFFSET('HARGA SATUAN'!$I$6,MATCH(RAB!C140,'HARGA SATUAN'!$C$7:$C$1492,0),0)),0,OFFSET('HARGA SATUAN'!$I$6,MATCH(RAB!C140,'HARGA SATUAN'!$C$7:$C$1492,0),0))</f>
        <v>21200</v>
      </c>
      <c r="H140" s="361">
        <f t="shared" ca="1" si="36"/>
        <v>0</v>
      </c>
      <c r="I140" s="361">
        <f t="shared" ca="1" si="37"/>
        <v>0</v>
      </c>
      <c r="J140" s="361">
        <f t="shared" ca="1" si="38"/>
        <v>84800</v>
      </c>
      <c r="K140" s="362">
        <f t="shared" ca="1" si="39"/>
        <v>84800</v>
      </c>
      <c r="L140" s="342"/>
      <c r="M140" s="342"/>
      <c r="N140" s="369"/>
      <c r="O140" s="344"/>
      <c r="P140" s="344"/>
      <c r="Q140" s="398"/>
      <c r="R140" s="344"/>
      <c r="S140" s="398"/>
      <c r="T140" s="399"/>
      <c r="U140" s="399"/>
      <c r="V140" s="399"/>
    </row>
    <row r="141" spans="1:22" s="365" customFormat="1">
      <c r="A141" s="336"/>
      <c r="B141" s="507"/>
      <c r="C141" s="508"/>
      <c r="D141" s="358" t="str">
        <f ca="1">IF(ISERROR(OFFSET('HARGA SATUAN'!$D$6,MATCH(RAB!C141,'HARGA SATUAN'!$C$7:$C$1492,0),0)),"",OFFSET('HARGA SATUAN'!$D$6,MATCH(RAB!C141,'HARGA SATUAN'!$C$7:$C$1492,0),0))</f>
        <v/>
      </c>
      <c r="E141" s="359" t="str">
        <f ca="1">IF(B141="+","Unit",IF(ISERROR(OFFSET('HARGA SATUAN'!$E$6,MATCH(RAB!C141,'HARGA SATUAN'!$C$7:$C$1492,0),0)),"",OFFSET('HARGA SATUAN'!$E$6,MATCH(RAB!C141,'HARGA SATUAN'!$C$7:$C$1492,0),0)))</f>
        <v/>
      </c>
      <c r="F141" s="484"/>
      <c r="G141" s="360">
        <f ca="1">IF(ISERROR(OFFSET('HARGA SATUAN'!$I$6,MATCH(RAB!C141,'HARGA SATUAN'!$C$7:$C$1492,0),0)),0,OFFSET('HARGA SATUAN'!$I$6,MATCH(RAB!C141,'HARGA SATUAN'!$C$7:$C$1492,0),0))</f>
        <v>0</v>
      </c>
      <c r="H141" s="361">
        <f t="shared" ref="H141:H159" ca="1" si="40">IF(OR(D141="MDU",D141="MDU-KD"),(IF($O$3="RAB NON MDU","PLN KD",G141*F141)),0)</f>
        <v>0</v>
      </c>
      <c r="I141" s="361">
        <f t="shared" ref="I141:I159" ca="1" si="41">IF(D141="HDW",G141*F141,0)</f>
        <v>0</v>
      </c>
      <c r="J141" s="361">
        <f t="shared" ref="J141:J159" ca="1" si="42">IF(D141="JASA",G141*F141,0)</f>
        <v>0</v>
      </c>
      <c r="K141" s="362">
        <f t="shared" ref="K141:K159" ca="1" si="43">SUM(H141:J141)</f>
        <v>0</v>
      </c>
      <c r="L141" s="342"/>
      <c r="M141" s="342"/>
      <c r="N141" s="369"/>
      <c r="O141" s="344"/>
      <c r="P141" s="344"/>
      <c r="Q141" s="398"/>
      <c r="R141" s="344"/>
      <c r="S141" s="398"/>
      <c r="T141" s="399"/>
      <c r="U141" s="399"/>
      <c r="V141" s="399"/>
    </row>
    <row r="142" spans="1:22" s="365" customFormat="1">
      <c r="A142" s="336"/>
      <c r="B142" s="507"/>
      <c r="C142" s="510" t="s">
        <v>1635</v>
      </c>
      <c r="D142" s="358" t="str">
        <f ca="1">IF(ISERROR(OFFSET('HARGA SATUAN'!$D$6,MATCH(RAB!C142,'HARGA SATUAN'!$C$7:$C$1492,0),0)),"",OFFSET('HARGA SATUAN'!$D$6,MATCH(RAB!C142,'HARGA SATUAN'!$C$7:$C$1492,0),0))</f>
        <v/>
      </c>
      <c r="E142" s="359" t="str">
        <f ca="1">IF(B142="+","Unit",IF(ISERROR(OFFSET('HARGA SATUAN'!$E$6,MATCH(RAB!C142,'HARGA SATUAN'!$C$7:$C$1492,0),0)),"",OFFSET('HARGA SATUAN'!$E$6,MATCH(RAB!C142,'HARGA SATUAN'!$C$7:$C$1492,0),0)))</f>
        <v/>
      </c>
      <c r="F142" s="484"/>
      <c r="G142" s="360">
        <f ca="1">IF(ISERROR(OFFSET('HARGA SATUAN'!$I$6,MATCH(RAB!C142,'HARGA SATUAN'!$C$7:$C$1492,0),0)),0,OFFSET('HARGA SATUAN'!$I$6,MATCH(RAB!C142,'HARGA SATUAN'!$C$7:$C$1492,0),0))</f>
        <v>0</v>
      </c>
      <c r="H142" s="361">
        <f t="shared" ca="1" si="40"/>
        <v>0</v>
      </c>
      <c r="I142" s="361">
        <f t="shared" ca="1" si="41"/>
        <v>0</v>
      </c>
      <c r="J142" s="361">
        <f t="shared" ca="1" si="42"/>
        <v>0</v>
      </c>
      <c r="K142" s="362">
        <f t="shared" ca="1" si="43"/>
        <v>0</v>
      </c>
      <c r="L142" s="342"/>
      <c r="M142" s="342"/>
      <c r="N142" s="369"/>
      <c r="O142" s="344"/>
      <c r="P142" s="344"/>
      <c r="Q142" s="398"/>
      <c r="R142" s="344"/>
      <c r="S142" s="398"/>
      <c r="T142" s="399"/>
      <c r="U142" s="399"/>
      <c r="V142" s="399"/>
    </row>
    <row r="143" spans="1:22" s="365" customFormat="1">
      <c r="A143" s="336"/>
      <c r="B143" s="507"/>
      <c r="C143" s="508"/>
      <c r="D143" s="358" t="str">
        <f ca="1">IF(ISERROR(OFFSET('HARGA SATUAN'!$D$6,MATCH(RAB!C143,'HARGA SATUAN'!$C$7:$C$1492,0),0)),"",OFFSET('HARGA SATUAN'!$D$6,MATCH(RAB!C143,'HARGA SATUAN'!$C$7:$C$1492,0),0))</f>
        <v/>
      </c>
      <c r="E143" s="359" t="str">
        <f ca="1">IF(B143="+","Unit",IF(ISERROR(OFFSET('HARGA SATUAN'!$E$6,MATCH(RAB!C143,'HARGA SATUAN'!$C$7:$C$1492,0),0)),"",OFFSET('HARGA SATUAN'!$E$6,MATCH(RAB!C143,'HARGA SATUAN'!$C$7:$C$1492,0),0)))</f>
        <v/>
      </c>
      <c r="F143" s="484"/>
      <c r="G143" s="360">
        <f ca="1">IF(ISERROR(OFFSET('HARGA SATUAN'!$I$6,MATCH(RAB!C143,'HARGA SATUAN'!$C$7:$C$1492,0),0)),0,OFFSET('HARGA SATUAN'!$I$6,MATCH(RAB!C143,'HARGA SATUAN'!$C$7:$C$1492,0),0))</f>
        <v>0</v>
      </c>
      <c r="H143" s="361">
        <f t="shared" ca="1" si="40"/>
        <v>0</v>
      </c>
      <c r="I143" s="361">
        <f t="shared" ca="1" si="41"/>
        <v>0</v>
      </c>
      <c r="J143" s="361">
        <f t="shared" ca="1" si="42"/>
        <v>0</v>
      </c>
      <c r="K143" s="362">
        <f t="shared" ca="1" si="43"/>
        <v>0</v>
      </c>
      <c r="L143" s="342"/>
      <c r="M143" s="342"/>
      <c r="N143" s="369"/>
      <c r="O143" s="344"/>
      <c r="P143" s="344"/>
      <c r="Q143" s="398"/>
      <c r="R143" s="344"/>
      <c r="S143" s="398"/>
      <c r="T143" s="399"/>
      <c r="U143" s="399"/>
      <c r="V143" s="399"/>
    </row>
    <row r="144" spans="1:22" s="365" customFormat="1">
      <c r="A144" s="336"/>
      <c r="B144" s="520" t="s">
        <v>1035</v>
      </c>
      <c r="C144" s="521" t="s">
        <v>1636</v>
      </c>
      <c r="D144" s="358" t="str">
        <f ca="1">IF(ISERROR(OFFSET('HARGA SATUAN'!$D$6,MATCH(RAB!C144,'HARGA SATUAN'!$C$7:$C$1492,0),0)),"",OFFSET('HARGA SATUAN'!$D$6,MATCH(RAB!C144,'HARGA SATUAN'!$C$7:$C$1492,0),0))</f>
        <v/>
      </c>
      <c r="E144" s="359" t="str">
        <f ca="1">IF(B144="+","Unit",IF(ISERROR(OFFSET('HARGA SATUAN'!$E$6,MATCH(RAB!C144,'HARGA SATUAN'!$C$7:$C$1492,0),0)),"",OFFSET('HARGA SATUAN'!$E$6,MATCH(RAB!C144,'HARGA SATUAN'!$C$7:$C$1492,0),0)))</f>
        <v>Unit</v>
      </c>
      <c r="F144" s="522">
        <v>3</v>
      </c>
      <c r="G144" s="360">
        <f ca="1">IF(ISERROR(OFFSET('HARGA SATUAN'!$I$6,MATCH(RAB!C144,'HARGA SATUAN'!$C$7:$C$1492,0),0)),0,OFFSET('HARGA SATUAN'!$I$6,MATCH(RAB!C144,'HARGA SATUAN'!$C$7:$C$1492,0),0))</f>
        <v>0</v>
      </c>
      <c r="H144" s="361">
        <f t="shared" ca="1" si="40"/>
        <v>0</v>
      </c>
      <c r="I144" s="361">
        <f t="shared" ca="1" si="41"/>
        <v>0</v>
      </c>
      <c r="J144" s="361">
        <f t="shared" ca="1" si="42"/>
        <v>0</v>
      </c>
      <c r="K144" s="362">
        <f t="shared" ca="1" si="43"/>
        <v>0</v>
      </c>
      <c r="L144" s="342"/>
      <c r="M144" s="342"/>
      <c r="N144" s="369"/>
      <c r="O144" s="344"/>
      <c r="P144" s="344"/>
      <c r="Q144" s="398"/>
      <c r="R144" s="344"/>
      <c r="S144" s="398"/>
      <c r="T144" s="399"/>
      <c r="U144" s="399"/>
      <c r="V144" s="399"/>
    </row>
    <row r="145" spans="1:22" s="365" customFormat="1">
      <c r="A145" s="336"/>
      <c r="B145" s="520">
        <v>1</v>
      </c>
      <c r="C145" s="109" t="s">
        <v>1129</v>
      </c>
      <c r="D145" s="358" t="str">
        <f ca="1">IF(ISERROR(OFFSET('HARGA SATUAN'!$D$6,MATCH(RAB!C145,'HARGA SATUAN'!$C$7:$C$1492,0),0)),"",OFFSET('HARGA SATUAN'!$D$6,MATCH(RAB!C145,'HARGA SATUAN'!$C$7:$C$1492,0),0))</f>
        <v>MDU-KD</v>
      </c>
      <c r="E145" s="359" t="str">
        <f ca="1">IF(B145="+","Unit",IF(ISERROR(OFFSET('HARGA SATUAN'!$E$6,MATCH(RAB!C145,'HARGA SATUAN'!$C$7:$C$1492,0),0)),"",OFFSET('HARGA SATUAN'!$E$6,MATCH(RAB!C145,'HARGA SATUAN'!$C$7:$C$1492,0),0)))</f>
        <v>Bh</v>
      </c>
      <c r="F145" s="522">
        <f>F144*1</f>
        <v>3</v>
      </c>
      <c r="G145" s="360">
        <f ca="1">IF(ISERROR(OFFSET('HARGA SATUAN'!$I$6,MATCH(RAB!C145,'HARGA SATUAN'!$C$7:$C$1492,0),0)),0,OFFSET('HARGA SATUAN'!$I$6,MATCH(RAB!C145,'HARGA SATUAN'!$C$7:$C$1492,0),0))</f>
        <v>176900</v>
      </c>
      <c r="H145" s="361">
        <f t="shared" ca="1" si="40"/>
        <v>530700</v>
      </c>
      <c r="I145" s="361">
        <f t="shared" ca="1" si="41"/>
        <v>0</v>
      </c>
      <c r="J145" s="361">
        <f t="shared" ca="1" si="42"/>
        <v>0</v>
      </c>
      <c r="K145" s="362">
        <f t="shared" ca="1" si="43"/>
        <v>530700</v>
      </c>
      <c r="L145" s="342"/>
      <c r="M145" s="342"/>
      <c r="N145" s="369"/>
      <c r="O145" s="344"/>
      <c r="P145" s="344"/>
      <c r="Q145" s="398"/>
      <c r="R145" s="344"/>
      <c r="S145" s="398"/>
      <c r="T145" s="399"/>
      <c r="U145" s="399"/>
      <c r="V145" s="399"/>
    </row>
    <row r="146" spans="1:22" s="365" customFormat="1">
      <c r="A146" s="336"/>
      <c r="B146" s="520">
        <v>2</v>
      </c>
      <c r="C146" s="521" t="s">
        <v>26</v>
      </c>
      <c r="D146" s="358" t="str">
        <f ca="1">IF(ISERROR(OFFSET('HARGA SATUAN'!$D$6,MATCH(RAB!C146,'HARGA SATUAN'!$C$7:$C$1492,0),0)),"",OFFSET('HARGA SATUAN'!$D$6,MATCH(RAB!C146,'HARGA SATUAN'!$C$7:$C$1492,0),0))</f>
        <v>HDW</v>
      </c>
      <c r="E146" s="359" t="str">
        <f ca="1">IF(B146="+","Unit",IF(ISERROR(OFFSET('HARGA SATUAN'!$E$6,MATCH(RAB!C146,'HARGA SATUAN'!$C$7:$C$1492,0),0)),"",OFFSET('HARGA SATUAN'!$E$6,MATCH(RAB!C146,'HARGA SATUAN'!$C$7:$C$1492,0),0)))</f>
        <v>Bh</v>
      </c>
      <c r="F146" s="522">
        <f>F144*2</f>
        <v>6</v>
      </c>
      <c r="G146" s="360">
        <f ca="1">IF(ISERROR(OFFSET('HARGA SATUAN'!$I$6,MATCH(RAB!C146,'HARGA SATUAN'!$C$7:$C$1492,0),0)),0,OFFSET('HARGA SATUAN'!$I$6,MATCH(RAB!C146,'HARGA SATUAN'!$C$7:$C$1492,0),0))</f>
        <v>2500</v>
      </c>
      <c r="H146" s="361">
        <f t="shared" ca="1" si="40"/>
        <v>0</v>
      </c>
      <c r="I146" s="361">
        <f t="shared" ca="1" si="41"/>
        <v>15000</v>
      </c>
      <c r="J146" s="361">
        <f t="shared" ca="1" si="42"/>
        <v>0</v>
      </c>
      <c r="K146" s="362">
        <f t="shared" ca="1" si="43"/>
        <v>15000</v>
      </c>
      <c r="L146" s="342"/>
      <c r="M146" s="342"/>
      <c r="N146" s="369"/>
      <c r="O146" s="344"/>
      <c r="P146" s="344"/>
      <c r="Q146" s="398"/>
      <c r="R146" s="344"/>
      <c r="S146" s="398"/>
      <c r="T146" s="399"/>
      <c r="U146" s="399"/>
      <c r="V146" s="399"/>
    </row>
    <row r="147" spans="1:22" s="365" customFormat="1">
      <c r="A147" s="336"/>
      <c r="B147" s="520">
        <v>3</v>
      </c>
      <c r="C147" s="521" t="s">
        <v>38</v>
      </c>
      <c r="D147" s="358" t="str">
        <f ca="1">IF(ISERROR(OFFSET('HARGA SATUAN'!$D$6,MATCH(RAB!C147,'HARGA SATUAN'!$C$7:$C$1492,0),0)),"",OFFSET('HARGA SATUAN'!$D$6,MATCH(RAB!C147,'HARGA SATUAN'!$C$7:$C$1492,0),0))</f>
        <v>HDW</v>
      </c>
      <c r="E147" s="359" t="str">
        <f ca="1">IF(B147="+","Unit",IF(ISERROR(OFFSET('HARGA SATUAN'!$E$6,MATCH(RAB!C147,'HARGA SATUAN'!$C$7:$C$1492,0),0)),"",OFFSET('HARGA SATUAN'!$E$6,MATCH(RAB!C147,'HARGA SATUAN'!$C$7:$C$1492,0),0)))</f>
        <v>Mtr</v>
      </c>
      <c r="F147" s="522">
        <f>F145*1.8</f>
        <v>5.4</v>
      </c>
      <c r="G147" s="360">
        <f ca="1">IF(ISERROR(OFFSET('HARGA SATUAN'!$I$6,MATCH(RAB!C147,'HARGA SATUAN'!$C$7:$C$1492,0),0)),0,OFFSET('HARGA SATUAN'!$I$6,MATCH(RAB!C147,'HARGA SATUAN'!$C$7:$C$1492,0),0))</f>
        <v>8550</v>
      </c>
      <c r="H147" s="361">
        <f t="shared" ca="1" si="40"/>
        <v>0</v>
      </c>
      <c r="I147" s="361">
        <f t="shared" ca="1" si="41"/>
        <v>46170</v>
      </c>
      <c r="J147" s="361">
        <f t="shared" ca="1" si="42"/>
        <v>0</v>
      </c>
      <c r="K147" s="362">
        <f t="shared" ca="1" si="43"/>
        <v>46170</v>
      </c>
      <c r="L147" s="342"/>
      <c r="M147" s="342"/>
      <c r="N147" s="369"/>
      <c r="O147" s="344"/>
      <c r="P147" s="344"/>
      <c r="Q147" s="398"/>
      <c r="R147" s="344"/>
      <c r="S147" s="398"/>
      <c r="T147" s="399"/>
      <c r="U147" s="399"/>
      <c r="V147" s="399"/>
    </row>
    <row r="148" spans="1:22" s="365" customFormat="1">
      <c r="A148" s="336"/>
      <c r="B148" s="520">
        <v>4</v>
      </c>
      <c r="C148" s="521" t="s">
        <v>744</v>
      </c>
      <c r="D148" s="358" t="str">
        <f ca="1">IF(ISERROR(OFFSET('HARGA SATUAN'!$D$6,MATCH(RAB!C148,'HARGA SATUAN'!$C$7:$C$1492,0),0)),"",OFFSET('HARGA SATUAN'!$D$6,MATCH(RAB!C148,'HARGA SATUAN'!$C$7:$C$1492,0),0))</f>
        <v>JASA</v>
      </c>
      <c r="E148" s="359" t="str">
        <f ca="1">IF(B148="+","Unit",IF(ISERROR(OFFSET('HARGA SATUAN'!$E$6,MATCH(RAB!C148,'HARGA SATUAN'!$C$7:$C$1492,0),0)),"",OFFSET('HARGA SATUAN'!$E$6,MATCH(RAB!C148,'HARGA SATUAN'!$C$7:$C$1492,0),0)))</f>
        <v>Unit</v>
      </c>
      <c r="F148" s="522">
        <f>F144*1</f>
        <v>3</v>
      </c>
      <c r="G148" s="360">
        <f ca="1">IF(ISERROR(OFFSET('HARGA SATUAN'!$I$6,MATCH(RAB!C148,'HARGA SATUAN'!$C$7:$C$1492,0),0)),0,OFFSET('HARGA SATUAN'!$I$6,MATCH(RAB!C148,'HARGA SATUAN'!$C$7:$C$1492,0),0))</f>
        <v>31200</v>
      </c>
      <c r="H148" s="361">
        <f t="shared" ca="1" si="40"/>
        <v>0</v>
      </c>
      <c r="I148" s="361">
        <f t="shared" ca="1" si="41"/>
        <v>0</v>
      </c>
      <c r="J148" s="361">
        <f t="shared" ca="1" si="42"/>
        <v>93600</v>
      </c>
      <c r="K148" s="362">
        <f t="shared" ca="1" si="43"/>
        <v>93600</v>
      </c>
      <c r="L148" s="342"/>
      <c r="M148" s="342"/>
      <c r="N148" s="369"/>
      <c r="O148" s="344"/>
      <c r="P148" s="344"/>
      <c r="Q148" s="398"/>
      <c r="R148" s="344"/>
      <c r="S148" s="398"/>
      <c r="T148" s="399"/>
      <c r="U148" s="399"/>
      <c r="V148" s="399"/>
    </row>
    <row r="149" spans="1:22" s="365" customFormat="1">
      <c r="A149" s="336"/>
      <c r="B149" s="507"/>
      <c r="C149" s="508"/>
      <c r="D149" s="358" t="str">
        <f ca="1">IF(ISERROR(OFFSET('HARGA SATUAN'!$D$6,MATCH(RAB!C149,'HARGA SATUAN'!$C$7:$C$1492,0),0)),"",OFFSET('HARGA SATUAN'!$D$6,MATCH(RAB!C149,'HARGA SATUAN'!$C$7:$C$1492,0),0))</f>
        <v/>
      </c>
      <c r="E149" s="359" t="str">
        <f ca="1">IF(B149="+","Unit",IF(ISERROR(OFFSET('HARGA SATUAN'!$E$6,MATCH(RAB!C149,'HARGA SATUAN'!$C$7:$C$1492,0),0)),"",OFFSET('HARGA SATUAN'!$E$6,MATCH(RAB!C149,'HARGA SATUAN'!$C$7:$C$1492,0),0)))</f>
        <v/>
      </c>
      <c r="F149" s="484"/>
      <c r="G149" s="360">
        <f ca="1">IF(ISERROR(OFFSET('HARGA SATUAN'!$I$6,MATCH(RAB!C149,'HARGA SATUAN'!$C$7:$C$1492,0),0)),0,OFFSET('HARGA SATUAN'!$I$6,MATCH(RAB!C149,'HARGA SATUAN'!$C$7:$C$1492,0),0))</f>
        <v>0</v>
      </c>
      <c r="H149" s="361">
        <f t="shared" ca="1" si="40"/>
        <v>0</v>
      </c>
      <c r="I149" s="361">
        <f t="shared" ca="1" si="41"/>
        <v>0</v>
      </c>
      <c r="J149" s="361">
        <f t="shared" ca="1" si="42"/>
        <v>0</v>
      </c>
      <c r="K149" s="362">
        <f t="shared" ca="1" si="43"/>
        <v>0</v>
      </c>
      <c r="L149" s="342"/>
      <c r="M149" s="342"/>
      <c r="N149" s="369"/>
      <c r="O149" s="344"/>
      <c r="P149" s="344"/>
      <c r="Q149" s="398"/>
      <c r="R149" s="344"/>
      <c r="S149" s="398"/>
      <c r="T149" s="399"/>
      <c r="U149" s="399"/>
      <c r="V149" s="399"/>
    </row>
    <row r="150" spans="1:22" s="365" customFormat="1">
      <c r="A150" s="336"/>
      <c r="B150" s="529" t="s">
        <v>1035</v>
      </c>
      <c r="C150" s="530" t="s">
        <v>1641</v>
      </c>
      <c r="D150" s="358" t="str">
        <f ca="1">IF(ISERROR(OFFSET('HARGA SATUAN'!$D$6,MATCH(RAB!C150,'HARGA SATUAN'!$C$7:$C$1492,0),0)),"",OFFSET('HARGA SATUAN'!$D$6,MATCH(RAB!C150,'HARGA SATUAN'!$C$7:$C$1492,0),0))</f>
        <v/>
      </c>
      <c r="E150" s="359" t="str">
        <f ca="1">IF(B150="+","Unit",IF(ISERROR(OFFSET('HARGA SATUAN'!$E$6,MATCH(RAB!C150,'HARGA SATUAN'!$C$7:$C$1492,0),0)),"",OFFSET('HARGA SATUAN'!$E$6,MATCH(RAB!C150,'HARGA SATUAN'!$C$7:$C$1492,0),0)))</f>
        <v>Unit</v>
      </c>
      <c r="F150" s="522">
        <v>2</v>
      </c>
      <c r="G150" s="360">
        <f ca="1">IF(ISERROR(OFFSET('HARGA SATUAN'!$I$6,MATCH(RAB!C150,'HARGA SATUAN'!$C$7:$C$1492,0),0)),0,OFFSET('HARGA SATUAN'!$I$6,MATCH(RAB!C150,'HARGA SATUAN'!$C$7:$C$1492,0),0))</f>
        <v>0</v>
      </c>
      <c r="H150" s="361">
        <f t="shared" ref="H150:H158" ca="1" si="44">IF(OR(D150="MDU",D150="MDU-KD"),(IF($O$3="RAB NON MDU","PLN KD",G150*F150)),0)</f>
        <v>0</v>
      </c>
      <c r="I150" s="361">
        <f t="shared" ref="I150:I158" ca="1" si="45">IF(D150="HDW",G150*F150,0)</f>
        <v>0</v>
      </c>
      <c r="J150" s="361">
        <f t="shared" ref="J150:J158" ca="1" si="46">IF(D150="JASA",G150*F150,0)</f>
        <v>0</v>
      </c>
      <c r="K150" s="362">
        <f t="shared" ref="K150:K158" ca="1" si="47">SUM(H150:J150)</f>
        <v>0</v>
      </c>
      <c r="L150" s="342"/>
      <c r="M150" s="342"/>
      <c r="N150" s="369"/>
      <c r="O150" s="344"/>
      <c r="P150" s="344"/>
      <c r="Q150" s="398"/>
      <c r="R150" s="344"/>
      <c r="S150" s="398"/>
      <c r="T150" s="399"/>
      <c r="U150" s="399"/>
      <c r="V150" s="399"/>
    </row>
    <row r="151" spans="1:22" s="365" customFormat="1">
      <c r="A151" s="336"/>
      <c r="B151" s="529">
        <v>1</v>
      </c>
      <c r="C151" s="109" t="s">
        <v>1129</v>
      </c>
      <c r="D151" s="358" t="str">
        <f ca="1">IF(ISERROR(OFFSET('HARGA SATUAN'!$D$6,MATCH(RAB!C151,'HARGA SATUAN'!$C$7:$C$1492,0),0)),"",OFFSET('HARGA SATUAN'!$D$6,MATCH(RAB!C151,'HARGA SATUAN'!$C$7:$C$1492,0),0))</f>
        <v>MDU-KD</v>
      </c>
      <c r="E151" s="359" t="str">
        <f ca="1">IF(B151="+","Unit",IF(ISERROR(OFFSET('HARGA SATUAN'!$E$6,MATCH(RAB!C151,'HARGA SATUAN'!$C$7:$C$1492,0),0)),"",OFFSET('HARGA SATUAN'!$E$6,MATCH(RAB!C151,'HARGA SATUAN'!$C$7:$C$1492,0),0)))</f>
        <v>Bh</v>
      </c>
      <c r="F151" s="522">
        <f>F150*1</f>
        <v>2</v>
      </c>
      <c r="G151" s="360">
        <f ca="1">IF(ISERROR(OFFSET('HARGA SATUAN'!$I$6,MATCH(RAB!C151,'HARGA SATUAN'!$C$7:$C$1492,0),0)),0,OFFSET('HARGA SATUAN'!$I$6,MATCH(RAB!C151,'HARGA SATUAN'!$C$7:$C$1492,0),0))</f>
        <v>176900</v>
      </c>
      <c r="H151" s="361">
        <f t="shared" ca="1" si="44"/>
        <v>353800</v>
      </c>
      <c r="I151" s="361">
        <f t="shared" ca="1" si="45"/>
        <v>0</v>
      </c>
      <c r="J151" s="361">
        <f t="shared" ca="1" si="46"/>
        <v>0</v>
      </c>
      <c r="K151" s="362">
        <f t="shared" ca="1" si="47"/>
        <v>353800</v>
      </c>
      <c r="L151" s="342"/>
      <c r="M151" s="342"/>
      <c r="N151" s="369"/>
      <c r="O151" s="344"/>
      <c r="P151" s="344"/>
      <c r="Q151" s="398"/>
      <c r="R151" s="344"/>
      <c r="S151" s="398"/>
      <c r="T151" s="399"/>
      <c r="U151" s="399"/>
      <c r="V151" s="399"/>
    </row>
    <row r="152" spans="1:22" s="365" customFormat="1">
      <c r="A152" s="336"/>
      <c r="B152" s="529">
        <v>2</v>
      </c>
      <c r="C152" s="530" t="s">
        <v>37</v>
      </c>
      <c r="D152" s="358" t="str">
        <f ca="1">IF(ISERROR(OFFSET('HARGA SATUAN'!$D$6,MATCH(RAB!C152,'HARGA SATUAN'!$C$7:$C$1492,0),0)),"",OFFSET('HARGA SATUAN'!$D$6,MATCH(RAB!C152,'HARGA SATUAN'!$C$7:$C$1492,0),0))</f>
        <v>HDW</v>
      </c>
      <c r="E152" s="359" t="str">
        <f ca="1">IF(B152="+","Unit",IF(ISERROR(OFFSET('HARGA SATUAN'!$E$6,MATCH(RAB!C152,'HARGA SATUAN'!$C$7:$C$1492,0),0)),"",OFFSET('HARGA SATUAN'!$E$6,MATCH(RAB!C152,'HARGA SATUAN'!$C$7:$C$1492,0),0)))</f>
        <v>Bh</v>
      </c>
      <c r="F152" s="522">
        <f>F150*1</f>
        <v>2</v>
      </c>
      <c r="G152" s="360">
        <f ca="1">IF(ISERROR(OFFSET('HARGA SATUAN'!$I$6,MATCH(RAB!C152,'HARGA SATUAN'!$C$7:$C$1492,0),0)),0,OFFSET('HARGA SATUAN'!$I$6,MATCH(RAB!C152,'HARGA SATUAN'!$C$7:$C$1492,0),0))</f>
        <v>63500</v>
      </c>
      <c r="H152" s="361">
        <f t="shared" ca="1" si="44"/>
        <v>0</v>
      </c>
      <c r="I152" s="361">
        <f t="shared" ca="1" si="45"/>
        <v>127000</v>
      </c>
      <c r="J152" s="361">
        <f t="shared" ca="1" si="46"/>
        <v>0</v>
      </c>
      <c r="K152" s="362">
        <f t="shared" ca="1" si="47"/>
        <v>127000</v>
      </c>
      <c r="L152" s="342"/>
      <c r="M152" s="342"/>
      <c r="N152" s="369"/>
      <c r="O152" s="344"/>
      <c r="P152" s="344"/>
      <c r="Q152" s="398"/>
      <c r="R152" s="344"/>
      <c r="S152" s="398"/>
      <c r="T152" s="399"/>
      <c r="U152" s="399"/>
      <c r="V152" s="399"/>
    </row>
    <row r="153" spans="1:22" s="365" customFormat="1">
      <c r="A153" s="336"/>
      <c r="B153" s="529">
        <v>3</v>
      </c>
      <c r="C153" s="530" t="s">
        <v>38</v>
      </c>
      <c r="D153" s="358" t="str">
        <f ca="1">IF(ISERROR(OFFSET('HARGA SATUAN'!$D$6,MATCH(RAB!C153,'HARGA SATUAN'!$C$7:$C$1492,0),0)),"",OFFSET('HARGA SATUAN'!$D$6,MATCH(RAB!C153,'HARGA SATUAN'!$C$7:$C$1492,0),0))</f>
        <v>HDW</v>
      </c>
      <c r="E153" s="359" t="str">
        <f ca="1">IF(B153="+","Unit",IF(ISERROR(OFFSET('HARGA SATUAN'!$E$6,MATCH(RAB!C153,'HARGA SATUAN'!$C$7:$C$1492,0),0)),"",OFFSET('HARGA SATUAN'!$E$6,MATCH(RAB!C153,'HARGA SATUAN'!$C$7:$C$1492,0),0)))</f>
        <v>Mtr</v>
      </c>
      <c r="F153" s="522">
        <f>F150*1</f>
        <v>2</v>
      </c>
      <c r="G153" s="360">
        <f ca="1">IF(ISERROR(OFFSET('HARGA SATUAN'!$I$6,MATCH(RAB!C153,'HARGA SATUAN'!$C$7:$C$1492,0),0)),0,OFFSET('HARGA SATUAN'!$I$6,MATCH(RAB!C153,'HARGA SATUAN'!$C$7:$C$1492,0),0))</f>
        <v>8550</v>
      </c>
      <c r="H153" s="361">
        <f t="shared" ca="1" si="44"/>
        <v>0</v>
      </c>
      <c r="I153" s="361">
        <f t="shared" ca="1" si="45"/>
        <v>17100</v>
      </c>
      <c r="J153" s="361">
        <f t="shared" ca="1" si="46"/>
        <v>0</v>
      </c>
      <c r="K153" s="362">
        <f t="shared" ca="1" si="47"/>
        <v>17100</v>
      </c>
      <c r="L153" s="342"/>
      <c r="M153" s="342"/>
      <c r="N153" s="369"/>
      <c r="O153" s="344"/>
      <c r="P153" s="344"/>
      <c r="Q153" s="398"/>
      <c r="R153" s="344"/>
      <c r="S153" s="398"/>
      <c r="T153" s="399"/>
      <c r="U153" s="399"/>
      <c r="V153" s="399"/>
    </row>
    <row r="154" spans="1:22" s="365" customFormat="1">
      <c r="A154" s="336"/>
      <c r="B154" s="529">
        <v>4</v>
      </c>
      <c r="C154" s="530" t="s">
        <v>743</v>
      </c>
      <c r="D154" s="358" t="str">
        <f ca="1">IF(ISERROR(OFFSET('HARGA SATUAN'!$D$6,MATCH(RAB!C154,'HARGA SATUAN'!$C$7:$C$1492,0),0)),"",OFFSET('HARGA SATUAN'!$D$6,MATCH(RAB!C154,'HARGA SATUAN'!$C$7:$C$1492,0),0))</f>
        <v>JASA</v>
      </c>
      <c r="E154" s="359" t="str">
        <f ca="1">IF(B154="+","Unit",IF(ISERROR(OFFSET('HARGA SATUAN'!$E$6,MATCH(RAB!C154,'HARGA SATUAN'!$C$7:$C$1492,0),0)),"",OFFSET('HARGA SATUAN'!$E$6,MATCH(RAB!C154,'HARGA SATUAN'!$C$7:$C$1492,0),0)))</f>
        <v>Unit</v>
      </c>
      <c r="F154" s="522">
        <f>F150*1</f>
        <v>2</v>
      </c>
      <c r="G154" s="360">
        <f ca="1">IF(ISERROR(OFFSET('HARGA SATUAN'!$I$6,MATCH(RAB!C154,'HARGA SATUAN'!$C$7:$C$1492,0),0)),0,OFFSET('HARGA SATUAN'!$I$6,MATCH(RAB!C154,'HARGA SATUAN'!$C$7:$C$1492,0),0))</f>
        <v>31200</v>
      </c>
      <c r="H154" s="361">
        <f t="shared" ca="1" si="44"/>
        <v>0</v>
      </c>
      <c r="I154" s="361">
        <f t="shared" ca="1" si="45"/>
        <v>0</v>
      </c>
      <c r="J154" s="361">
        <f t="shared" ca="1" si="46"/>
        <v>62400</v>
      </c>
      <c r="K154" s="362">
        <f t="shared" ca="1" si="47"/>
        <v>62400</v>
      </c>
      <c r="L154" s="342"/>
      <c r="M154" s="342"/>
      <c r="N154" s="369"/>
      <c r="O154" s="344"/>
      <c r="P154" s="344"/>
      <c r="Q154" s="398"/>
      <c r="R154" s="344"/>
      <c r="S154" s="398"/>
      <c r="T154" s="399"/>
      <c r="U154" s="399"/>
      <c r="V154" s="399"/>
    </row>
    <row r="155" spans="1:22" s="365" customFormat="1">
      <c r="A155" s="336"/>
      <c r="B155" s="529"/>
      <c r="C155" s="530"/>
      <c r="D155" s="358"/>
      <c r="E155" s="359"/>
      <c r="F155" s="522"/>
      <c r="G155" s="360"/>
      <c r="H155" s="361"/>
      <c r="I155" s="361"/>
      <c r="J155" s="361"/>
      <c r="K155" s="362"/>
      <c r="L155" s="342"/>
      <c r="M155" s="342"/>
      <c r="N155" s="369"/>
      <c r="O155" s="344"/>
      <c r="P155" s="344"/>
      <c r="Q155" s="398"/>
      <c r="R155" s="344"/>
      <c r="S155" s="398"/>
      <c r="T155" s="399"/>
      <c r="U155" s="399"/>
      <c r="V155" s="399"/>
    </row>
    <row r="156" spans="1:22" s="365" customFormat="1">
      <c r="A156" s="336"/>
      <c r="B156" s="507"/>
      <c r="C156" s="508"/>
      <c r="D156" s="358" t="str">
        <f ca="1">IF(ISERROR(OFFSET('HARGA SATUAN'!$D$6,MATCH(RAB!C156,'HARGA SATUAN'!$C$7:$C$1492,0),0)),"",OFFSET('HARGA SATUAN'!$D$6,MATCH(RAB!C156,'HARGA SATUAN'!$C$7:$C$1492,0),0))</f>
        <v/>
      </c>
      <c r="E156" s="359" t="str">
        <f ca="1">IF(B156="+","Unit",IF(ISERROR(OFFSET('HARGA SATUAN'!$E$6,MATCH(RAB!C156,'HARGA SATUAN'!$C$7:$C$1492,0),0)),"",OFFSET('HARGA SATUAN'!$E$6,MATCH(RAB!C156,'HARGA SATUAN'!$C$7:$C$1492,0),0)))</f>
        <v/>
      </c>
      <c r="F156" s="484"/>
      <c r="G156" s="360">
        <f ca="1">IF(ISERROR(OFFSET('HARGA SATUAN'!$I$6,MATCH(RAB!C156,'HARGA SATUAN'!$C$7:$C$1492,0),0)),0,OFFSET('HARGA SATUAN'!$I$6,MATCH(RAB!C156,'HARGA SATUAN'!$C$7:$C$1492,0),0))</f>
        <v>0</v>
      </c>
      <c r="H156" s="361">
        <f t="shared" ca="1" si="44"/>
        <v>0</v>
      </c>
      <c r="I156" s="361">
        <f t="shared" ca="1" si="45"/>
        <v>0</v>
      </c>
      <c r="J156" s="361">
        <f t="shared" ca="1" si="46"/>
        <v>0</v>
      </c>
      <c r="K156" s="362">
        <f t="shared" ca="1" si="47"/>
        <v>0</v>
      </c>
      <c r="L156" s="342"/>
      <c r="M156" s="342"/>
      <c r="N156" s="369"/>
      <c r="O156" s="344"/>
      <c r="P156" s="344"/>
      <c r="Q156" s="398"/>
      <c r="R156" s="344"/>
      <c r="S156" s="398"/>
      <c r="T156" s="399"/>
      <c r="U156" s="399"/>
      <c r="V156" s="399"/>
    </row>
    <row r="157" spans="1:22" s="365" customFormat="1">
      <c r="A157" s="336"/>
      <c r="B157" s="373" t="s">
        <v>1549</v>
      </c>
      <c r="C157" s="374" t="s">
        <v>1619</v>
      </c>
      <c r="D157" s="358" t="str">
        <f ca="1">IF(ISERROR(OFFSET('HARGA SATUAN'!$D$6,MATCH(RAB!C157,'HARGA SATUAN'!$C$7:$C$1492,0),0)),"",OFFSET('HARGA SATUAN'!$D$6,MATCH(RAB!C157,'HARGA SATUAN'!$C$7:$C$1492,0),0))</f>
        <v/>
      </c>
      <c r="E157" s="359" t="str">
        <f ca="1">IF(B157="+","Unit",IF(ISERROR(OFFSET('HARGA SATUAN'!$E$6,MATCH(RAB!C157,'HARGA SATUAN'!$C$7:$C$1492,0),0)),"",OFFSET('HARGA SATUAN'!$E$6,MATCH(RAB!C157,'HARGA SATUAN'!$C$7:$C$1492,0),0)))</f>
        <v/>
      </c>
      <c r="F157" s="484"/>
      <c r="G157" s="360">
        <f ca="1">IF(ISERROR(OFFSET('HARGA SATUAN'!$I$6,MATCH(RAB!C157,'HARGA SATUAN'!$C$7:$C$1492,0),0)),0,OFFSET('HARGA SATUAN'!$I$6,MATCH(RAB!C157,'HARGA SATUAN'!$C$7:$C$1492,0),0))</f>
        <v>0</v>
      </c>
      <c r="H157" s="361">
        <f t="shared" ca="1" si="44"/>
        <v>0</v>
      </c>
      <c r="I157" s="361">
        <f t="shared" ca="1" si="45"/>
        <v>0</v>
      </c>
      <c r="J157" s="361">
        <f t="shared" ca="1" si="46"/>
        <v>0</v>
      </c>
      <c r="K157" s="362">
        <f t="shared" ca="1" si="47"/>
        <v>0</v>
      </c>
      <c r="L157" s="342"/>
      <c r="M157" s="342"/>
      <c r="N157" s="369"/>
      <c r="O157" s="344"/>
      <c r="P157" s="344"/>
      <c r="Q157" s="398"/>
      <c r="R157" s="344"/>
      <c r="S157" s="398"/>
      <c r="T157" s="399"/>
      <c r="U157" s="399"/>
      <c r="V157" s="399"/>
    </row>
    <row r="158" spans="1:22" s="365" customFormat="1">
      <c r="A158" s="336"/>
      <c r="B158" s="373"/>
      <c r="C158" s="374"/>
      <c r="D158" s="358" t="str">
        <f ca="1">IF(ISERROR(OFFSET('HARGA SATUAN'!$D$6,MATCH(RAB!C158,'HARGA SATUAN'!$C$7:$C$1492,0),0)),"",OFFSET('HARGA SATUAN'!$D$6,MATCH(RAB!C158,'HARGA SATUAN'!$C$7:$C$1492,0),0))</f>
        <v/>
      </c>
      <c r="E158" s="359" t="str">
        <f ca="1">IF(B158="+","Unit",IF(ISERROR(OFFSET('HARGA SATUAN'!$E$6,MATCH(RAB!C158,'HARGA SATUAN'!$C$7:$C$1492,0),0)),"",OFFSET('HARGA SATUAN'!$E$6,MATCH(RAB!C158,'HARGA SATUAN'!$C$7:$C$1492,0),0)))</f>
        <v/>
      </c>
      <c r="F158" s="484"/>
      <c r="G158" s="360">
        <f ca="1">IF(ISERROR(OFFSET('HARGA SATUAN'!$I$6,MATCH(RAB!C158,'HARGA SATUAN'!$C$7:$C$1492,0),0)),0,OFFSET('HARGA SATUAN'!$I$6,MATCH(RAB!C158,'HARGA SATUAN'!$C$7:$C$1492,0),0))</f>
        <v>0</v>
      </c>
      <c r="H158" s="361">
        <f t="shared" ca="1" si="44"/>
        <v>0</v>
      </c>
      <c r="I158" s="361">
        <f t="shared" ca="1" si="45"/>
        <v>0</v>
      </c>
      <c r="J158" s="361">
        <f t="shared" ca="1" si="46"/>
        <v>0</v>
      </c>
      <c r="K158" s="362">
        <f t="shared" ca="1" si="47"/>
        <v>0</v>
      </c>
      <c r="L158" s="342"/>
      <c r="M158" s="342"/>
      <c r="N158" s="369"/>
      <c r="O158" s="344"/>
      <c r="P158" s="344"/>
      <c r="Q158" s="398"/>
      <c r="R158" s="344"/>
      <c r="S158" s="398"/>
      <c r="T158" s="399"/>
      <c r="U158" s="399"/>
      <c r="V158" s="399"/>
    </row>
    <row r="159" spans="1:22" s="365" customFormat="1">
      <c r="A159" s="336"/>
      <c r="B159" s="518" t="s">
        <v>1035</v>
      </c>
      <c r="C159" s="526" t="s">
        <v>1653</v>
      </c>
      <c r="D159" s="358" t="str">
        <f ca="1">IF(ISERROR(OFFSET('HARGA SATUAN'!$D$6,MATCH(RAB!C159,'HARGA SATUAN'!$C$7:$C$1492,0),0)),"",OFFSET('HARGA SATUAN'!$D$6,MATCH(RAB!C159,'HARGA SATUAN'!$C$7:$C$1492,0),0))</f>
        <v/>
      </c>
      <c r="E159" s="359" t="str">
        <f ca="1">IF(B159="+","Unit",IF(ISERROR(OFFSET('HARGA SATUAN'!$E$6,MATCH(RAB!C159,'HARGA SATUAN'!$C$7:$C$1492,0),0)),"",OFFSET('HARGA SATUAN'!$E$6,MATCH(RAB!C159,'HARGA SATUAN'!$C$7:$C$1492,0),0)))</f>
        <v>Unit</v>
      </c>
      <c r="F159" s="484">
        <v>1</v>
      </c>
      <c r="G159" s="360">
        <f ca="1">IF(ISERROR(OFFSET('HARGA SATUAN'!$I$6,MATCH(RAB!C159,'HARGA SATUAN'!$C$7:$C$1492,0),0)),0,OFFSET('HARGA SATUAN'!$I$6,MATCH(RAB!C159,'HARGA SATUAN'!$C$7:$C$1492,0),0))</f>
        <v>0</v>
      </c>
      <c r="H159" s="361">
        <f t="shared" ca="1" si="40"/>
        <v>0</v>
      </c>
      <c r="I159" s="361">
        <f t="shared" ca="1" si="41"/>
        <v>0</v>
      </c>
      <c r="J159" s="361">
        <f t="shared" ca="1" si="42"/>
        <v>0</v>
      </c>
      <c r="K159" s="362">
        <f t="shared" ca="1" si="43"/>
        <v>0</v>
      </c>
      <c r="L159" s="342"/>
      <c r="M159" s="342"/>
      <c r="N159" s="369"/>
      <c r="O159" s="344"/>
      <c r="P159" s="344"/>
      <c r="Q159" s="344"/>
      <c r="R159" s="344"/>
      <c r="S159" s="344"/>
      <c r="T159" s="403"/>
      <c r="U159" s="403"/>
      <c r="V159" s="403"/>
    </row>
    <row r="160" spans="1:22" s="365" customFormat="1">
      <c r="A160" s="336"/>
      <c r="B160" s="518">
        <v>1</v>
      </c>
      <c r="C160" s="109" t="s">
        <v>1148</v>
      </c>
      <c r="D160" s="358" t="str">
        <f ca="1">IF(ISERROR(OFFSET('HARGA SATUAN'!$D$6,MATCH(RAB!C160,'HARGA SATUAN'!$C$7:$C$1492,0),0)),"",OFFSET('HARGA SATUAN'!$D$6,MATCH(RAB!C160,'HARGA SATUAN'!$C$7:$C$1492,0),0))</f>
        <v>MDU-KD</v>
      </c>
      <c r="E160" s="359" t="str">
        <f ca="1">IF(B160="+","Unit",IF(ISERROR(OFFSET('HARGA SATUAN'!$E$6,MATCH(RAB!C160,'HARGA SATUAN'!$C$7:$C$1492,0),0)),"",OFFSET('HARGA SATUAN'!$E$6,MATCH(RAB!C160,'HARGA SATUAN'!$C$7:$C$1492,0),0)))</f>
        <v>Bh</v>
      </c>
      <c r="F160" s="484">
        <f>F159*1</f>
        <v>1</v>
      </c>
      <c r="G160" s="360">
        <f ca="1">IF(ISERROR(OFFSET('HARGA SATUAN'!$I$6,MATCH(RAB!C160,'HARGA SATUAN'!$C$7:$C$1492,0),0)),0,OFFSET('HARGA SATUAN'!$I$6,MATCH(RAB!C160,'HARGA SATUAN'!$C$7:$C$1492,0),0))</f>
        <v>77674900</v>
      </c>
      <c r="H160" s="361">
        <f t="shared" ref="H160:H217" ca="1" si="48">IF(OR(D160="MDU",D160="MDU-KD"),(IF($O$3="RAB NON MDU","PLN KD",G160*F160)),0)</f>
        <v>77674900</v>
      </c>
      <c r="I160" s="361">
        <f t="shared" ref="I160:I217" ca="1" si="49">IF(D160="HDW",G160*F160,0)</f>
        <v>0</v>
      </c>
      <c r="J160" s="361">
        <f t="shared" ref="J160:J217" ca="1" si="50">IF(D160="JASA",G160*F160,0)</f>
        <v>0</v>
      </c>
      <c r="K160" s="362">
        <f t="shared" ref="K160:K217" ca="1" si="51">SUM(H160:J160)</f>
        <v>77674900</v>
      </c>
      <c r="L160" s="342"/>
      <c r="M160" s="342"/>
      <c r="N160" s="369"/>
      <c r="O160" s="344"/>
      <c r="P160" s="344"/>
      <c r="Q160" s="344"/>
      <c r="R160" s="344"/>
      <c r="S160" s="344"/>
      <c r="T160" s="399"/>
      <c r="U160" s="399"/>
      <c r="V160" s="399"/>
    </row>
    <row r="161" spans="1:22" s="365" customFormat="1">
      <c r="A161" s="336"/>
      <c r="B161" s="511">
        <v>2</v>
      </c>
      <c r="C161" s="512" t="s">
        <v>1626</v>
      </c>
      <c r="D161" s="358" t="str">
        <f ca="1">IF(ISERROR(OFFSET('HARGA SATUAN'!$D$6,MATCH(RAB!C161,'HARGA SATUAN'!$C$7:$C$1492,0),0)),"",OFFSET('HARGA SATUAN'!$D$6,MATCH(RAB!C161,'HARGA SATUAN'!$C$7:$C$1492,0),0))</f>
        <v/>
      </c>
      <c r="E161" s="359" t="str">
        <f ca="1">IF(B161="+","Unit",IF(ISERROR(OFFSET('HARGA SATUAN'!$E$6,MATCH(RAB!C161,'HARGA SATUAN'!$C$7:$C$1492,0),0)),"",OFFSET('HARGA SATUAN'!$E$6,MATCH(RAB!C161,'HARGA SATUAN'!$C$7:$C$1492,0),0)))</f>
        <v/>
      </c>
      <c r="F161" s="513"/>
      <c r="G161" s="360">
        <f ca="1">IF(ISERROR(OFFSET('HARGA SATUAN'!$I$6,MATCH(RAB!C161,'HARGA SATUAN'!$C$7:$C$1492,0),0)),0,OFFSET('HARGA SATUAN'!$I$6,MATCH(RAB!C161,'HARGA SATUAN'!$C$7:$C$1492,0),0))</f>
        <v>0</v>
      </c>
      <c r="H161" s="361">
        <f t="shared" ca="1" si="48"/>
        <v>0</v>
      </c>
      <c r="I161" s="361">
        <f t="shared" ca="1" si="49"/>
        <v>0</v>
      </c>
      <c r="J161" s="361">
        <f t="shared" ca="1" si="50"/>
        <v>0</v>
      </c>
      <c r="K161" s="362">
        <f t="shared" ca="1" si="51"/>
        <v>0</v>
      </c>
      <c r="L161" s="342"/>
      <c r="M161" s="342"/>
      <c r="N161" s="369"/>
      <c r="O161" s="344"/>
      <c r="P161" s="344"/>
      <c r="Q161" s="344"/>
      <c r="R161" s="344"/>
      <c r="S161" s="344"/>
      <c r="T161" s="399"/>
      <c r="U161" s="399"/>
      <c r="V161" s="399"/>
    </row>
    <row r="162" spans="1:22" s="365" customFormat="1">
      <c r="A162" s="336"/>
      <c r="B162" s="518"/>
      <c r="C162" s="512" t="s">
        <v>65</v>
      </c>
      <c r="D162" s="358" t="str">
        <f ca="1">IF(ISERROR(OFFSET('HARGA SATUAN'!$D$6,MATCH(RAB!C162,'HARGA SATUAN'!$C$7:$C$1492,0),0)),"",OFFSET('HARGA SATUAN'!$D$6,MATCH(RAB!C162,'HARGA SATUAN'!$C$7:$C$1492,0),0))</f>
        <v>MDU-KD</v>
      </c>
      <c r="E162" s="359" t="str">
        <f ca="1">IF(B162="+","Unit",IF(ISERROR(OFFSET('HARGA SATUAN'!$E$6,MATCH(RAB!C162,'HARGA SATUAN'!$C$7:$C$1492,0),0)),"",OFFSET('HARGA SATUAN'!$E$6,MATCH(RAB!C162,'HARGA SATUAN'!$C$7:$C$1492,0),0)))</f>
        <v>Mtr</v>
      </c>
      <c r="F162" s="484">
        <f>F159*(3*3)</f>
        <v>9</v>
      </c>
      <c r="G162" s="360">
        <f ca="1">IF(ISERROR(OFFSET('HARGA SATUAN'!$I$6,MATCH(RAB!C162,'HARGA SATUAN'!$C$7:$C$1492,0),0)),0,OFFSET('HARGA SATUAN'!$I$6,MATCH(RAB!C162,'HARGA SATUAN'!$C$7:$C$1492,0),0))</f>
        <v>14200</v>
      </c>
      <c r="H162" s="361">
        <f t="shared" ca="1" si="48"/>
        <v>127800</v>
      </c>
      <c r="I162" s="361">
        <f t="shared" ca="1" si="49"/>
        <v>0</v>
      </c>
      <c r="J162" s="361">
        <f t="shared" ca="1" si="50"/>
        <v>0</v>
      </c>
      <c r="K162" s="362">
        <f t="shared" ca="1" si="51"/>
        <v>127800</v>
      </c>
      <c r="L162" s="342"/>
      <c r="M162" s="342"/>
      <c r="N162" s="369"/>
      <c r="O162" s="344"/>
      <c r="P162" s="344"/>
      <c r="Q162" s="344"/>
      <c r="R162" s="344"/>
      <c r="S162" s="344"/>
      <c r="T162" s="403"/>
      <c r="U162" s="403"/>
      <c r="V162" s="403"/>
    </row>
    <row r="163" spans="1:22" s="365" customFormat="1">
      <c r="A163" s="336"/>
      <c r="B163" s="518"/>
      <c r="C163" s="109" t="s">
        <v>1654</v>
      </c>
      <c r="D163" s="358" t="str">
        <f ca="1">IF(ISERROR(OFFSET('HARGA SATUAN'!$D$6,MATCH(RAB!C163,'HARGA SATUAN'!$C$7:$C$1492,0),0)),"",OFFSET('HARGA SATUAN'!$D$6,MATCH(RAB!C163,'HARGA SATUAN'!$C$7:$C$1492,0),0))</f>
        <v/>
      </c>
      <c r="E163" s="359" t="str">
        <f ca="1">IF(B163="+","Unit",IF(ISERROR(OFFSET('HARGA SATUAN'!$E$6,MATCH(RAB!C163,'HARGA SATUAN'!$C$7:$C$1492,0),0)),"",OFFSET('HARGA SATUAN'!$E$6,MATCH(RAB!C163,'HARGA SATUAN'!$C$7:$C$1492,0),0)))</f>
        <v/>
      </c>
      <c r="F163" s="484">
        <f>F159*3</f>
        <v>3</v>
      </c>
      <c r="G163" s="360">
        <f ca="1">IF(ISERROR(OFFSET('HARGA SATUAN'!$I$6,MATCH(RAB!C163,'HARGA SATUAN'!$C$7:$C$1492,0),0)),0,OFFSET('HARGA SATUAN'!$I$6,MATCH(RAB!C163,'HARGA SATUAN'!$C$7:$C$1492,0),0))</f>
        <v>0</v>
      </c>
      <c r="H163" s="361">
        <f t="shared" ca="1" si="48"/>
        <v>0</v>
      </c>
      <c r="I163" s="361">
        <f t="shared" ca="1" si="49"/>
        <v>0</v>
      </c>
      <c r="J163" s="361">
        <f t="shared" ca="1" si="50"/>
        <v>0</v>
      </c>
      <c r="K163" s="362">
        <f t="shared" ca="1" si="51"/>
        <v>0</v>
      </c>
      <c r="L163" s="406" t="e">
        <f ca="1">PROPER([94]!terbilang(K223))</f>
        <v>#NAME?</v>
      </c>
      <c r="M163" s="406"/>
      <c r="N163" s="369"/>
      <c r="O163" s="344"/>
      <c r="P163" s="344"/>
      <c r="Q163" s="344"/>
    </row>
    <row r="164" spans="1:22">
      <c r="B164" s="518">
        <v>3</v>
      </c>
      <c r="C164" s="109" t="s">
        <v>559</v>
      </c>
      <c r="D164" s="358" t="str">
        <f ca="1">IF(ISERROR(OFFSET('HARGA SATUAN'!$D$6,MATCH(RAB!C164,'HARGA SATUAN'!$C$7:$C$1492,0),0)),"",OFFSET('HARGA SATUAN'!$D$6,MATCH(RAB!C164,'HARGA SATUAN'!$C$7:$C$1492,0),0))</f>
        <v>MDU-KD</v>
      </c>
      <c r="E164" s="359" t="str">
        <f ca="1">IF(B164="+","Unit",IF(ISERROR(OFFSET('HARGA SATUAN'!$E$6,MATCH(RAB!C164,'HARGA SATUAN'!$C$7:$C$1492,0),0)),"",OFFSET('HARGA SATUAN'!$E$6,MATCH(RAB!C164,'HARGA SATUAN'!$C$7:$C$1492,0),0)))</f>
        <v>Bh</v>
      </c>
      <c r="F164" s="484">
        <f>F159*3</f>
        <v>3</v>
      </c>
      <c r="G164" s="360">
        <f ca="1">IF(ISERROR(OFFSET('HARGA SATUAN'!$I$6,MATCH(RAB!C164,'HARGA SATUAN'!$C$7:$C$1492,0),0)),0,OFFSET('HARGA SATUAN'!$I$6,MATCH(RAB!C164,'HARGA SATUAN'!$C$7:$C$1492,0),0))</f>
        <v>725900</v>
      </c>
      <c r="H164" s="361">
        <f t="shared" ca="1" si="48"/>
        <v>2177700</v>
      </c>
      <c r="I164" s="361">
        <f t="shared" ca="1" si="49"/>
        <v>0</v>
      </c>
      <c r="J164" s="361">
        <f t="shared" ca="1" si="50"/>
        <v>0</v>
      </c>
      <c r="K164" s="362">
        <f t="shared" ca="1" si="51"/>
        <v>2177700</v>
      </c>
    </row>
    <row r="165" spans="1:22">
      <c r="B165" s="518">
        <v>4</v>
      </c>
      <c r="C165" s="519" t="s">
        <v>535</v>
      </c>
      <c r="D165" s="358" t="str">
        <f ca="1">IF(ISERROR(OFFSET('HARGA SATUAN'!$D$6,MATCH(RAB!C165,'HARGA SATUAN'!$C$7:$C$1492,0),0)),"",OFFSET('HARGA SATUAN'!$D$6,MATCH(RAB!C165,'HARGA SATUAN'!$C$7:$C$1492,0),0))</f>
        <v>MDU-KD</v>
      </c>
      <c r="E165" s="359" t="str">
        <f ca="1">IF(B165="+","Unit",IF(ISERROR(OFFSET('HARGA SATUAN'!$E$6,MATCH(RAB!C165,'HARGA SATUAN'!$C$7:$C$1492,0),0)),"",OFFSET('HARGA SATUAN'!$E$6,MATCH(RAB!C165,'HARGA SATUAN'!$C$7:$C$1492,0),0)))</f>
        <v>Bh</v>
      </c>
      <c r="F165" s="484">
        <f>F159*3</f>
        <v>3</v>
      </c>
      <c r="G165" s="360">
        <f ca="1">IF(ISERROR(OFFSET('HARGA SATUAN'!$I$6,MATCH(RAB!C165,'HARGA SATUAN'!$C$7:$C$1492,0),0)),0,OFFSET('HARGA SATUAN'!$I$6,MATCH(RAB!C165,'HARGA SATUAN'!$C$7:$C$1492,0),0))</f>
        <v>848250</v>
      </c>
      <c r="H165" s="361">
        <f t="shared" ca="1" si="48"/>
        <v>2544750</v>
      </c>
      <c r="I165" s="361">
        <f t="shared" ca="1" si="49"/>
        <v>0</v>
      </c>
      <c r="J165" s="361">
        <f t="shared" ca="1" si="50"/>
        <v>0</v>
      </c>
      <c r="K165" s="362">
        <f t="shared" ca="1" si="51"/>
        <v>2544750</v>
      </c>
    </row>
    <row r="166" spans="1:22">
      <c r="B166" s="518">
        <v>5</v>
      </c>
      <c r="C166" s="519" t="s">
        <v>55</v>
      </c>
      <c r="D166" s="358" t="str">
        <f ca="1">IF(ISERROR(OFFSET('HARGA SATUAN'!$D$6,MATCH(RAB!C166,'HARGA SATUAN'!$C$7:$C$1492,0),0)),"",OFFSET('HARGA SATUAN'!$D$6,MATCH(RAB!C166,'HARGA SATUAN'!$C$7:$C$1492,0),0))</f>
        <v>HDW</v>
      </c>
      <c r="E166" s="359" t="str">
        <f ca="1">IF(B166="+","Unit",IF(ISERROR(OFFSET('HARGA SATUAN'!$E$6,MATCH(RAB!C166,'HARGA SATUAN'!$C$7:$C$1492,0),0)),"",OFFSET('HARGA SATUAN'!$E$6,MATCH(RAB!C166,'HARGA SATUAN'!$C$7:$C$1492,0),0)))</f>
        <v>Bh</v>
      </c>
      <c r="F166" s="484">
        <f>F159*3</f>
        <v>3</v>
      </c>
      <c r="G166" s="360">
        <f ca="1">IF(ISERROR(OFFSET('HARGA SATUAN'!$I$6,MATCH(RAB!C166,'HARGA SATUAN'!$C$7:$C$1492,0),0)),0,OFFSET('HARGA SATUAN'!$I$6,MATCH(RAB!C166,'HARGA SATUAN'!$C$7:$C$1492,0),0))</f>
        <v>18000</v>
      </c>
      <c r="H166" s="361">
        <f t="shared" ca="1" si="48"/>
        <v>0</v>
      </c>
      <c r="I166" s="361">
        <f t="shared" ca="1" si="49"/>
        <v>54000</v>
      </c>
      <c r="J166" s="361">
        <f t="shared" ca="1" si="50"/>
        <v>0</v>
      </c>
      <c r="K166" s="362">
        <f t="shared" ca="1" si="51"/>
        <v>54000</v>
      </c>
    </row>
    <row r="167" spans="1:22">
      <c r="B167" s="518">
        <v>6</v>
      </c>
      <c r="C167" s="109" t="s">
        <v>1655</v>
      </c>
      <c r="D167" s="358" t="str">
        <f ca="1">IF(ISERROR(OFFSET('HARGA SATUAN'!$D$6,MATCH(RAB!C167,'HARGA SATUAN'!$C$7:$C$1492,0),0)),"",OFFSET('HARGA SATUAN'!$D$6,MATCH(RAB!C167,'HARGA SATUAN'!$C$7:$C$1492,0),0))</f>
        <v/>
      </c>
      <c r="E167" s="359" t="str">
        <f ca="1">IF(B167="+","Unit",IF(ISERROR(OFFSET('HARGA SATUAN'!$E$6,MATCH(RAB!C167,'HARGA SATUAN'!$C$7:$C$1492,0),0)),"",OFFSET('HARGA SATUAN'!$E$6,MATCH(RAB!C167,'HARGA SATUAN'!$C$7:$C$1492,0),0)))</f>
        <v/>
      </c>
      <c r="F167" s="484">
        <f>F159*13</f>
        <v>13</v>
      </c>
      <c r="G167" s="360">
        <f ca="1">IF(ISERROR(OFFSET('HARGA SATUAN'!$I$6,MATCH(RAB!C167,'HARGA SATUAN'!$C$7:$C$1492,0),0)),0,OFFSET('HARGA SATUAN'!$I$6,MATCH(RAB!C167,'HARGA SATUAN'!$C$7:$C$1492,0),0))</f>
        <v>0</v>
      </c>
      <c r="H167" s="361">
        <f t="shared" ca="1" si="48"/>
        <v>0</v>
      </c>
      <c r="I167" s="361">
        <f t="shared" ca="1" si="49"/>
        <v>0</v>
      </c>
      <c r="J167" s="361">
        <f t="shared" ca="1" si="50"/>
        <v>0</v>
      </c>
      <c r="K167" s="362">
        <f t="shared" ca="1" si="51"/>
        <v>0</v>
      </c>
    </row>
    <row r="168" spans="1:22">
      <c r="B168" s="518">
        <v>7</v>
      </c>
      <c r="C168" s="519" t="s">
        <v>163</v>
      </c>
      <c r="D168" s="358" t="str">
        <f ca="1">IF(ISERROR(OFFSET('HARGA SATUAN'!$D$6,MATCH(RAB!C168,'HARGA SATUAN'!$C$7:$C$1492,0),0)),"",OFFSET('HARGA SATUAN'!$D$6,MATCH(RAB!C168,'HARGA SATUAN'!$C$7:$C$1492,0),0))</f>
        <v>HDW</v>
      </c>
      <c r="E168" s="359" t="str">
        <f ca="1">IF(B168="+","Unit",IF(ISERROR(OFFSET('HARGA SATUAN'!$E$6,MATCH(RAB!C168,'HARGA SATUAN'!$C$7:$C$1492,0),0)),"",OFFSET('HARGA SATUAN'!$E$6,MATCH(RAB!C168,'HARGA SATUAN'!$C$7:$C$1492,0),0)))</f>
        <v>Bh</v>
      </c>
      <c r="F168" s="484">
        <f>F159*28</f>
        <v>28</v>
      </c>
      <c r="G168" s="360">
        <f ca="1">IF(ISERROR(OFFSET('HARGA SATUAN'!$I$6,MATCH(RAB!C168,'HARGA SATUAN'!$C$7:$C$1492,0),0)),0,OFFSET('HARGA SATUAN'!$I$6,MATCH(RAB!C168,'HARGA SATUAN'!$C$7:$C$1492,0),0))</f>
        <v>7938</v>
      </c>
      <c r="H168" s="361">
        <f t="shared" ca="1" si="48"/>
        <v>0</v>
      </c>
      <c r="I168" s="361">
        <f t="shared" ca="1" si="49"/>
        <v>222264</v>
      </c>
      <c r="J168" s="361">
        <f t="shared" ca="1" si="50"/>
        <v>0</v>
      </c>
      <c r="K168" s="362">
        <f t="shared" ca="1" si="51"/>
        <v>222264</v>
      </c>
    </row>
    <row r="169" spans="1:22">
      <c r="B169" s="518">
        <v>8</v>
      </c>
      <c r="C169" s="519" t="s">
        <v>176</v>
      </c>
      <c r="D169" s="358" t="str">
        <f ca="1">IF(ISERROR(OFFSET('HARGA SATUAN'!$D$6,MATCH(RAB!C169,'HARGA SATUAN'!$C$7:$C$1492,0),0)),"",OFFSET('HARGA SATUAN'!$D$6,MATCH(RAB!C169,'HARGA SATUAN'!$C$7:$C$1492,0),0))</f>
        <v>HDW</v>
      </c>
      <c r="E169" s="359" t="str">
        <f ca="1">IF(B169="+","Unit",IF(ISERROR(OFFSET('HARGA SATUAN'!$E$6,MATCH(RAB!C169,'HARGA SATUAN'!$C$7:$C$1492,0),0)),"",OFFSET('HARGA SATUAN'!$E$6,MATCH(RAB!C169,'HARGA SATUAN'!$C$7:$C$1492,0),0)))</f>
        <v>Bh</v>
      </c>
      <c r="F169" s="484">
        <f>F159*2</f>
        <v>2</v>
      </c>
      <c r="G169" s="360">
        <f ca="1">IF(ISERROR(OFFSET('HARGA SATUAN'!$I$6,MATCH(RAB!C169,'HARGA SATUAN'!$C$7:$C$1492,0),0)),0,OFFSET('HARGA SATUAN'!$I$6,MATCH(RAB!C169,'HARGA SATUAN'!$C$7:$C$1492,0),0))</f>
        <v>404600</v>
      </c>
      <c r="H169" s="361">
        <f t="shared" ca="1" si="48"/>
        <v>0</v>
      </c>
      <c r="I169" s="361">
        <f t="shared" ca="1" si="49"/>
        <v>809200</v>
      </c>
      <c r="J169" s="361">
        <f t="shared" ca="1" si="50"/>
        <v>0</v>
      </c>
      <c r="K169" s="362">
        <f t="shared" ca="1" si="51"/>
        <v>809200</v>
      </c>
    </row>
    <row r="170" spans="1:22">
      <c r="B170" s="518">
        <v>9</v>
      </c>
      <c r="C170" s="519" t="s">
        <v>184</v>
      </c>
      <c r="D170" s="358" t="str">
        <f ca="1">IF(ISERROR(OFFSET('HARGA SATUAN'!$D$6,MATCH(RAB!C170,'HARGA SATUAN'!$C$7:$C$1492,0),0)),"",OFFSET('HARGA SATUAN'!$D$6,MATCH(RAB!C170,'HARGA SATUAN'!$C$7:$C$1492,0),0))</f>
        <v>HDW</v>
      </c>
      <c r="E170" s="359" t="str">
        <f ca="1">IF(B170="+","Unit",IF(ISERROR(OFFSET('HARGA SATUAN'!$E$6,MATCH(RAB!C170,'HARGA SATUAN'!$C$7:$C$1492,0),0)),"",OFFSET('HARGA SATUAN'!$E$6,MATCH(RAB!C170,'HARGA SATUAN'!$C$7:$C$1492,0),0)))</f>
        <v>Bh</v>
      </c>
      <c r="F170" s="484">
        <f>F159*3</f>
        <v>3</v>
      </c>
      <c r="G170" s="360">
        <f ca="1">IF(ISERROR(OFFSET('HARGA SATUAN'!$I$6,MATCH(RAB!C170,'HARGA SATUAN'!$C$7:$C$1492,0),0)),0,OFFSET('HARGA SATUAN'!$I$6,MATCH(RAB!C170,'HARGA SATUAN'!$C$7:$C$1492,0),0))</f>
        <v>15900</v>
      </c>
      <c r="H170" s="361">
        <f t="shared" ca="1" si="48"/>
        <v>0</v>
      </c>
      <c r="I170" s="361">
        <f t="shared" ca="1" si="49"/>
        <v>47700</v>
      </c>
      <c r="J170" s="361">
        <f t="shared" ca="1" si="50"/>
        <v>0</v>
      </c>
      <c r="K170" s="362">
        <f t="shared" ca="1" si="51"/>
        <v>47700</v>
      </c>
    </row>
    <row r="171" spans="1:22">
      <c r="B171" s="518">
        <v>10</v>
      </c>
      <c r="C171" s="519" t="s">
        <v>593</v>
      </c>
      <c r="D171" s="358" t="str">
        <f ca="1">IF(ISERROR(OFFSET('HARGA SATUAN'!$D$6,MATCH(RAB!C171,'HARGA SATUAN'!$C$7:$C$1492,0),0)),"",OFFSET('HARGA SATUAN'!$D$6,MATCH(RAB!C171,'HARGA SATUAN'!$C$7:$C$1492,0),0))</f>
        <v>HDW</v>
      </c>
      <c r="E171" s="359" t="str">
        <f ca="1">IF(B171="+","Unit",IF(ISERROR(OFFSET('HARGA SATUAN'!$E$6,MATCH(RAB!C171,'HARGA SATUAN'!$C$7:$C$1492,0),0)),"",OFFSET('HARGA SATUAN'!$E$6,MATCH(RAB!C171,'HARGA SATUAN'!$C$7:$C$1492,0),0)))</f>
        <v>Bh</v>
      </c>
      <c r="F171" s="484">
        <f>F159*5</f>
        <v>5</v>
      </c>
      <c r="G171" s="360">
        <f ca="1">IF(ISERROR(OFFSET('HARGA SATUAN'!$I$6,MATCH(RAB!C171,'HARGA SATUAN'!$C$7:$C$1492,0),0)),0,OFFSET('HARGA SATUAN'!$I$6,MATCH(RAB!C171,'HARGA SATUAN'!$C$7:$C$1492,0),0))</f>
        <v>380500</v>
      </c>
      <c r="H171" s="361">
        <f t="shared" ca="1" si="48"/>
        <v>0</v>
      </c>
      <c r="I171" s="361">
        <f t="shared" ca="1" si="49"/>
        <v>1902500</v>
      </c>
      <c r="J171" s="361">
        <f t="shared" ca="1" si="50"/>
        <v>0</v>
      </c>
      <c r="K171" s="362">
        <f t="shared" ca="1" si="51"/>
        <v>1902500</v>
      </c>
    </row>
    <row r="172" spans="1:22">
      <c r="B172" s="518">
        <v>11</v>
      </c>
      <c r="C172" s="519" t="s">
        <v>594</v>
      </c>
      <c r="D172" s="358" t="str">
        <f ca="1">IF(ISERROR(OFFSET('HARGA SATUAN'!$D$6,MATCH(RAB!C172,'HARGA SATUAN'!$C$7:$C$1492,0),0)),"",OFFSET('HARGA SATUAN'!$D$6,MATCH(RAB!C172,'HARGA SATUAN'!$C$7:$C$1492,0),0))</f>
        <v>HDW</v>
      </c>
      <c r="E172" s="359" t="str">
        <f ca="1">IF(B172="+","Unit",IF(ISERROR(OFFSET('HARGA SATUAN'!$E$6,MATCH(RAB!C172,'HARGA SATUAN'!$C$7:$C$1492,0),0)),"",OFFSET('HARGA SATUAN'!$E$6,MATCH(RAB!C172,'HARGA SATUAN'!$C$7:$C$1492,0),0)))</f>
        <v>Bh</v>
      </c>
      <c r="F172" s="484">
        <f>F159*4</f>
        <v>4</v>
      </c>
      <c r="G172" s="360">
        <f ca="1">IF(ISERROR(OFFSET('HARGA SATUAN'!$I$6,MATCH(RAB!C172,'HARGA SATUAN'!$C$7:$C$1492,0),0)),0,OFFSET('HARGA SATUAN'!$I$6,MATCH(RAB!C172,'HARGA SATUAN'!$C$7:$C$1492,0),0))</f>
        <v>559200</v>
      </c>
      <c r="H172" s="361">
        <f t="shared" ca="1" si="48"/>
        <v>0</v>
      </c>
      <c r="I172" s="361">
        <f t="shared" ca="1" si="49"/>
        <v>2236800</v>
      </c>
      <c r="J172" s="361">
        <f t="shared" ca="1" si="50"/>
        <v>0</v>
      </c>
      <c r="K172" s="362">
        <f t="shared" ca="1" si="51"/>
        <v>2236800</v>
      </c>
    </row>
    <row r="173" spans="1:22">
      <c r="B173" s="518">
        <v>12</v>
      </c>
      <c r="C173" s="519" t="s">
        <v>208</v>
      </c>
      <c r="D173" s="358" t="str">
        <f ca="1">IF(ISERROR(OFFSET('HARGA SATUAN'!$D$6,MATCH(RAB!C173,'HARGA SATUAN'!$C$7:$C$1492,0),0)),"",OFFSET('HARGA SATUAN'!$D$6,MATCH(RAB!C173,'HARGA SATUAN'!$C$7:$C$1492,0),0))</f>
        <v>HDW</v>
      </c>
      <c r="E173" s="359" t="str">
        <f ca="1">IF(B173="+","Unit",IF(ISERROR(OFFSET('HARGA SATUAN'!$E$6,MATCH(RAB!C173,'HARGA SATUAN'!$C$7:$C$1492,0),0)),"",OFFSET('HARGA SATUAN'!$E$6,MATCH(RAB!C173,'HARGA SATUAN'!$C$7:$C$1492,0),0)))</f>
        <v>Bh</v>
      </c>
      <c r="F173" s="484">
        <f>F159*3</f>
        <v>3</v>
      </c>
      <c r="G173" s="360">
        <f ca="1">IF(ISERROR(OFFSET('HARGA SATUAN'!$I$6,MATCH(RAB!C173,'HARGA SATUAN'!$C$7:$C$1492,0),0)),0,OFFSET('HARGA SATUAN'!$I$6,MATCH(RAB!C173,'HARGA SATUAN'!$C$7:$C$1492,0),0))</f>
        <v>173400</v>
      </c>
      <c r="H173" s="361">
        <f t="shared" ca="1" si="48"/>
        <v>0</v>
      </c>
      <c r="I173" s="361">
        <f t="shared" ca="1" si="49"/>
        <v>520200</v>
      </c>
      <c r="J173" s="361">
        <f t="shared" ca="1" si="50"/>
        <v>0</v>
      </c>
      <c r="K173" s="362">
        <f t="shared" ca="1" si="51"/>
        <v>520200</v>
      </c>
    </row>
    <row r="174" spans="1:22">
      <c r="B174" s="518">
        <v>13</v>
      </c>
      <c r="C174" s="519" t="s">
        <v>247</v>
      </c>
      <c r="D174" s="358" t="str">
        <f ca="1">IF(ISERROR(OFFSET('HARGA SATUAN'!$D$6,MATCH(RAB!C174,'HARGA SATUAN'!$C$7:$C$1492,0),0)),"",OFFSET('HARGA SATUAN'!$D$6,MATCH(RAB!C174,'HARGA SATUAN'!$C$7:$C$1492,0),0))</f>
        <v>HDW</v>
      </c>
      <c r="E174" s="359" t="str">
        <f ca="1">IF(B174="+","Unit",IF(ISERROR(OFFSET('HARGA SATUAN'!$E$6,MATCH(RAB!C174,'HARGA SATUAN'!$C$7:$C$1492,0),0)),"",OFFSET('HARGA SATUAN'!$E$6,MATCH(RAB!C174,'HARGA SATUAN'!$C$7:$C$1492,0),0)))</f>
        <v>Bh</v>
      </c>
      <c r="F174" s="484">
        <f>F159*2</f>
        <v>2</v>
      </c>
      <c r="G174" s="360">
        <f ca="1">IF(ISERROR(OFFSET('HARGA SATUAN'!$I$6,MATCH(RAB!C174,'HARGA SATUAN'!$C$7:$C$1492,0),0)),0,OFFSET('HARGA SATUAN'!$I$6,MATCH(RAB!C174,'HARGA SATUAN'!$C$7:$C$1492,0),0))</f>
        <v>57690</v>
      </c>
      <c r="H174" s="361">
        <f t="shared" ca="1" si="48"/>
        <v>0</v>
      </c>
      <c r="I174" s="361">
        <f t="shared" ca="1" si="49"/>
        <v>115380</v>
      </c>
      <c r="J174" s="361">
        <f t="shared" ca="1" si="50"/>
        <v>0</v>
      </c>
      <c r="K174" s="362">
        <f t="shared" ca="1" si="51"/>
        <v>115380</v>
      </c>
    </row>
    <row r="175" spans="1:22">
      <c r="B175" s="518">
        <v>14</v>
      </c>
      <c r="C175" s="519" t="s">
        <v>248</v>
      </c>
      <c r="D175" s="358" t="str">
        <f ca="1">IF(ISERROR(OFFSET('HARGA SATUAN'!$D$6,MATCH(RAB!C175,'HARGA SATUAN'!$C$7:$C$1492,0),0)),"",OFFSET('HARGA SATUAN'!$D$6,MATCH(RAB!C175,'HARGA SATUAN'!$C$7:$C$1492,0),0))</f>
        <v>HDW</v>
      </c>
      <c r="E175" s="359" t="str">
        <f ca="1">IF(B175="+","Unit",IF(ISERROR(OFFSET('HARGA SATUAN'!$E$6,MATCH(RAB!C175,'HARGA SATUAN'!$C$7:$C$1492,0),0)),"",OFFSET('HARGA SATUAN'!$E$6,MATCH(RAB!C175,'HARGA SATUAN'!$C$7:$C$1492,0),0)))</f>
        <v>Bh</v>
      </c>
      <c r="F175" s="484">
        <f>F159*2</f>
        <v>2</v>
      </c>
      <c r="G175" s="360">
        <f ca="1">IF(ISERROR(OFFSET('HARGA SATUAN'!$I$6,MATCH(RAB!C175,'HARGA SATUAN'!$C$7:$C$1492,0),0)),0,OFFSET('HARGA SATUAN'!$I$6,MATCH(RAB!C175,'HARGA SATUAN'!$C$7:$C$1492,0),0))</f>
        <v>60300</v>
      </c>
      <c r="H175" s="361">
        <f t="shared" ca="1" si="48"/>
        <v>0</v>
      </c>
      <c r="I175" s="361">
        <f t="shared" ca="1" si="49"/>
        <v>120600</v>
      </c>
      <c r="J175" s="361">
        <f t="shared" ca="1" si="50"/>
        <v>0</v>
      </c>
      <c r="K175" s="362">
        <f t="shared" ca="1" si="51"/>
        <v>120600</v>
      </c>
    </row>
    <row r="176" spans="1:22">
      <c r="B176" s="518">
        <v>15</v>
      </c>
      <c r="C176" s="519" t="s">
        <v>267</v>
      </c>
      <c r="D176" s="358" t="str">
        <f ca="1">IF(ISERROR(OFFSET('HARGA SATUAN'!$D$6,MATCH(RAB!C176,'HARGA SATUAN'!$C$7:$C$1492,0),0)),"",OFFSET('HARGA SATUAN'!$D$6,MATCH(RAB!C176,'HARGA SATUAN'!$C$7:$C$1492,0),0))</f>
        <v>HDW</v>
      </c>
      <c r="E176" s="359" t="str">
        <f ca="1">IF(B176="+","Unit",IF(ISERROR(OFFSET('HARGA SATUAN'!$E$6,MATCH(RAB!C176,'HARGA SATUAN'!$C$7:$C$1492,0),0)),"",OFFSET('HARGA SATUAN'!$E$6,MATCH(RAB!C176,'HARGA SATUAN'!$C$7:$C$1492,0),0)))</f>
        <v>Bh</v>
      </c>
      <c r="F176" s="484">
        <f>F159*4</f>
        <v>4</v>
      </c>
      <c r="G176" s="360">
        <f ca="1">IF(ISERROR(OFFSET('HARGA SATUAN'!$I$6,MATCH(RAB!C176,'HARGA SATUAN'!$C$7:$C$1492,0),0)),0,OFFSET('HARGA SATUAN'!$I$6,MATCH(RAB!C176,'HARGA SATUAN'!$C$7:$C$1492,0),0))</f>
        <v>129000</v>
      </c>
      <c r="H176" s="361">
        <f t="shared" ca="1" si="48"/>
        <v>0</v>
      </c>
      <c r="I176" s="361">
        <f t="shared" ca="1" si="49"/>
        <v>516000</v>
      </c>
      <c r="J176" s="361">
        <f t="shared" ca="1" si="50"/>
        <v>0</v>
      </c>
      <c r="K176" s="362">
        <f t="shared" ca="1" si="51"/>
        <v>516000</v>
      </c>
    </row>
    <row r="177" spans="2:11">
      <c r="B177" s="518">
        <v>16</v>
      </c>
      <c r="C177" s="519" t="s">
        <v>787</v>
      </c>
      <c r="D177" s="358" t="str">
        <f ca="1">IF(ISERROR(OFFSET('HARGA SATUAN'!$D$6,MATCH(RAB!C177,'HARGA SATUAN'!$C$7:$C$1492,0),0)),"",OFFSET('HARGA SATUAN'!$D$6,MATCH(RAB!C177,'HARGA SATUAN'!$C$7:$C$1492,0),0))</f>
        <v>JASA</v>
      </c>
      <c r="E177" s="359" t="str">
        <f ca="1">IF(B177="+","Unit",IF(ISERROR(OFFSET('HARGA SATUAN'!$E$6,MATCH(RAB!C177,'HARGA SATUAN'!$C$7:$C$1492,0),0)),"",OFFSET('HARGA SATUAN'!$E$6,MATCH(RAB!C177,'HARGA SATUAN'!$C$7:$C$1492,0),0)))</f>
        <v>Unit</v>
      </c>
      <c r="F177" s="484">
        <f>F159*1</f>
        <v>1</v>
      </c>
      <c r="G177" s="360">
        <f ca="1">IF(ISERROR(OFFSET('HARGA SATUAN'!$I$6,MATCH(RAB!C177,'HARGA SATUAN'!$C$7:$C$1492,0),0)),0,OFFSET('HARGA SATUAN'!$I$6,MATCH(RAB!C177,'HARGA SATUAN'!$C$7:$C$1492,0),0))</f>
        <v>3784400</v>
      </c>
      <c r="H177" s="361">
        <f t="shared" ca="1" si="48"/>
        <v>0</v>
      </c>
      <c r="I177" s="361">
        <f t="shared" ca="1" si="49"/>
        <v>0</v>
      </c>
      <c r="J177" s="361">
        <f t="shared" ca="1" si="50"/>
        <v>3784400</v>
      </c>
      <c r="K177" s="362">
        <f t="shared" ca="1" si="51"/>
        <v>3784400</v>
      </c>
    </row>
    <row r="178" spans="2:11">
      <c r="B178" s="504"/>
      <c r="C178" s="109"/>
      <c r="D178" s="358" t="str">
        <f ca="1">IF(ISERROR(OFFSET('HARGA SATUAN'!$D$6,MATCH(RAB!C178,'HARGA SATUAN'!$C$7:$C$1492,0),0)),"",OFFSET('HARGA SATUAN'!$D$6,MATCH(RAB!C178,'HARGA SATUAN'!$C$7:$C$1492,0),0))</f>
        <v/>
      </c>
      <c r="E178" s="359" t="str">
        <f ca="1">IF(B178="+","Unit",IF(ISERROR(OFFSET('HARGA SATUAN'!$E$6,MATCH(RAB!C178,'HARGA SATUAN'!$C$7:$C$1492,0),0)),"",OFFSET('HARGA SATUAN'!$E$6,MATCH(RAB!C178,'HARGA SATUAN'!$C$7:$C$1492,0),0)))</f>
        <v/>
      </c>
      <c r="F178" s="484"/>
      <c r="G178" s="360">
        <f ca="1">IF(ISERROR(OFFSET('HARGA SATUAN'!$I$6,MATCH(RAB!C178,'HARGA SATUAN'!$C$7:$C$1492,0),0)),0,OFFSET('HARGA SATUAN'!$I$6,MATCH(RAB!C178,'HARGA SATUAN'!$C$7:$C$1492,0),0))</f>
        <v>0</v>
      </c>
      <c r="H178" s="361">
        <f t="shared" ca="1" si="48"/>
        <v>0</v>
      </c>
      <c r="I178" s="361">
        <f t="shared" ca="1" si="49"/>
        <v>0</v>
      </c>
      <c r="J178" s="361">
        <f t="shared" ca="1" si="50"/>
        <v>0</v>
      </c>
      <c r="K178" s="362">
        <f t="shared" ca="1" si="51"/>
        <v>0</v>
      </c>
    </row>
    <row r="179" spans="2:11">
      <c r="B179" s="511" t="s">
        <v>1035</v>
      </c>
      <c r="C179" s="514" t="s">
        <v>1627</v>
      </c>
      <c r="D179" s="358" t="str">
        <f ca="1">IF(ISERROR(OFFSET('HARGA SATUAN'!$D$6,MATCH(RAB!C179,'HARGA SATUAN'!$C$7:$C$1492,0),0)),"",OFFSET('HARGA SATUAN'!$D$6,MATCH(RAB!C179,'HARGA SATUAN'!$C$7:$C$1492,0),0))</f>
        <v/>
      </c>
      <c r="E179" s="359" t="str">
        <f ca="1">IF(B179="+","Unit",IF(ISERROR(OFFSET('HARGA SATUAN'!$E$6,MATCH(RAB!C179,'HARGA SATUAN'!$C$7:$C$1492,0),0)),"",OFFSET('HARGA SATUAN'!$E$6,MATCH(RAB!C179,'HARGA SATUAN'!$C$7:$C$1492,0),0)))</f>
        <v>Unit</v>
      </c>
      <c r="F179" s="484">
        <v>2</v>
      </c>
      <c r="G179" s="360">
        <f ca="1">IF(ISERROR(OFFSET('HARGA SATUAN'!$I$6,MATCH(RAB!C179,'HARGA SATUAN'!$C$7:$C$1492,0),0)),0,OFFSET('HARGA SATUAN'!$I$6,MATCH(RAB!C179,'HARGA SATUAN'!$C$7:$C$1492,0),0))</f>
        <v>0</v>
      </c>
      <c r="H179" s="361">
        <f t="shared" ca="1" si="48"/>
        <v>0</v>
      </c>
      <c r="I179" s="361">
        <f t="shared" ca="1" si="49"/>
        <v>0</v>
      </c>
      <c r="J179" s="361">
        <f t="shared" ca="1" si="50"/>
        <v>0</v>
      </c>
      <c r="K179" s="362">
        <f t="shared" ca="1" si="51"/>
        <v>0</v>
      </c>
    </row>
    <row r="180" spans="2:11">
      <c r="B180" s="511">
        <v>1</v>
      </c>
      <c r="C180" s="509" t="s">
        <v>29</v>
      </c>
      <c r="D180" s="358" t="str">
        <f ca="1">IF(ISERROR(OFFSET('HARGA SATUAN'!$D$6,MATCH(RAB!C180,'HARGA SATUAN'!$C$7:$C$1492,0),0)),"",OFFSET('HARGA SATUAN'!$D$6,MATCH(RAB!C180,'HARGA SATUAN'!$C$7:$C$1492,0),0))</f>
        <v>HDW</v>
      </c>
      <c r="E180" s="359" t="str">
        <f ca="1">IF(B180="+","Unit",IF(ISERROR(OFFSET('HARGA SATUAN'!$E$6,MATCH(RAB!C180,'HARGA SATUAN'!$C$7:$C$1492,0),0)),"",OFFSET('HARGA SATUAN'!$E$6,MATCH(RAB!C180,'HARGA SATUAN'!$C$7:$C$1492,0),0)))</f>
        <v>Bh</v>
      </c>
      <c r="F180" s="484">
        <f>F179*1</f>
        <v>2</v>
      </c>
      <c r="G180" s="360">
        <f ca="1">IF(ISERROR(OFFSET('HARGA SATUAN'!$I$6,MATCH(RAB!C180,'HARGA SATUAN'!$C$7:$C$1492,0),0)),0,OFFSET('HARGA SATUAN'!$I$6,MATCH(RAB!C180,'HARGA SATUAN'!$C$7:$C$1492,0),0))</f>
        <v>185200</v>
      </c>
      <c r="H180" s="361">
        <f t="shared" ca="1" si="48"/>
        <v>0</v>
      </c>
      <c r="I180" s="361">
        <f t="shared" ca="1" si="49"/>
        <v>370400</v>
      </c>
      <c r="J180" s="361">
        <f t="shared" ca="1" si="50"/>
        <v>0</v>
      </c>
      <c r="K180" s="362">
        <f t="shared" ca="1" si="51"/>
        <v>370400</v>
      </c>
    </row>
    <row r="181" spans="2:11">
      <c r="B181" s="507">
        <v>2</v>
      </c>
      <c r="C181" s="508" t="s">
        <v>30</v>
      </c>
      <c r="D181" s="358" t="str">
        <f ca="1">IF(ISERROR(OFFSET('HARGA SATUAN'!$D$6,MATCH(RAB!C181,'HARGA SATUAN'!$C$7:$C$1492,0),0)),"",OFFSET('HARGA SATUAN'!$D$6,MATCH(RAB!C181,'HARGA SATUAN'!$C$7:$C$1492,0),0))</f>
        <v>HDW</v>
      </c>
      <c r="E181" s="359" t="str">
        <f ca="1">IF(B181="+","Unit",IF(ISERROR(OFFSET('HARGA SATUAN'!$E$6,MATCH(RAB!C181,'HARGA SATUAN'!$C$7:$C$1492,0),0)),"",OFFSET('HARGA SATUAN'!$E$6,MATCH(RAB!C181,'HARGA SATUAN'!$C$7:$C$1492,0),0)))</f>
        <v>Bh</v>
      </c>
      <c r="F181" s="484">
        <f>F179*1</f>
        <v>2</v>
      </c>
      <c r="G181" s="360">
        <f ca="1">IF(ISERROR(OFFSET('HARGA SATUAN'!$I$6,MATCH(RAB!C181,'HARGA SATUAN'!$C$7:$C$1492,0),0)),0,OFFSET('HARGA SATUAN'!$I$6,MATCH(RAB!C181,'HARGA SATUAN'!$C$7:$C$1492,0),0))</f>
        <v>47459</v>
      </c>
      <c r="H181" s="361">
        <f t="shared" ca="1" si="48"/>
        <v>0</v>
      </c>
      <c r="I181" s="361">
        <f t="shared" ca="1" si="49"/>
        <v>94918</v>
      </c>
      <c r="J181" s="361">
        <f t="shared" ca="1" si="50"/>
        <v>0</v>
      </c>
      <c r="K181" s="362">
        <f t="shared" ca="1" si="51"/>
        <v>94918</v>
      </c>
    </row>
    <row r="182" spans="2:11">
      <c r="B182" s="507">
        <v>3</v>
      </c>
      <c r="C182" s="508" t="s">
        <v>31</v>
      </c>
      <c r="D182" s="358" t="str">
        <f ca="1">IF(ISERROR(OFFSET('HARGA SATUAN'!$D$6,MATCH(RAB!C182,'HARGA SATUAN'!$C$7:$C$1492,0),0)),"",OFFSET('HARGA SATUAN'!$D$6,MATCH(RAB!C182,'HARGA SATUAN'!$C$7:$C$1492,0),0))</f>
        <v>HDW</v>
      </c>
      <c r="E182" s="359" t="str">
        <f ca="1">IF(B182="+","Unit",IF(ISERROR(OFFSET('HARGA SATUAN'!$E$6,MATCH(RAB!C182,'HARGA SATUAN'!$C$7:$C$1492,0),0)),"",OFFSET('HARGA SATUAN'!$E$6,MATCH(RAB!C182,'HARGA SATUAN'!$C$7:$C$1492,0),0)))</f>
        <v>Bh</v>
      </c>
      <c r="F182" s="484">
        <f>F179*1</f>
        <v>2</v>
      </c>
      <c r="G182" s="360">
        <f ca="1">IF(ISERROR(OFFSET('HARGA SATUAN'!$I$6,MATCH(RAB!C182,'HARGA SATUAN'!$C$7:$C$1492,0),0)),0,OFFSET('HARGA SATUAN'!$I$6,MATCH(RAB!C182,'HARGA SATUAN'!$C$7:$C$1492,0),0))</f>
        <v>4880</v>
      </c>
      <c r="H182" s="361">
        <f t="shared" ca="1" si="48"/>
        <v>0</v>
      </c>
      <c r="I182" s="361">
        <f t="shared" ca="1" si="49"/>
        <v>9760</v>
      </c>
      <c r="J182" s="361">
        <f t="shared" ca="1" si="50"/>
        <v>0</v>
      </c>
      <c r="K182" s="362">
        <f t="shared" ca="1" si="51"/>
        <v>9760</v>
      </c>
    </row>
    <row r="183" spans="2:11">
      <c r="B183" s="507">
        <v>4</v>
      </c>
      <c r="C183" s="508" t="s">
        <v>32</v>
      </c>
      <c r="D183" s="358" t="str">
        <f ca="1">IF(ISERROR(OFFSET('HARGA SATUAN'!$D$6,MATCH(RAB!C183,'HARGA SATUAN'!$C$7:$C$1492,0),0)),"",OFFSET('HARGA SATUAN'!$D$6,MATCH(RAB!C183,'HARGA SATUAN'!$C$7:$C$1492,0),0))</f>
        <v>HDW</v>
      </c>
      <c r="E183" s="359" t="str">
        <f ca="1">IF(B183="+","Unit",IF(ISERROR(OFFSET('HARGA SATUAN'!$E$6,MATCH(RAB!C183,'HARGA SATUAN'!$C$7:$C$1492,0),0)),"",OFFSET('HARGA SATUAN'!$E$6,MATCH(RAB!C183,'HARGA SATUAN'!$C$7:$C$1492,0),0)))</f>
        <v>Mtr</v>
      </c>
      <c r="F183" s="484">
        <f>F179*10</f>
        <v>20</v>
      </c>
      <c r="G183" s="360">
        <f ca="1">IF(ISERROR(OFFSET('HARGA SATUAN'!$I$6,MATCH(RAB!C183,'HARGA SATUAN'!$C$7:$C$1492,0),0)),0,OFFSET('HARGA SATUAN'!$I$6,MATCH(RAB!C183,'HARGA SATUAN'!$C$7:$C$1492,0),0))</f>
        <v>30000</v>
      </c>
      <c r="H183" s="361">
        <f t="shared" ca="1" si="48"/>
        <v>0</v>
      </c>
      <c r="I183" s="361">
        <f t="shared" ca="1" si="49"/>
        <v>600000</v>
      </c>
      <c r="J183" s="361">
        <f t="shared" ca="1" si="50"/>
        <v>0</v>
      </c>
      <c r="K183" s="362">
        <f t="shared" ca="1" si="51"/>
        <v>600000</v>
      </c>
    </row>
    <row r="184" spans="2:11">
      <c r="B184" s="507">
        <v>5</v>
      </c>
      <c r="C184" s="508" t="s">
        <v>33</v>
      </c>
      <c r="D184" s="358" t="str">
        <f ca="1">IF(ISERROR(OFFSET('HARGA SATUAN'!$D$6,MATCH(RAB!C184,'HARGA SATUAN'!$C$7:$C$1492,0),0)),"",OFFSET('HARGA SATUAN'!$D$6,MATCH(RAB!C184,'HARGA SATUAN'!$C$7:$C$1492,0),0))</f>
        <v>HDW</v>
      </c>
      <c r="E184" s="359" t="str">
        <f ca="1">IF(B184="+","Unit",IF(ISERROR(OFFSET('HARGA SATUAN'!$E$6,MATCH(RAB!C184,'HARGA SATUAN'!$C$7:$C$1492,0),0)),"",OFFSET('HARGA SATUAN'!$E$6,MATCH(RAB!C184,'HARGA SATUAN'!$C$7:$C$1492,0),0)))</f>
        <v>Bh</v>
      </c>
      <c r="F184" s="484">
        <f>F179*2</f>
        <v>4</v>
      </c>
      <c r="G184" s="360">
        <f ca="1">IF(ISERROR(OFFSET('HARGA SATUAN'!$I$6,MATCH(RAB!C184,'HARGA SATUAN'!$C$7:$C$1492,0),0)),0,OFFSET('HARGA SATUAN'!$I$6,MATCH(RAB!C184,'HARGA SATUAN'!$C$7:$C$1492,0),0))</f>
        <v>9500</v>
      </c>
      <c r="H184" s="361">
        <f t="shared" ca="1" si="48"/>
        <v>0</v>
      </c>
      <c r="I184" s="361">
        <f t="shared" ca="1" si="49"/>
        <v>38000</v>
      </c>
      <c r="J184" s="361">
        <f t="shared" ca="1" si="50"/>
        <v>0</v>
      </c>
      <c r="K184" s="362">
        <f t="shared" ca="1" si="51"/>
        <v>38000</v>
      </c>
    </row>
    <row r="185" spans="2:11">
      <c r="B185" s="507">
        <v>6</v>
      </c>
      <c r="C185" s="508" t="s">
        <v>34</v>
      </c>
      <c r="D185" s="358" t="str">
        <f ca="1">IF(ISERROR(OFFSET('HARGA SATUAN'!$D$6,MATCH(RAB!C185,'HARGA SATUAN'!$C$7:$C$1492,0),0)),"",OFFSET('HARGA SATUAN'!$D$6,MATCH(RAB!C185,'HARGA SATUAN'!$C$7:$C$1492,0),0))</f>
        <v>HDW</v>
      </c>
      <c r="E185" s="359" t="str">
        <f ca="1">IF(B185="+","Unit",IF(ISERROR(OFFSET('HARGA SATUAN'!$E$6,MATCH(RAB!C185,'HARGA SATUAN'!$C$7:$C$1492,0),0)),"",OFFSET('HARGA SATUAN'!$E$6,MATCH(RAB!C185,'HARGA SATUAN'!$C$7:$C$1492,0),0)))</f>
        <v>Bh</v>
      </c>
      <c r="F185" s="484">
        <f>F179*5.5</f>
        <v>11</v>
      </c>
      <c r="G185" s="360">
        <f ca="1">IF(ISERROR(OFFSET('HARGA SATUAN'!$I$6,MATCH(RAB!C185,'HARGA SATUAN'!$C$7:$C$1492,0),0)),0,OFFSET('HARGA SATUAN'!$I$6,MATCH(RAB!C185,'HARGA SATUAN'!$C$7:$C$1492,0),0))</f>
        <v>6100</v>
      </c>
      <c r="H185" s="361">
        <f t="shared" ca="1" si="48"/>
        <v>0</v>
      </c>
      <c r="I185" s="361">
        <f t="shared" ca="1" si="49"/>
        <v>67100</v>
      </c>
      <c r="J185" s="361">
        <f t="shared" ca="1" si="50"/>
        <v>0</v>
      </c>
      <c r="K185" s="362">
        <f t="shared" ca="1" si="51"/>
        <v>67100</v>
      </c>
    </row>
    <row r="186" spans="2:11">
      <c r="B186" s="507">
        <v>7</v>
      </c>
      <c r="C186" s="508" t="s">
        <v>35</v>
      </c>
      <c r="D186" s="358" t="str">
        <f ca="1">IF(ISERROR(OFFSET('HARGA SATUAN'!$D$6,MATCH(RAB!C186,'HARGA SATUAN'!$C$7:$C$1492,0),0)),"",OFFSET('HARGA SATUAN'!$D$6,MATCH(RAB!C186,'HARGA SATUAN'!$C$7:$C$1492,0),0))</f>
        <v>HDW</v>
      </c>
      <c r="E186" s="359" t="str">
        <f ca="1">IF(B186="+","Unit",IF(ISERROR(OFFSET('HARGA SATUAN'!$E$6,MATCH(RAB!C186,'HARGA SATUAN'!$C$7:$C$1492,0),0)),"",OFFSET('HARGA SATUAN'!$E$6,MATCH(RAB!C186,'HARGA SATUAN'!$C$7:$C$1492,0),0)))</f>
        <v>Bh</v>
      </c>
      <c r="F186" s="484">
        <f>F179*6</f>
        <v>12</v>
      </c>
      <c r="G186" s="360">
        <f ca="1">IF(ISERROR(OFFSET('HARGA SATUAN'!$I$6,MATCH(RAB!C186,'HARGA SATUAN'!$C$7:$C$1492,0),0)),0,OFFSET('HARGA SATUAN'!$I$6,MATCH(RAB!C186,'HARGA SATUAN'!$C$7:$C$1492,0),0))</f>
        <v>2300</v>
      </c>
      <c r="H186" s="361">
        <f t="shared" ca="1" si="48"/>
        <v>0</v>
      </c>
      <c r="I186" s="361">
        <f t="shared" ca="1" si="49"/>
        <v>27600</v>
      </c>
      <c r="J186" s="361">
        <f t="shared" ca="1" si="50"/>
        <v>0</v>
      </c>
      <c r="K186" s="362">
        <f t="shared" ca="1" si="51"/>
        <v>27600</v>
      </c>
    </row>
    <row r="187" spans="2:11">
      <c r="B187" s="507">
        <v>8</v>
      </c>
      <c r="C187" s="508" t="s">
        <v>1628</v>
      </c>
      <c r="D187" s="358" t="str">
        <f ca="1">IF(ISERROR(OFFSET('HARGA SATUAN'!$D$6,MATCH(RAB!C187,'HARGA SATUAN'!$C$7:$C$1492,0),0)),"",OFFSET('HARGA SATUAN'!$D$6,MATCH(RAB!C187,'HARGA SATUAN'!$C$7:$C$1492,0),0))</f>
        <v>HDW</v>
      </c>
      <c r="E187" s="359" t="str">
        <f ca="1">IF(B187="+","Unit",IF(ISERROR(OFFSET('HARGA SATUAN'!$E$6,MATCH(RAB!C187,'HARGA SATUAN'!$C$7:$C$1492,0),0)),"",OFFSET('HARGA SATUAN'!$E$6,MATCH(RAB!C187,'HARGA SATUAN'!$C$7:$C$1492,0),0)))</f>
        <v>Mtr</v>
      </c>
      <c r="F187" s="484">
        <f>F179*4.8</f>
        <v>9.6</v>
      </c>
      <c r="G187" s="360">
        <f ca="1">IF(ISERROR(OFFSET('HARGA SATUAN'!$I$6,MATCH(RAB!C187,'HARGA SATUAN'!$C$7:$C$1492,0),0)),0,OFFSET('HARGA SATUAN'!$I$6,MATCH(RAB!C187,'HARGA SATUAN'!$C$7:$C$1492,0),0))</f>
        <v>23310</v>
      </c>
      <c r="H187" s="361">
        <f t="shared" ca="1" si="48"/>
        <v>0</v>
      </c>
      <c r="I187" s="361">
        <f t="shared" ca="1" si="49"/>
        <v>223776</v>
      </c>
      <c r="J187" s="361">
        <f t="shared" ca="1" si="50"/>
        <v>0</v>
      </c>
      <c r="K187" s="362">
        <f t="shared" ca="1" si="51"/>
        <v>223776</v>
      </c>
    </row>
    <row r="188" spans="2:11">
      <c r="B188" s="507">
        <v>9</v>
      </c>
      <c r="C188" s="508" t="s">
        <v>736</v>
      </c>
      <c r="D188" s="358" t="str">
        <f ca="1">IF(ISERROR(OFFSET('HARGA SATUAN'!$D$6,MATCH(RAB!C188,'HARGA SATUAN'!$C$7:$C$1492,0),0)),"",OFFSET('HARGA SATUAN'!$D$6,MATCH(RAB!C188,'HARGA SATUAN'!$C$7:$C$1492,0),0))</f>
        <v>JASA</v>
      </c>
      <c r="E188" s="359" t="str">
        <f ca="1">IF(B188="+","Unit",IF(ISERROR(OFFSET('HARGA SATUAN'!$E$6,MATCH(RAB!C188,'HARGA SATUAN'!$C$7:$C$1492,0),0)),"",OFFSET('HARGA SATUAN'!$E$6,MATCH(RAB!C188,'HARGA SATUAN'!$C$7:$C$1492,0),0)))</f>
        <v>Unit</v>
      </c>
      <c r="F188" s="484">
        <f>F179*1</f>
        <v>2</v>
      </c>
      <c r="G188" s="360">
        <f ca="1">IF(ISERROR(OFFSET('HARGA SATUAN'!$I$6,MATCH(RAB!C188,'HARGA SATUAN'!$C$7:$C$1492,0),0)),0,OFFSET('HARGA SATUAN'!$I$6,MATCH(RAB!C188,'HARGA SATUAN'!$C$7:$C$1492,0),0))</f>
        <v>65400</v>
      </c>
      <c r="H188" s="361">
        <f t="shared" ca="1" si="48"/>
        <v>0</v>
      </c>
      <c r="I188" s="361">
        <f t="shared" ca="1" si="49"/>
        <v>0</v>
      </c>
      <c r="J188" s="361">
        <f t="shared" ca="1" si="50"/>
        <v>130800</v>
      </c>
      <c r="K188" s="362">
        <f t="shared" ca="1" si="51"/>
        <v>130800</v>
      </c>
    </row>
    <row r="189" spans="2:11">
      <c r="B189" s="507"/>
      <c r="C189" s="508"/>
      <c r="D189" s="358" t="str">
        <f ca="1">IF(ISERROR(OFFSET('HARGA SATUAN'!$D$6,MATCH(RAB!C189,'HARGA SATUAN'!$C$7:$C$1492,0),0)),"",OFFSET('HARGA SATUAN'!$D$6,MATCH(RAB!C189,'HARGA SATUAN'!$C$7:$C$1492,0),0))</f>
        <v/>
      </c>
      <c r="E189" s="359" t="str">
        <f ca="1">IF(B189="+","Unit",IF(ISERROR(OFFSET('HARGA SATUAN'!$E$6,MATCH(RAB!C189,'HARGA SATUAN'!$C$7:$C$1492,0),0)),"",OFFSET('HARGA SATUAN'!$E$6,MATCH(RAB!C189,'HARGA SATUAN'!$C$7:$C$1492,0),0)))</f>
        <v/>
      </c>
      <c r="F189" s="484"/>
      <c r="G189" s="360">
        <f ca="1">IF(ISERROR(OFFSET('HARGA SATUAN'!$I$6,MATCH(RAB!C189,'HARGA SATUAN'!$C$7:$C$1492,0),0)),0,OFFSET('HARGA SATUAN'!$I$6,MATCH(RAB!C189,'HARGA SATUAN'!$C$7:$C$1492,0),0))</f>
        <v>0</v>
      </c>
      <c r="H189" s="361">
        <f t="shared" ref="H189:H216" ca="1" si="52">IF(OR(D189="MDU",D189="MDU-KD"),(IF($O$3="RAB NON MDU","PLN KD",G189*F189)),0)</f>
        <v>0</v>
      </c>
      <c r="I189" s="361">
        <f t="shared" ref="I189:I216" ca="1" si="53">IF(D189="HDW",G189*F189,0)</f>
        <v>0</v>
      </c>
      <c r="J189" s="361">
        <f t="shared" ref="J189:J216" ca="1" si="54">IF(D189="JASA",G189*F189,0)</f>
        <v>0</v>
      </c>
      <c r="K189" s="362">
        <f t="shared" ref="K189:K216" ca="1" si="55">SUM(H189:J189)</f>
        <v>0</v>
      </c>
    </row>
    <row r="190" spans="2:11">
      <c r="B190" s="373" t="s">
        <v>1550</v>
      </c>
      <c r="C190" s="374" t="s">
        <v>1457</v>
      </c>
      <c r="D190" s="358" t="str">
        <f ca="1">IF(ISERROR(OFFSET('HARGA SATUAN'!$D$6,MATCH(RAB!C190,'HARGA SATUAN'!$C$7:$C$1492,0),0)),"",OFFSET('HARGA SATUAN'!$D$6,MATCH(RAB!C190,'HARGA SATUAN'!$C$7:$C$1492,0),0))</f>
        <v/>
      </c>
      <c r="E190" s="359" t="str">
        <f ca="1">IF(B190="+","Unit",IF(ISERROR(OFFSET('HARGA SATUAN'!$E$6,MATCH(RAB!C190,'HARGA SATUAN'!$C$7:$C$1492,0),0)),"",OFFSET('HARGA SATUAN'!$E$6,MATCH(RAB!C190,'HARGA SATUAN'!$C$7:$C$1492,0),0)))</f>
        <v/>
      </c>
      <c r="F190" s="484"/>
      <c r="G190" s="360">
        <f ca="1">IF(ISERROR(OFFSET('HARGA SATUAN'!$I$6,MATCH(RAB!C190,'HARGA SATUAN'!$C$7:$C$1492,0),0)),0,OFFSET('HARGA SATUAN'!$I$6,MATCH(RAB!C190,'HARGA SATUAN'!$C$7:$C$1492,0),0))</f>
        <v>0</v>
      </c>
      <c r="H190" s="361">
        <f t="shared" ca="1" si="52"/>
        <v>0</v>
      </c>
      <c r="I190" s="361">
        <f t="shared" ca="1" si="53"/>
        <v>0</v>
      </c>
      <c r="J190" s="361">
        <f t="shared" ca="1" si="54"/>
        <v>0</v>
      </c>
      <c r="K190" s="362">
        <f t="shared" ca="1" si="55"/>
        <v>0</v>
      </c>
    </row>
    <row r="191" spans="2:11">
      <c r="B191" s="507"/>
      <c r="C191" s="508"/>
      <c r="D191" s="358" t="str">
        <f ca="1">IF(ISERROR(OFFSET('HARGA SATUAN'!$D$6,MATCH(RAB!C191,'HARGA SATUAN'!$C$7:$C$1492,0),0)),"",OFFSET('HARGA SATUAN'!$D$6,MATCH(RAB!C191,'HARGA SATUAN'!$C$7:$C$1492,0),0))</f>
        <v/>
      </c>
      <c r="E191" s="359" t="str">
        <f ca="1">IF(B191="+","Unit",IF(ISERROR(OFFSET('HARGA SATUAN'!$E$6,MATCH(RAB!C191,'HARGA SATUAN'!$C$7:$C$1492,0),0)),"",OFFSET('HARGA SATUAN'!$E$6,MATCH(RAB!C191,'HARGA SATUAN'!$C$7:$C$1492,0),0)))</f>
        <v/>
      </c>
      <c r="F191" s="484"/>
      <c r="G191" s="360">
        <f ca="1">IF(ISERROR(OFFSET('HARGA SATUAN'!$I$6,MATCH(RAB!C191,'HARGA SATUAN'!$C$7:$C$1492,0),0)),0,OFFSET('HARGA SATUAN'!$I$6,MATCH(RAB!C191,'HARGA SATUAN'!$C$7:$C$1492,0),0))</f>
        <v>0</v>
      </c>
      <c r="H191" s="361">
        <f t="shared" ca="1" si="52"/>
        <v>0</v>
      </c>
      <c r="I191" s="361">
        <f t="shared" ca="1" si="53"/>
        <v>0</v>
      </c>
      <c r="J191" s="361">
        <f t="shared" ca="1" si="54"/>
        <v>0</v>
      </c>
      <c r="K191" s="362">
        <f t="shared" ca="1" si="55"/>
        <v>0</v>
      </c>
    </row>
    <row r="192" spans="2:11">
      <c r="B192" s="499" t="s">
        <v>1035</v>
      </c>
      <c r="C192" s="500" t="s">
        <v>1656</v>
      </c>
      <c r="D192" s="358" t="str">
        <f ca="1">IF(ISERROR(OFFSET('HARGA SATUAN'!$D$6,MATCH(RAB!C192,'HARGA SATUAN'!$C$7:$C$1492,0),0)),"",OFFSET('HARGA SATUAN'!$D$6,MATCH(RAB!C192,'HARGA SATUAN'!$C$7:$C$1492,0),0))</f>
        <v/>
      </c>
      <c r="E192" s="359" t="str">
        <f ca="1">IF(B192="+","Unit",IF(ISERROR(OFFSET('HARGA SATUAN'!$E$6,MATCH(RAB!C192,'HARGA SATUAN'!$C$7:$C$1492,0),0)),"",OFFSET('HARGA SATUAN'!$E$6,MATCH(RAB!C192,'HARGA SATUAN'!$C$7:$C$1492,0),0)))</f>
        <v>Unit</v>
      </c>
      <c r="F192" s="506">
        <v>1</v>
      </c>
      <c r="G192" s="360">
        <f ca="1">IF(ISERROR(OFFSET('HARGA SATUAN'!$I$6,MATCH(RAB!C192,'HARGA SATUAN'!$C$7:$C$1492,0),0)),0,OFFSET('HARGA SATUAN'!$I$6,MATCH(RAB!C192,'HARGA SATUAN'!$C$7:$C$1492,0),0))</f>
        <v>0</v>
      </c>
      <c r="H192" s="361">
        <f t="shared" ca="1" si="52"/>
        <v>0</v>
      </c>
      <c r="I192" s="361">
        <f t="shared" ca="1" si="53"/>
        <v>0</v>
      </c>
      <c r="J192" s="361">
        <f t="shared" ca="1" si="54"/>
        <v>0</v>
      </c>
      <c r="K192" s="362">
        <f t="shared" ca="1" si="55"/>
        <v>0</v>
      </c>
    </row>
    <row r="193" spans="2:11" ht="30">
      <c r="B193" s="527">
        <v>1</v>
      </c>
      <c r="C193" s="109" t="s">
        <v>1196</v>
      </c>
      <c r="D193" s="358" t="str">
        <f ca="1">IF(ISERROR(OFFSET('HARGA SATUAN'!$D$6,MATCH(RAB!C193,'HARGA SATUAN'!$C$7:$C$1492,0),0)),"",OFFSET('HARGA SATUAN'!$D$6,MATCH(RAB!C193,'HARGA SATUAN'!$C$7:$C$1492,0),0))</f>
        <v>MDU-KD</v>
      </c>
      <c r="E193" s="359" t="str">
        <f ca="1">IF(B193="+","Unit",IF(ISERROR(OFFSET('HARGA SATUAN'!$E$6,MATCH(RAB!C193,'HARGA SATUAN'!$C$7:$C$1492,0),0)),"",OFFSET('HARGA SATUAN'!$E$6,MATCH(RAB!C193,'HARGA SATUAN'!$C$7:$C$1492,0),0)))</f>
        <v>Bh</v>
      </c>
      <c r="F193" s="506">
        <f>F192*1</f>
        <v>1</v>
      </c>
      <c r="G193" s="360">
        <f ca="1">IF(ISERROR(OFFSET('HARGA SATUAN'!$I$6,MATCH(RAB!C193,'HARGA SATUAN'!$C$7:$C$1492,0),0)),0,OFFSET('HARGA SATUAN'!$I$6,MATCH(RAB!C193,'HARGA SATUAN'!$C$7:$C$1492,0),0))</f>
        <v>1504200</v>
      </c>
      <c r="H193" s="361">
        <f t="shared" ca="1" si="52"/>
        <v>1504200</v>
      </c>
      <c r="I193" s="361">
        <f t="shared" ca="1" si="53"/>
        <v>0</v>
      </c>
      <c r="J193" s="361">
        <f t="shared" ca="1" si="54"/>
        <v>0</v>
      </c>
      <c r="K193" s="362">
        <f t="shared" ca="1" si="55"/>
        <v>1504200</v>
      </c>
    </row>
    <row r="194" spans="2:11">
      <c r="B194" s="527">
        <v>2</v>
      </c>
      <c r="C194" s="528" t="s">
        <v>519</v>
      </c>
      <c r="D194" s="358" t="str">
        <f ca="1">IF(ISERROR(OFFSET('HARGA SATUAN'!$D$6,MATCH(RAB!C194,'HARGA SATUAN'!$C$7:$C$1492,0),0)),"",OFFSET('HARGA SATUAN'!$D$6,MATCH(RAB!C194,'HARGA SATUAN'!$C$7:$C$1492,0),0))</f>
        <v>MDU-KD</v>
      </c>
      <c r="E194" s="359" t="str">
        <f ca="1">IF(B194="+","Unit",IF(ISERROR(OFFSET('HARGA SATUAN'!$E$6,MATCH(RAB!C194,'HARGA SATUAN'!$C$7:$C$1492,0),0)),"",OFFSET('HARGA SATUAN'!$E$6,MATCH(RAB!C194,'HARGA SATUAN'!$C$7:$C$1492,0),0)))</f>
        <v>Unit</v>
      </c>
      <c r="F194" s="506">
        <f>F192*1</f>
        <v>1</v>
      </c>
      <c r="G194" s="360">
        <f ca="1">IF(ISERROR(OFFSET('HARGA SATUAN'!$I$6,MATCH(RAB!C194,'HARGA SATUAN'!$C$7:$C$1492,0),0)),0,OFFSET('HARGA SATUAN'!$I$6,MATCH(RAB!C194,'HARGA SATUAN'!$C$7:$C$1492,0),0))</f>
        <v>14975400</v>
      </c>
      <c r="H194" s="361">
        <f t="shared" ca="1" si="52"/>
        <v>14975400</v>
      </c>
      <c r="I194" s="361">
        <f t="shared" ca="1" si="53"/>
        <v>0</v>
      </c>
      <c r="J194" s="361">
        <f t="shared" ca="1" si="54"/>
        <v>0</v>
      </c>
      <c r="K194" s="362">
        <f t="shared" ca="1" si="55"/>
        <v>14975400</v>
      </c>
    </row>
    <row r="195" spans="2:11">
      <c r="B195" s="527">
        <v>3</v>
      </c>
      <c r="C195" s="528" t="s">
        <v>1142</v>
      </c>
      <c r="D195" s="358" t="str">
        <f ca="1">IF(ISERROR(OFFSET('HARGA SATUAN'!$D$6,MATCH(RAB!C195,'HARGA SATUAN'!$C$7:$C$1492,0),0)),"",OFFSET('HARGA SATUAN'!$D$6,MATCH(RAB!C195,'HARGA SATUAN'!$C$7:$C$1492,0),0))</f>
        <v>HDW</v>
      </c>
      <c r="E195" s="359" t="str">
        <f ca="1">IF(B195="+","Unit",IF(ISERROR(OFFSET('HARGA SATUAN'!$E$6,MATCH(RAB!C195,'HARGA SATUAN'!$C$7:$C$1492,0),0)),"",OFFSET('HARGA SATUAN'!$E$6,MATCH(RAB!C195,'HARGA SATUAN'!$C$7:$C$1492,0),0)))</f>
        <v>Unit</v>
      </c>
      <c r="F195" s="506">
        <f>F192*1</f>
        <v>1</v>
      </c>
      <c r="G195" s="360">
        <f ca="1">IF(ISERROR(OFFSET('HARGA SATUAN'!$I$6,MATCH(RAB!C195,'HARGA SATUAN'!$C$7:$C$1492,0),0)),0,OFFSET('HARGA SATUAN'!$I$6,MATCH(RAB!C195,'HARGA SATUAN'!$C$7:$C$1492,0),0))</f>
        <v>1113900</v>
      </c>
      <c r="H195" s="361">
        <f t="shared" ca="1" si="52"/>
        <v>0</v>
      </c>
      <c r="I195" s="361">
        <f t="shared" ca="1" si="53"/>
        <v>1113900</v>
      </c>
      <c r="J195" s="361">
        <f t="shared" ca="1" si="54"/>
        <v>0</v>
      </c>
      <c r="K195" s="362">
        <f t="shared" ca="1" si="55"/>
        <v>1113900</v>
      </c>
    </row>
    <row r="196" spans="2:11">
      <c r="B196" s="527">
        <v>4</v>
      </c>
      <c r="C196" s="109" t="s">
        <v>574</v>
      </c>
      <c r="D196" s="358" t="str">
        <f ca="1">IF(ISERROR(OFFSET('HARGA SATUAN'!$D$6,MATCH(RAB!C196,'HARGA SATUAN'!$C$7:$C$1492,0),0)),"",OFFSET('HARGA SATUAN'!$D$6,MATCH(RAB!C196,'HARGA SATUAN'!$C$7:$C$1492,0),0))</f>
        <v>MDU-KD</v>
      </c>
      <c r="E196" s="359" t="str">
        <f ca="1">IF(B196="+","Unit",IF(ISERROR(OFFSET('HARGA SATUAN'!$E$6,MATCH(RAB!C196,'HARGA SATUAN'!$C$7:$C$1492,0),0)),"",OFFSET('HARGA SATUAN'!$E$6,MATCH(RAB!C196,'HARGA SATUAN'!$C$7:$C$1492,0),0)))</f>
        <v>Mtr</v>
      </c>
      <c r="F196" s="506">
        <f>F192*35</f>
        <v>35</v>
      </c>
      <c r="G196" s="360">
        <f ca="1">IF(ISERROR(OFFSET('HARGA SATUAN'!$I$6,MATCH(RAB!C196,'HARGA SATUAN'!$C$7:$C$1492,0),0)),0,OFFSET('HARGA SATUAN'!$I$6,MATCH(RAB!C196,'HARGA SATUAN'!$C$7:$C$1492,0),0))</f>
        <v>421400</v>
      </c>
      <c r="H196" s="361">
        <f t="shared" ca="1" si="52"/>
        <v>14749000</v>
      </c>
      <c r="I196" s="361">
        <f t="shared" ca="1" si="53"/>
        <v>0</v>
      </c>
      <c r="J196" s="361">
        <f t="shared" ca="1" si="54"/>
        <v>0</v>
      </c>
      <c r="K196" s="362">
        <f t="shared" ca="1" si="55"/>
        <v>14749000</v>
      </c>
    </row>
    <row r="197" spans="2:11">
      <c r="B197" s="527">
        <v>5</v>
      </c>
      <c r="C197" s="528" t="s">
        <v>799</v>
      </c>
      <c r="D197" s="358" t="str">
        <f ca="1">IF(ISERROR(OFFSET('HARGA SATUAN'!$D$6,MATCH(RAB!C197,'HARGA SATUAN'!$C$7:$C$1492,0),0)),"",OFFSET('HARGA SATUAN'!$D$6,MATCH(RAB!C197,'HARGA SATUAN'!$C$7:$C$1492,0),0))</f>
        <v>JASA</v>
      </c>
      <c r="E197" s="359" t="str">
        <f ca="1">IF(B197="+","Unit",IF(ISERROR(OFFSET('HARGA SATUAN'!$E$6,MATCH(RAB!C197,'HARGA SATUAN'!$C$7:$C$1492,0),0)),"",OFFSET('HARGA SATUAN'!$E$6,MATCH(RAB!C197,'HARGA SATUAN'!$C$7:$C$1492,0),0)))</f>
        <v>Unit</v>
      </c>
      <c r="F197" s="506">
        <f>F192*1</f>
        <v>1</v>
      </c>
      <c r="G197" s="360">
        <f ca="1">IF(ISERROR(OFFSET('HARGA SATUAN'!$I$6,MATCH(RAB!C197,'HARGA SATUAN'!$C$7:$C$1492,0),0)),0,OFFSET('HARGA SATUAN'!$I$6,MATCH(RAB!C197,'HARGA SATUAN'!$C$7:$C$1492,0),0))</f>
        <v>106400</v>
      </c>
      <c r="H197" s="361">
        <f t="shared" ca="1" si="52"/>
        <v>0</v>
      </c>
      <c r="I197" s="361">
        <f t="shared" ca="1" si="53"/>
        <v>0</v>
      </c>
      <c r="J197" s="361">
        <f t="shared" ca="1" si="54"/>
        <v>106400</v>
      </c>
      <c r="K197" s="362">
        <f t="shared" ca="1" si="55"/>
        <v>106400</v>
      </c>
    </row>
    <row r="198" spans="2:11">
      <c r="B198" s="507"/>
      <c r="C198" s="508"/>
      <c r="D198" s="358" t="str">
        <f ca="1">IF(ISERROR(OFFSET('HARGA SATUAN'!$D$6,MATCH(RAB!C198,'HARGA SATUAN'!$C$7:$C$1492,0),0)),"",OFFSET('HARGA SATUAN'!$D$6,MATCH(RAB!C198,'HARGA SATUAN'!$C$7:$C$1492,0),0))</f>
        <v/>
      </c>
      <c r="E198" s="359" t="str">
        <f ca="1">IF(B198="+","Unit",IF(ISERROR(OFFSET('HARGA SATUAN'!$E$6,MATCH(RAB!C198,'HARGA SATUAN'!$C$7:$C$1492,0),0)),"",OFFSET('HARGA SATUAN'!$E$6,MATCH(RAB!C198,'HARGA SATUAN'!$C$7:$C$1492,0),0)))</f>
        <v/>
      </c>
      <c r="F198" s="484"/>
      <c r="G198" s="360">
        <f ca="1">IF(ISERROR(OFFSET('HARGA SATUAN'!$I$6,MATCH(RAB!C198,'HARGA SATUAN'!$C$7:$C$1492,0),0)),0,OFFSET('HARGA SATUAN'!$I$6,MATCH(RAB!C198,'HARGA SATUAN'!$C$7:$C$1492,0),0))</f>
        <v>0</v>
      </c>
      <c r="H198" s="361">
        <f t="shared" ca="1" si="52"/>
        <v>0</v>
      </c>
      <c r="I198" s="361">
        <f t="shared" ca="1" si="53"/>
        <v>0</v>
      </c>
      <c r="J198" s="361">
        <f t="shared" ca="1" si="54"/>
        <v>0</v>
      </c>
      <c r="K198" s="362">
        <f t="shared" ca="1" si="55"/>
        <v>0</v>
      </c>
    </row>
    <row r="199" spans="2:11">
      <c r="B199" s="507" t="s">
        <v>1035</v>
      </c>
      <c r="C199" s="515" t="s">
        <v>1629</v>
      </c>
      <c r="D199" s="358" t="str">
        <f ca="1">IF(ISERROR(OFFSET('HARGA SATUAN'!$D$6,MATCH(RAB!C199,'HARGA SATUAN'!$C$7:$C$1492,0),0)),"",OFFSET('HARGA SATUAN'!$D$6,MATCH(RAB!C199,'HARGA SATUAN'!$C$7:$C$1492,0),0))</f>
        <v/>
      </c>
      <c r="E199" s="359" t="str">
        <f ca="1">IF(B199="+","Unit",IF(ISERROR(OFFSET('HARGA SATUAN'!$E$6,MATCH(RAB!C199,'HARGA SATUAN'!$C$7:$C$1492,0),0)),"",OFFSET('HARGA SATUAN'!$E$6,MATCH(RAB!C199,'HARGA SATUAN'!$C$7:$C$1492,0),0)))</f>
        <v>Unit</v>
      </c>
      <c r="F199" s="506">
        <v>1</v>
      </c>
      <c r="G199" s="360">
        <f ca="1">IF(ISERROR(OFFSET('HARGA SATUAN'!$I$6,MATCH(RAB!C199,'HARGA SATUAN'!$C$7:$C$1492,0),0)),0,OFFSET('HARGA SATUAN'!$I$6,MATCH(RAB!C199,'HARGA SATUAN'!$C$7:$C$1492,0),0))</f>
        <v>0</v>
      </c>
      <c r="H199" s="361">
        <f t="shared" ca="1" si="52"/>
        <v>0</v>
      </c>
      <c r="I199" s="361">
        <f t="shared" ca="1" si="53"/>
        <v>0</v>
      </c>
      <c r="J199" s="361">
        <f t="shared" ca="1" si="54"/>
        <v>0</v>
      </c>
      <c r="K199" s="362">
        <f t="shared" ca="1" si="55"/>
        <v>0</v>
      </c>
    </row>
    <row r="200" spans="2:11">
      <c r="B200" s="507">
        <v>1</v>
      </c>
      <c r="C200" s="515" t="s">
        <v>163</v>
      </c>
      <c r="D200" s="358" t="str">
        <f ca="1">IF(ISERROR(OFFSET('HARGA SATUAN'!$D$6,MATCH(RAB!C200,'HARGA SATUAN'!$C$7:$C$1492,0),0)),"",OFFSET('HARGA SATUAN'!$D$6,MATCH(RAB!C200,'HARGA SATUAN'!$C$7:$C$1492,0),0))</f>
        <v>HDW</v>
      </c>
      <c r="E200" s="359" t="str">
        <f ca="1">IF(B200="+","Unit",IF(ISERROR(OFFSET('HARGA SATUAN'!$E$6,MATCH(RAB!C200,'HARGA SATUAN'!$C$7:$C$1492,0),0)),"",OFFSET('HARGA SATUAN'!$E$6,MATCH(RAB!C200,'HARGA SATUAN'!$C$7:$C$1492,0),0)))</f>
        <v>Bh</v>
      </c>
      <c r="F200" s="506">
        <f>F199*4</f>
        <v>4</v>
      </c>
      <c r="G200" s="360">
        <f ca="1">IF(ISERROR(OFFSET('HARGA SATUAN'!$I$6,MATCH(RAB!C200,'HARGA SATUAN'!$C$7:$C$1492,0),0)),0,OFFSET('HARGA SATUAN'!$I$6,MATCH(RAB!C200,'HARGA SATUAN'!$C$7:$C$1492,0),0))</f>
        <v>7938</v>
      </c>
      <c r="H200" s="361">
        <f t="shared" ca="1" si="52"/>
        <v>0</v>
      </c>
      <c r="I200" s="361">
        <f t="shared" ca="1" si="53"/>
        <v>31752</v>
      </c>
      <c r="J200" s="361">
        <f t="shared" ca="1" si="54"/>
        <v>0</v>
      </c>
      <c r="K200" s="362">
        <f t="shared" ca="1" si="55"/>
        <v>31752</v>
      </c>
    </row>
    <row r="201" spans="2:11">
      <c r="B201" s="507">
        <v>2</v>
      </c>
      <c r="C201" s="515" t="s">
        <v>593</v>
      </c>
      <c r="D201" s="358" t="str">
        <f ca="1">IF(ISERROR(OFFSET('HARGA SATUAN'!$D$6,MATCH(RAB!C201,'HARGA SATUAN'!$C$7:$C$1492,0),0)),"",OFFSET('HARGA SATUAN'!$D$6,MATCH(RAB!C201,'HARGA SATUAN'!$C$7:$C$1492,0),0))</f>
        <v>HDW</v>
      </c>
      <c r="E201" s="359" t="str">
        <f ca="1">IF(B201="+","Unit",IF(ISERROR(OFFSET('HARGA SATUAN'!$E$6,MATCH(RAB!C201,'HARGA SATUAN'!$C$7:$C$1492,0),0)),"",OFFSET('HARGA SATUAN'!$E$6,MATCH(RAB!C201,'HARGA SATUAN'!$C$7:$C$1492,0),0)))</f>
        <v>Bh</v>
      </c>
      <c r="F201" s="506">
        <f>F199*1</f>
        <v>1</v>
      </c>
      <c r="G201" s="360">
        <f ca="1">IF(ISERROR(OFFSET('HARGA SATUAN'!$I$6,MATCH(RAB!C201,'HARGA SATUAN'!$C$7:$C$1492,0),0)),0,OFFSET('HARGA SATUAN'!$I$6,MATCH(RAB!C201,'HARGA SATUAN'!$C$7:$C$1492,0),0))</f>
        <v>380500</v>
      </c>
      <c r="H201" s="361">
        <f t="shared" ca="1" si="52"/>
        <v>0</v>
      </c>
      <c r="I201" s="361">
        <f t="shared" ca="1" si="53"/>
        <v>380500</v>
      </c>
      <c r="J201" s="361">
        <f t="shared" ca="1" si="54"/>
        <v>0</v>
      </c>
      <c r="K201" s="362">
        <f t="shared" ca="1" si="55"/>
        <v>380500</v>
      </c>
    </row>
    <row r="202" spans="2:11">
      <c r="B202" s="507">
        <v>3</v>
      </c>
      <c r="C202" s="515" t="s">
        <v>248</v>
      </c>
      <c r="D202" s="358" t="str">
        <f ca="1">IF(ISERROR(OFFSET('HARGA SATUAN'!$D$6,MATCH(RAB!C202,'HARGA SATUAN'!$C$7:$C$1492,0),0)),"",OFFSET('HARGA SATUAN'!$D$6,MATCH(RAB!C202,'HARGA SATUAN'!$C$7:$C$1492,0),0))</f>
        <v>HDW</v>
      </c>
      <c r="E202" s="359" t="str">
        <f ca="1">IF(B202="+","Unit",IF(ISERROR(OFFSET('HARGA SATUAN'!$E$6,MATCH(RAB!C202,'HARGA SATUAN'!$C$7:$C$1492,0),0)),"",OFFSET('HARGA SATUAN'!$E$6,MATCH(RAB!C202,'HARGA SATUAN'!$C$7:$C$1492,0),0)))</f>
        <v>Bh</v>
      </c>
      <c r="F202" s="506">
        <f>F199*2</f>
        <v>2</v>
      </c>
      <c r="G202" s="360">
        <f ca="1">IF(ISERROR(OFFSET('HARGA SATUAN'!$I$6,MATCH(RAB!C202,'HARGA SATUAN'!$C$7:$C$1492,0),0)),0,OFFSET('HARGA SATUAN'!$I$6,MATCH(RAB!C202,'HARGA SATUAN'!$C$7:$C$1492,0),0))</f>
        <v>60300</v>
      </c>
      <c r="H202" s="361">
        <f t="shared" ca="1" si="52"/>
        <v>0</v>
      </c>
      <c r="I202" s="361">
        <f t="shared" ca="1" si="53"/>
        <v>120600</v>
      </c>
      <c r="J202" s="361">
        <f t="shared" ca="1" si="54"/>
        <v>0</v>
      </c>
      <c r="K202" s="362">
        <f t="shared" ca="1" si="55"/>
        <v>120600</v>
      </c>
    </row>
    <row r="203" spans="2:11">
      <c r="B203" s="507">
        <v>4</v>
      </c>
      <c r="C203" s="508" t="s">
        <v>595</v>
      </c>
      <c r="D203" s="358" t="str">
        <f ca="1">IF(ISERROR(OFFSET('HARGA SATUAN'!$D$6,MATCH(RAB!C203,'HARGA SATUAN'!$C$7:$C$1492,0),0)),"",OFFSET('HARGA SATUAN'!$D$6,MATCH(RAB!C203,'HARGA SATUAN'!$C$7:$C$1492,0),0))</f>
        <v>HDW</v>
      </c>
      <c r="E203" s="359" t="str">
        <f ca="1">IF(B203="+","Unit",IF(ISERROR(OFFSET('HARGA SATUAN'!$E$6,MATCH(RAB!C203,'HARGA SATUAN'!$C$7:$C$1492,0),0)),"",OFFSET('HARGA SATUAN'!$E$6,MATCH(RAB!C203,'HARGA SATUAN'!$C$7:$C$1492,0),0)))</f>
        <v>Bh</v>
      </c>
      <c r="F203" s="484">
        <f>F199*1</f>
        <v>1</v>
      </c>
      <c r="G203" s="360">
        <f ca="1">IF(ISERROR(OFFSET('HARGA SATUAN'!$I$6,MATCH(RAB!C203,'HARGA SATUAN'!$C$7:$C$1492,0),0)),0,OFFSET('HARGA SATUAN'!$I$6,MATCH(RAB!C203,'HARGA SATUAN'!$C$7:$C$1492,0),0))</f>
        <v>78500</v>
      </c>
      <c r="H203" s="361">
        <f t="shared" ca="1" si="52"/>
        <v>0</v>
      </c>
      <c r="I203" s="361">
        <f t="shared" ca="1" si="53"/>
        <v>78500</v>
      </c>
      <c r="J203" s="361">
        <f t="shared" ca="1" si="54"/>
        <v>0</v>
      </c>
      <c r="K203" s="362">
        <f t="shared" ca="1" si="55"/>
        <v>78500</v>
      </c>
    </row>
    <row r="204" spans="2:11">
      <c r="B204" s="507">
        <v>5</v>
      </c>
      <c r="C204" s="508" t="s">
        <v>229</v>
      </c>
      <c r="D204" s="358" t="str">
        <f ca="1">IF(ISERROR(OFFSET('HARGA SATUAN'!$D$6,MATCH(RAB!C204,'HARGA SATUAN'!$C$7:$C$1492,0),0)),"",OFFSET('HARGA SATUAN'!$D$6,MATCH(RAB!C204,'HARGA SATUAN'!$C$7:$C$1492,0),0))</f>
        <v>HDW</v>
      </c>
      <c r="E204" s="359" t="str">
        <f ca="1">IF(B204="+","Unit",IF(ISERROR(OFFSET('HARGA SATUAN'!$E$6,MATCH(RAB!C204,'HARGA SATUAN'!$C$7:$C$1492,0),0)),"",OFFSET('HARGA SATUAN'!$E$6,MATCH(RAB!C204,'HARGA SATUAN'!$C$7:$C$1492,0),0)))</f>
        <v>Bh</v>
      </c>
      <c r="F204" s="484">
        <f>F199*1</f>
        <v>1</v>
      </c>
      <c r="G204" s="360">
        <f ca="1">IF(ISERROR(OFFSET('HARGA SATUAN'!$I$6,MATCH(RAB!C204,'HARGA SATUAN'!$C$7:$C$1492,0),0)),0,OFFSET('HARGA SATUAN'!$I$6,MATCH(RAB!C204,'HARGA SATUAN'!$C$7:$C$1492,0),0))</f>
        <v>4212</v>
      </c>
      <c r="H204" s="361">
        <f t="shared" ca="1" si="52"/>
        <v>0</v>
      </c>
      <c r="I204" s="361">
        <f t="shared" ca="1" si="53"/>
        <v>4212</v>
      </c>
      <c r="J204" s="361">
        <f t="shared" ca="1" si="54"/>
        <v>0</v>
      </c>
      <c r="K204" s="362">
        <f t="shared" ca="1" si="55"/>
        <v>4212</v>
      </c>
    </row>
    <row r="205" spans="2:11">
      <c r="B205" s="507">
        <v>6</v>
      </c>
      <c r="C205" s="508" t="s">
        <v>266</v>
      </c>
      <c r="D205" s="358" t="str">
        <f ca="1">IF(ISERROR(OFFSET('HARGA SATUAN'!$D$6,MATCH(RAB!C205,'HARGA SATUAN'!$C$7:$C$1492,0),0)),"",OFFSET('HARGA SATUAN'!$D$6,MATCH(RAB!C205,'HARGA SATUAN'!$C$7:$C$1492,0),0))</f>
        <v>HDW</v>
      </c>
      <c r="E205" s="359" t="str">
        <f ca="1">IF(B205="+","Unit",IF(ISERROR(OFFSET('HARGA SATUAN'!$E$6,MATCH(RAB!C205,'HARGA SATUAN'!$C$7:$C$1492,0),0)),"",OFFSET('HARGA SATUAN'!$E$6,MATCH(RAB!C205,'HARGA SATUAN'!$C$7:$C$1492,0),0)))</f>
        <v>Mtr</v>
      </c>
      <c r="F205" s="484">
        <f>F199*1</f>
        <v>1</v>
      </c>
      <c r="G205" s="360">
        <f ca="1">IF(ISERROR(OFFSET('HARGA SATUAN'!$I$6,MATCH(RAB!C205,'HARGA SATUAN'!$C$7:$C$1492,0),0)),0,OFFSET('HARGA SATUAN'!$I$6,MATCH(RAB!C205,'HARGA SATUAN'!$C$7:$C$1492,0),0))</f>
        <v>23310</v>
      </c>
      <c r="H205" s="361">
        <f t="shared" ca="1" si="52"/>
        <v>0</v>
      </c>
      <c r="I205" s="361">
        <f t="shared" ca="1" si="53"/>
        <v>23310</v>
      </c>
      <c r="J205" s="361">
        <f t="shared" ca="1" si="54"/>
        <v>0</v>
      </c>
      <c r="K205" s="362">
        <f t="shared" ca="1" si="55"/>
        <v>23310</v>
      </c>
    </row>
    <row r="206" spans="2:11">
      <c r="B206" s="507">
        <v>7</v>
      </c>
      <c r="C206" s="508" t="s">
        <v>35</v>
      </c>
      <c r="D206" s="358" t="str">
        <f ca="1">IF(ISERROR(OFFSET('HARGA SATUAN'!$D$6,MATCH(RAB!C206,'HARGA SATUAN'!$C$7:$C$1492,0),0)),"",OFFSET('HARGA SATUAN'!$D$6,MATCH(RAB!C206,'HARGA SATUAN'!$C$7:$C$1492,0),0))</f>
        <v>HDW</v>
      </c>
      <c r="E206" s="359" t="str">
        <f ca="1">IF(B206="+","Unit",IF(ISERROR(OFFSET('HARGA SATUAN'!$E$6,MATCH(RAB!C206,'HARGA SATUAN'!$C$7:$C$1492,0),0)),"",OFFSET('HARGA SATUAN'!$E$6,MATCH(RAB!C206,'HARGA SATUAN'!$C$7:$C$1492,0),0)))</f>
        <v>Bh</v>
      </c>
      <c r="F206" s="484">
        <f>F199*1</f>
        <v>1</v>
      </c>
      <c r="G206" s="360">
        <f ca="1">IF(ISERROR(OFFSET('HARGA SATUAN'!$I$6,MATCH(RAB!C206,'HARGA SATUAN'!$C$7:$C$1492,0),0)),0,OFFSET('HARGA SATUAN'!$I$6,MATCH(RAB!C206,'HARGA SATUAN'!$C$7:$C$1492,0),0))</f>
        <v>2300</v>
      </c>
      <c r="H206" s="361">
        <f t="shared" ca="1" si="52"/>
        <v>0</v>
      </c>
      <c r="I206" s="361">
        <f t="shared" ca="1" si="53"/>
        <v>2300</v>
      </c>
      <c r="J206" s="361">
        <f t="shared" ca="1" si="54"/>
        <v>0</v>
      </c>
      <c r="K206" s="362">
        <f t="shared" ca="1" si="55"/>
        <v>2300</v>
      </c>
    </row>
    <row r="207" spans="2:11">
      <c r="B207" s="507"/>
      <c r="C207" s="508"/>
      <c r="D207" s="358"/>
      <c r="E207" s="359"/>
      <c r="F207" s="484"/>
      <c r="G207" s="360"/>
      <c r="H207" s="361"/>
      <c r="I207" s="361"/>
      <c r="J207" s="361"/>
      <c r="K207" s="362"/>
    </row>
    <row r="208" spans="2:11">
      <c r="B208" s="507" t="s">
        <v>1035</v>
      </c>
      <c r="C208" s="508" t="s">
        <v>1630</v>
      </c>
      <c r="D208" s="358" t="str">
        <f ca="1">IF(ISERROR(OFFSET('HARGA SATUAN'!$D$6,MATCH(RAB!C208,'HARGA SATUAN'!$C$7:$C$1492,0),0)),"",OFFSET('HARGA SATUAN'!$D$6,MATCH(RAB!C208,'HARGA SATUAN'!$C$7:$C$1492,0),0))</f>
        <v/>
      </c>
      <c r="E208" s="359" t="str">
        <f ca="1">IF(B208="+","Unit",IF(ISERROR(OFFSET('HARGA SATUAN'!$E$6,MATCH(RAB!C208,'HARGA SATUAN'!$C$7:$C$1492,0),0)),"",OFFSET('HARGA SATUAN'!$E$6,MATCH(RAB!C208,'HARGA SATUAN'!$C$7:$C$1492,0),0)))</f>
        <v>Unit</v>
      </c>
      <c r="F208" s="484">
        <v>1</v>
      </c>
      <c r="G208" s="360">
        <f ca="1">IF(ISERROR(OFFSET('HARGA SATUAN'!$I$6,MATCH(RAB!C208,'HARGA SATUAN'!$C$7:$C$1492,0),0)),0,OFFSET('HARGA SATUAN'!$I$6,MATCH(RAB!C208,'HARGA SATUAN'!$C$7:$C$1492,0),0))</f>
        <v>0</v>
      </c>
      <c r="H208" s="361">
        <f t="shared" ca="1" si="52"/>
        <v>0</v>
      </c>
      <c r="I208" s="361">
        <f t="shared" ca="1" si="53"/>
        <v>0</v>
      </c>
      <c r="J208" s="361">
        <f t="shared" ca="1" si="54"/>
        <v>0</v>
      </c>
      <c r="K208" s="362">
        <f t="shared" ca="1" si="55"/>
        <v>0</v>
      </c>
    </row>
    <row r="209" spans="2:13">
      <c r="B209" s="507">
        <v>1</v>
      </c>
      <c r="C209" s="508" t="s">
        <v>29</v>
      </c>
      <c r="D209" s="358" t="str">
        <f ca="1">IF(ISERROR(OFFSET('HARGA SATUAN'!$D$6,MATCH(RAB!C209,'HARGA SATUAN'!$C$7:$C$1492,0),0)),"",OFFSET('HARGA SATUAN'!$D$6,MATCH(RAB!C209,'HARGA SATUAN'!$C$7:$C$1492,0),0))</f>
        <v>HDW</v>
      </c>
      <c r="E209" s="359" t="str">
        <f ca="1">IF(B209="+","Unit",IF(ISERROR(OFFSET('HARGA SATUAN'!$E$6,MATCH(RAB!C209,'HARGA SATUAN'!$C$7:$C$1492,0),0)),"",OFFSET('HARGA SATUAN'!$E$6,MATCH(RAB!C209,'HARGA SATUAN'!$C$7:$C$1492,0),0)))</f>
        <v>Bh</v>
      </c>
      <c r="F209" s="484">
        <f>F208*1</f>
        <v>1</v>
      </c>
      <c r="G209" s="360">
        <f ca="1">IF(ISERROR(OFFSET('HARGA SATUAN'!$I$6,MATCH(RAB!C209,'HARGA SATUAN'!$C$7:$C$1492,0),0)),0,OFFSET('HARGA SATUAN'!$I$6,MATCH(RAB!C209,'HARGA SATUAN'!$C$7:$C$1492,0),0))</f>
        <v>185200</v>
      </c>
      <c r="H209" s="361">
        <f t="shared" ca="1" si="52"/>
        <v>0</v>
      </c>
      <c r="I209" s="361">
        <f t="shared" ca="1" si="53"/>
        <v>185200</v>
      </c>
      <c r="J209" s="361">
        <f t="shared" ca="1" si="54"/>
        <v>0</v>
      </c>
      <c r="K209" s="362">
        <f t="shared" ca="1" si="55"/>
        <v>185200</v>
      </c>
    </row>
    <row r="210" spans="2:13">
      <c r="B210" s="507">
        <v>2</v>
      </c>
      <c r="C210" s="508" t="s">
        <v>30</v>
      </c>
      <c r="D210" s="358" t="str">
        <f ca="1">IF(ISERROR(OFFSET('HARGA SATUAN'!$D$6,MATCH(RAB!C210,'HARGA SATUAN'!$C$7:$C$1492,0),0)),"",OFFSET('HARGA SATUAN'!$D$6,MATCH(RAB!C210,'HARGA SATUAN'!$C$7:$C$1492,0),0))</f>
        <v>HDW</v>
      </c>
      <c r="E210" s="359" t="str">
        <f ca="1">IF(B210="+","Unit",IF(ISERROR(OFFSET('HARGA SATUAN'!$E$6,MATCH(RAB!C210,'HARGA SATUAN'!$C$7:$C$1492,0),0)),"",OFFSET('HARGA SATUAN'!$E$6,MATCH(RAB!C210,'HARGA SATUAN'!$C$7:$C$1492,0),0)))</f>
        <v>Bh</v>
      </c>
      <c r="F210" s="484">
        <f>F208*1</f>
        <v>1</v>
      </c>
      <c r="G210" s="360">
        <f ca="1">IF(ISERROR(OFFSET('HARGA SATUAN'!$I$6,MATCH(RAB!C210,'HARGA SATUAN'!$C$7:$C$1492,0),0)),0,OFFSET('HARGA SATUAN'!$I$6,MATCH(RAB!C210,'HARGA SATUAN'!$C$7:$C$1492,0),0))</f>
        <v>47459</v>
      </c>
      <c r="H210" s="361">
        <f t="shared" ca="1" si="52"/>
        <v>0</v>
      </c>
      <c r="I210" s="361">
        <f t="shared" ca="1" si="53"/>
        <v>47459</v>
      </c>
      <c r="J210" s="361">
        <f t="shared" ca="1" si="54"/>
        <v>0</v>
      </c>
      <c r="K210" s="362">
        <f t="shared" ca="1" si="55"/>
        <v>47459</v>
      </c>
    </row>
    <row r="211" spans="2:13">
      <c r="B211" s="507">
        <v>3</v>
      </c>
      <c r="C211" s="508" t="s">
        <v>32</v>
      </c>
      <c r="D211" s="358" t="str">
        <f ca="1">IF(ISERROR(OFFSET('HARGA SATUAN'!$D$6,MATCH(RAB!C211,'HARGA SATUAN'!$C$7:$C$1492,0),0)),"",OFFSET('HARGA SATUAN'!$D$6,MATCH(RAB!C211,'HARGA SATUAN'!$C$7:$C$1492,0),0))</f>
        <v>HDW</v>
      </c>
      <c r="E211" s="359" t="str">
        <f ca="1">IF(B211="+","Unit",IF(ISERROR(OFFSET('HARGA SATUAN'!$E$6,MATCH(RAB!C211,'HARGA SATUAN'!$C$7:$C$1492,0),0)),"",OFFSET('HARGA SATUAN'!$E$6,MATCH(RAB!C211,'HARGA SATUAN'!$C$7:$C$1492,0),0)))</f>
        <v>Mtr</v>
      </c>
      <c r="F211" s="484">
        <f>F208*1.5</f>
        <v>1.5</v>
      </c>
      <c r="G211" s="360">
        <f ca="1">IF(ISERROR(OFFSET('HARGA SATUAN'!$I$6,MATCH(RAB!C211,'HARGA SATUAN'!$C$7:$C$1492,0),0)),0,OFFSET('HARGA SATUAN'!$I$6,MATCH(RAB!C211,'HARGA SATUAN'!$C$7:$C$1492,0),0))</f>
        <v>30000</v>
      </c>
      <c r="H211" s="361">
        <f t="shared" ca="1" si="52"/>
        <v>0</v>
      </c>
      <c r="I211" s="361">
        <f t="shared" ca="1" si="53"/>
        <v>45000</v>
      </c>
      <c r="J211" s="361">
        <f t="shared" ca="1" si="54"/>
        <v>0</v>
      </c>
      <c r="K211" s="362">
        <f t="shared" ca="1" si="55"/>
        <v>45000</v>
      </c>
    </row>
    <row r="212" spans="2:13">
      <c r="B212" s="507">
        <v>4</v>
      </c>
      <c r="C212" s="508" t="s">
        <v>33</v>
      </c>
      <c r="D212" s="358" t="str">
        <f ca="1">IF(ISERROR(OFFSET('HARGA SATUAN'!$D$6,MATCH(RAB!C212,'HARGA SATUAN'!$C$7:$C$1492,0),0)),"",OFFSET('HARGA SATUAN'!$D$6,MATCH(RAB!C212,'HARGA SATUAN'!$C$7:$C$1492,0),0))</f>
        <v>HDW</v>
      </c>
      <c r="E212" s="359" t="str">
        <f ca="1">IF(B212="+","Unit",IF(ISERROR(OFFSET('HARGA SATUAN'!$E$6,MATCH(RAB!C212,'HARGA SATUAN'!$C$7:$C$1492,0),0)),"",OFFSET('HARGA SATUAN'!$E$6,MATCH(RAB!C212,'HARGA SATUAN'!$C$7:$C$1492,0),0)))</f>
        <v>Bh</v>
      </c>
      <c r="F212" s="484">
        <f>F208*2</f>
        <v>2</v>
      </c>
      <c r="G212" s="360">
        <f ca="1">IF(ISERROR(OFFSET('HARGA SATUAN'!$I$6,MATCH(RAB!C212,'HARGA SATUAN'!$C$7:$C$1492,0),0)),0,OFFSET('HARGA SATUAN'!$I$6,MATCH(RAB!C212,'HARGA SATUAN'!$C$7:$C$1492,0),0))</f>
        <v>9500</v>
      </c>
      <c r="H212" s="361">
        <f t="shared" ca="1" si="52"/>
        <v>0</v>
      </c>
      <c r="I212" s="361">
        <f t="shared" ca="1" si="53"/>
        <v>19000</v>
      </c>
      <c r="J212" s="361">
        <f t="shared" ca="1" si="54"/>
        <v>0</v>
      </c>
      <c r="K212" s="362">
        <f t="shared" ca="1" si="55"/>
        <v>19000</v>
      </c>
    </row>
    <row r="213" spans="2:13">
      <c r="B213" s="507">
        <v>5</v>
      </c>
      <c r="C213" s="508" t="s">
        <v>735</v>
      </c>
      <c r="D213" s="358" t="str">
        <f ca="1">IF(ISERROR(OFFSET('HARGA SATUAN'!$D$6,MATCH(RAB!C213,'HARGA SATUAN'!$C$7:$C$1492,0),0)),"",OFFSET('HARGA SATUAN'!$D$6,MATCH(RAB!C213,'HARGA SATUAN'!$C$7:$C$1492,0),0))</f>
        <v>JASA</v>
      </c>
      <c r="E213" s="359" t="str">
        <f ca="1">IF(B213="+","Unit",IF(ISERROR(OFFSET('HARGA SATUAN'!$E$6,MATCH(RAB!C213,'HARGA SATUAN'!$C$7:$C$1492,0),0)),"",OFFSET('HARGA SATUAN'!$E$6,MATCH(RAB!C213,'HARGA SATUAN'!$C$7:$C$1492,0),0)))</f>
        <v>Unit</v>
      </c>
      <c r="F213" s="484">
        <f>F208*1</f>
        <v>1</v>
      </c>
      <c r="G213" s="360">
        <f ca="1">IF(ISERROR(OFFSET('HARGA SATUAN'!$I$6,MATCH(RAB!C213,'HARGA SATUAN'!$C$7:$C$1492,0),0)),0,OFFSET('HARGA SATUAN'!$I$6,MATCH(RAB!C213,'HARGA SATUAN'!$C$7:$C$1492,0),0))</f>
        <v>56400</v>
      </c>
      <c r="H213" s="361">
        <f t="shared" ca="1" si="52"/>
        <v>0</v>
      </c>
      <c r="I213" s="361">
        <f t="shared" ca="1" si="53"/>
        <v>0</v>
      </c>
      <c r="J213" s="361">
        <f t="shared" ca="1" si="54"/>
        <v>56400</v>
      </c>
      <c r="K213" s="362">
        <f t="shared" ca="1" si="55"/>
        <v>56400</v>
      </c>
    </row>
    <row r="214" spans="2:13">
      <c r="B214" s="507"/>
      <c r="C214" s="508"/>
      <c r="D214" s="358" t="str">
        <f ca="1">IF(ISERROR(OFFSET('HARGA SATUAN'!$D$6,MATCH(RAB!C214,'HARGA SATUAN'!$C$7:$C$1492,0),0)),"",OFFSET('HARGA SATUAN'!$D$6,MATCH(RAB!C214,'HARGA SATUAN'!$C$7:$C$1492,0),0))</f>
        <v/>
      </c>
      <c r="E214" s="359" t="str">
        <f ca="1">IF(B214="+","Unit",IF(ISERROR(OFFSET('HARGA SATUAN'!$E$6,MATCH(RAB!C214,'HARGA SATUAN'!$C$7:$C$1492,0),0)),"",OFFSET('HARGA SATUAN'!$E$6,MATCH(RAB!C214,'HARGA SATUAN'!$C$7:$C$1492,0),0)))</f>
        <v/>
      </c>
      <c r="F214" s="484"/>
      <c r="G214" s="360">
        <f ca="1">IF(ISERROR(OFFSET('HARGA SATUAN'!$I$6,MATCH(RAB!C214,'HARGA SATUAN'!$C$7:$C$1492,0),0)),0,OFFSET('HARGA SATUAN'!$I$6,MATCH(RAB!C214,'HARGA SATUAN'!$C$7:$C$1492,0),0))</f>
        <v>0</v>
      </c>
      <c r="H214" s="361">
        <f t="shared" ca="1" si="52"/>
        <v>0</v>
      </c>
      <c r="I214" s="361">
        <f t="shared" ca="1" si="53"/>
        <v>0</v>
      </c>
      <c r="J214" s="361">
        <f t="shared" ca="1" si="54"/>
        <v>0</v>
      </c>
      <c r="K214" s="362">
        <f t="shared" ca="1" si="55"/>
        <v>0</v>
      </c>
    </row>
    <row r="215" spans="2:13">
      <c r="B215" s="373" t="s">
        <v>1550</v>
      </c>
      <c r="C215" s="374" t="s">
        <v>1615</v>
      </c>
      <c r="D215" s="358" t="str">
        <f ca="1">IF(ISERROR(OFFSET('HARGA SATUAN'!$D$6,MATCH(RAB!C215,'HARGA SATUAN'!$C$7:$C$1492,0),0)),"",OFFSET('HARGA SATUAN'!$D$6,MATCH(RAB!C215,'HARGA SATUAN'!$C$7:$C$1492,0),0))</f>
        <v/>
      </c>
      <c r="E215" s="359" t="str">
        <f ca="1">IF(B215="+","Unit",IF(ISERROR(OFFSET('HARGA SATUAN'!$E$6,MATCH(RAB!C215,'HARGA SATUAN'!$C$7:$C$1492,0),0)),"",OFFSET('HARGA SATUAN'!$E$6,MATCH(RAB!C215,'HARGA SATUAN'!$C$7:$C$1492,0),0)))</f>
        <v/>
      </c>
      <c r="F215" s="484"/>
      <c r="G215" s="360">
        <f ca="1">IF(ISERROR(OFFSET('HARGA SATUAN'!$I$6,MATCH(RAB!C215,'HARGA SATUAN'!$C$7:$C$1492,0),0)),0,OFFSET('HARGA SATUAN'!$I$6,MATCH(RAB!C215,'HARGA SATUAN'!$C$7:$C$1492,0),0))</f>
        <v>0</v>
      </c>
      <c r="H215" s="361">
        <f t="shared" ca="1" si="52"/>
        <v>0</v>
      </c>
      <c r="I215" s="361">
        <f t="shared" ca="1" si="53"/>
        <v>0</v>
      </c>
      <c r="J215" s="361">
        <f t="shared" ca="1" si="54"/>
        <v>0</v>
      </c>
      <c r="K215" s="362">
        <f t="shared" ca="1" si="55"/>
        <v>0</v>
      </c>
    </row>
    <row r="216" spans="2:13">
      <c r="B216" s="375"/>
      <c r="C216" s="109"/>
      <c r="D216" s="358" t="str">
        <f ca="1">IF(ISERROR(OFFSET('HARGA SATUAN'!$D$6,MATCH(RAB!C216,'HARGA SATUAN'!$C$7:$C$1492,0),0)),"",OFFSET('HARGA SATUAN'!$D$6,MATCH(RAB!C216,'HARGA SATUAN'!$C$7:$C$1492,0),0))</f>
        <v/>
      </c>
      <c r="E216" s="359" t="str">
        <f ca="1">IF(B216="+","Unit",IF(ISERROR(OFFSET('HARGA SATUAN'!$E$6,MATCH(RAB!C216,'HARGA SATUAN'!$C$7:$C$1492,0),0)),"",OFFSET('HARGA SATUAN'!$E$6,MATCH(RAB!C216,'HARGA SATUAN'!$C$7:$C$1492,0),0)))</f>
        <v/>
      </c>
      <c r="F216" s="484"/>
      <c r="G216" s="360">
        <f ca="1">IF(ISERROR(OFFSET('HARGA SATUAN'!$I$6,MATCH(RAB!C216,'HARGA SATUAN'!$C$7:$C$1492,0),0)),0,OFFSET('HARGA SATUAN'!$I$6,MATCH(RAB!C216,'HARGA SATUAN'!$C$7:$C$1492,0),0))</f>
        <v>0</v>
      </c>
      <c r="H216" s="361">
        <f t="shared" ca="1" si="52"/>
        <v>0</v>
      </c>
      <c r="I216" s="361">
        <f t="shared" ca="1" si="53"/>
        <v>0</v>
      </c>
      <c r="J216" s="361">
        <f t="shared" ca="1" si="54"/>
        <v>0</v>
      </c>
      <c r="K216" s="362">
        <f t="shared" ca="1" si="55"/>
        <v>0</v>
      </c>
    </row>
    <row r="217" spans="2:13">
      <c r="B217" s="376"/>
      <c r="C217" s="377" t="s">
        <v>475</v>
      </c>
      <c r="D217" s="358" t="str">
        <f ca="1">IF(ISERROR(OFFSET('HARGA SATUAN'!$D$6,MATCH(RAB!C217,'HARGA SATUAN'!$C$7:$C$1492,0),0)),"",OFFSET('HARGA SATUAN'!$D$6,MATCH(RAB!C217,'HARGA SATUAN'!$C$7:$C$1492,0),0))</f>
        <v/>
      </c>
      <c r="E217" s="359" t="str">
        <f ca="1">IF(B217="+","Unit",IF(ISERROR(OFFSET('HARGA SATUAN'!$E$6,MATCH(RAB!C217,'HARGA SATUAN'!$C$7:$C$1492,0),0)),"",OFFSET('HARGA SATUAN'!$E$6,MATCH(RAB!C217,'HARGA SATUAN'!$C$7:$C$1492,0),0)))</f>
        <v/>
      </c>
      <c r="F217" s="484"/>
      <c r="G217" s="360">
        <f ca="1">IF(ISERROR(OFFSET('HARGA SATUAN'!$I$6,MATCH(RAB!C217,'HARGA SATUAN'!$C$7:$C$1492,0),0)),0,OFFSET('HARGA SATUAN'!$I$6,MATCH(RAB!C217,'HARGA SATUAN'!$C$7:$C$1492,0),0))</f>
        <v>0</v>
      </c>
      <c r="H217" s="361">
        <f t="shared" ca="1" si="48"/>
        <v>0</v>
      </c>
      <c r="I217" s="361">
        <f t="shared" ca="1" si="49"/>
        <v>0</v>
      </c>
      <c r="J217" s="361">
        <f t="shared" ca="1" si="50"/>
        <v>0</v>
      </c>
      <c r="K217" s="362">
        <f t="shared" ca="1" si="51"/>
        <v>0</v>
      </c>
    </row>
    <row r="218" spans="2:13">
      <c r="B218" s="379">
        <v>1</v>
      </c>
      <c r="C218" s="380" t="s">
        <v>1091</v>
      </c>
      <c r="D218" s="381" t="str">
        <f ca="1">IF(ISERROR(OFFSET('HARGA SATUAN'!$D$6,MATCH(RAB!C218,'HARGA SATUAN'!$C$7:$C$1492,0),0)),"",OFFSET('HARGA SATUAN'!$D$6,MATCH(RAB!C218,'HARGA SATUAN'!$C$7:$C$1492,0),0))</f>
        <v>JASA</v>
      </c>
      <c r="E218" s="382" t="str">
        <f ca="1">IF(ISERROR(OFFSET('HARGA SATUAN'!$E$6,MATCH(RAB!C218,'HARGA SATUAN'!$C$7:$C$1492,0),0)),"",OFFSET('HARGA SATUAN'!$E$6,MATCH(RAB!C218,'HARGA SATUAN'!$C$7:$C$1492,0),0))</f>
        <v>Lot</v>
      </c>
      <c r="F218" s="383">
        <v>1</v>
      </c>
      <c r="G218" s="384">
        <f ca="1">IF(ISERROR(OFFSET('HARGA SATUAN'!$I$6,MATCH(RAB!C218,'HARGA SATUAN'!$C$7:$C$1492,0),0)),0,OFFSET('HARGA SATUAN'!$I$6,MATCH(RAB!C218,'HARGA SATUAN'!$C$7:$C$1492,0),0))</f>
        <v>2.5000000000000001E-2</v>
      </c>
      <c r="H218" s="385">
        <f ca="1">2.5%*(SUM(H14:H217))</f>
        <v>5528436.25</v>
      </c>
      <c r="I218" s="385">
        <f t="shared" ref="I218" ca="1" si="56">2.5%*(SUM(I14:I217))</f>
        <v>4163509.2166666668</v>
      </c>
      <c r="J218" s="385">
        <f ca="1">2.5%*(SUM(J14:J217))</f>
        <v>369710.5</v>
      </c>
      <c r="K218" s="386">
        <f ca="1">SUM(H218:J218)</f>
        <v>10061655.966666667</v>
      </c>
    </row>
    <row r="219" spans="2:13">
      <c r="B219" s="387"/>
      <c r="C219" s="388"/>
      <c r="D219" s="358" t="str">
        <f ca="1">IF(ISERROR(OFFSET('HARGA SATUAN'!$D$6,MATCH(RAB!C219,'HARGA SATUAN'!$C$7:$C$1492,0),0)),"",OFFSET('HARGA SATUAN'!$D$6,MATCH(RAB!C219,'HARGA SATUAN'!$C$7:$C$1492,0),0))</f>
        <v/>
      </c>
      <c r="E219" s="359" t="str">
        <f ca="1">IF(ISERROR(OFFSET('HARGA SATUAN'!$E$6,MATCH(RAB!C219,'HARGA SATUAN'!$C$7:$C$1492,0),0)),"",OFFSET('HARGA SATUAN'!$E$6,MATCH(RAB!C219,'HARGA SATUAN'!$C$7:$C$1492,0),0))</f>
        <v/>
      </c>
      <c r="F219" s="378"/>
      <c r="G219" s="360" t="str">
        <f ca="1">IF(ISERROR(OFFSET('HARGA SATUAN'!$I$6,MATCH(RAB!C219,'HARGA SATUAN'!$C$7:$C$1492,0),0)),"",OFFSET('HARGA SATUAN'!$I$6,MATCH(RAB!C219,'HARGA SATUAN'!$C$7:$C$1492,0),0))</f>
        <v/>
      </c>
      <c r="H219" s="361">
        <f ca="1">IF(OR(D219="MDU",D219="MDU-KD"),IF(G219="PLN",0,G219*F219),0)</f>
        <v>0</v>
      </c>
      <c r="I219" s="361">
        <f ca="1">IF(D219="HDW",IF(G219="PLN",0,G219*F219),0)</f>
        <v>0</v>
      </c>
      <c r="J219" s="361">
        <f ca="1">IF(D219="JASA",IF(G219="PLN",0,G219*F219),0)</f>
        <v>0</v>
      </c>
      <c r="K219" s="362">
        <f ca="1">SUM(H219:J219)</f>
        <v>0</v>
      </c>
    </row>
    <row r="220" spans="2:13" ht="15.75" thickBot="1">
      <c r="B220" s="389"/>
      <c r="C220" s="390"/>
      <c r="D220" s="391"/>
      <c r="E220" s="392"/>
      <c r="F220" s="392"/>
      <c r="G220" s="392"/>
      <c r="H220" s="393"/>
      <c r="I220" s="393"/>
      <c r="J220" s="393"/>
      <c r="K220" s="394"/>
    </row>
    <row r="221" spans="2:13">
      <c r="B221" s="395"/>
      <c r="C221" s="636" t="s">
        <v>1008</v>
      </c>
      <c r="D221" s="636"/>
      <c r="E221" s="636"/>
      <c r="F221" s="636"/>
      <c r="G221" s="396" t="s">
        <v>9</v>
      </c>
      <c r="H221" s="397">
        <f ca="1">SUM(H14:H219)</f>
        <v>226665886.25</v>
      </c>
      <c r="I221" s="397">
        <f ca="1">SUM(I14:I219)</f>
        <v>170703877.88333333</v>
      </c>
      <c r="J221" s="397">
        <f ca="1">SUM(J14:J219)</f>
        <v>15158130.5</v>
      </c>
      <c r="K221" s="397">
        <f ca="1">SUM(K14:K219)</f>
        <v>412527894.63333327</v>
      </c>
    </row>
    <row r="222" spans="2:13">
      <c r="B222" s="400"/>
      <c r="C222" s="652" t="s">
        <v>1460</v>
      </c>
      <c r="D222" s="652"/>
      <c r="E222" s="652"/>
      <c r="F222" s="652"/>
      <c r="G222" s="401" t="s">
        <v>9</v>
      </c>
      <c r="H222" s="402">
        <f ca="1">H221*0.11</f>
        <v>24933247.487500001</v>
      </c>
      <c r="I222" s="402">
        <f ca="1">I221*0.11</f>
        <v>18777426.567166667</v>
      </c>
      <c r="J222" s="402">
        <f ca="1">J221*0.11</f>
        <v>1667394.355</v>
      </c>
      <c r="K222" s="402">
        <f ca="1">K221*0.11</f>
        <v>45378068.409666657</v>
      </c>
    </row>
    <row r="223" spans="2:13" ht="15.75" thickBot="1">
      <c r="B223" s="400"/>
      <c r="C223" s="650" t="s">
        <v>463</v>
      </c>
      <c r="D223" s="650"/>
      <c r="E223" s="650"/>
      <c r="F223" s="650"/>
      <c r="G223" s="404" t="s">
        <v>9</v>
      </c>
      <c r="H223" s="405">
        <f ca="1">SUM(H221:H222)</f>
        <v>251599133.73750001</v>
      </c>
      <c r="I223" s="405">
        <f ca="1">SUM(I221:I222)</f>
        <v>189481304.45049998</v>
      </c>
      <c r="J223" s="404">
        <f ca="1">SUM(J221:J222)</f>
        <v>16825524.855</v>
      </c>
      <c r="K223" s="404">
        <f ca="1">SUM(K221:K222)</f>
        <v>457905963.04299992</v>
      </c>
      <c r="M223" s="488"/>
    </row>
    <row r="224" spans="2:13">
      <c r="B224" s="653" t="str">
        <f ca="1">"Terbilang : "&amp;PROPER(IF(K223=0,"nol",IF(K223&lt;0,"minus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IF(--MID(TEXT(ABS(K223),"000000000000000"),1,3)=0,"",MID(TEXT(ABS(K223),"000000000000000"),1,1)&amp;" ratus "&amp;MID(TEXT(ABS(K223),"000000000000000"),2,1)&amp;" puluh "&amp;MID(TEXT(ABS(K223),"000000000000000"),3,1)&amp;" trilyun ")&amp; IF(--MID(TEXT(ABS(K223),"000000000000000"),4,3)=0,"",MID(TEXT(ABS(K223),"000000000000000"),4,1)&amp;" ratus "&amp;MID(TEXT(ABS(K223),"000000000000000"),5,1)&amp;" puluh "&amp;MID(TEXT(ABS(K223),"000000000000000"),6,1)&amp;" milyar ")&amp; IF(--MID(TEXT(ABS(K223),"000000000000000"),7,3)=0,"",MID(TEXT(ABS(K223),"000000000000000"),7,1)&amp;" ratus "&amp;MID(TEXT(ABS(K223),"000000000000000"),8,1)&amp;" puluh "&amp;MID(TEXT(ABS(K223),"000000000000000"),9,1)&amp;" juta ")&amp; IF(--MID(TEXT(ABS(K223),"000000000000000"),10,3)=0,"",IF(--MID(TEXT(ABS(K223),"000000000000000"),10,3)=1,"*",MID(TEXT(ABS(K223),"000000000000000"),10,1)&amp;" ratus "&amp;MID(TEXT(ABS(K223),"000000000000000"),11,1)&amp;" puluh ")&amp;MID(TEXT(ABS(K223),"000000000000000"),12,1)&amp;" ribu ")&amp; IF(--MID(TEXT(ABS(K223),"000000000000000"),13,3)=0,"",MID(TEXT(ABS(K223),"000000000000000"),13,1)&amp;" ratus "&amp;MID(TEXT(ABS(K223),"000000000000000"),14,1)&amp;" puluh "&amp;MID(TEXT(ABS(K223),"000000000000000"),15,1)),1,"satu"),2,"dua"),3,"tiga"),4,"empat"),5,"lima"),6,"enam"),7,"tujuh"),8,"delapan"),9,"sembilan"),"0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Ratus Lima Puluh Tujuh Juta Sembilan Ratus Lima Ribu Sembilan Ratus Enam Puluh Tiga Rupiah</v>
      </c>
      <c r="C224" s="654"/>
      <c r="D224" s="654"/>
      <c r="E224" s="654"/>
      <c r="F224" s="654"/>
      <c r="G224" s="654"/>
      <c r="H224" s="654"/>
      <c r="I224" s="654"/>
      <c r="J224" s="654"/>
      <c r="K224" s="655"/>
    </row>
    <row r="225" spans="2:11">
      <c r="B225" s="656"/>
      <c r="C225" s="657"/>
      <c r="D225" s="657"/>
      <c r="E225" s="657"/>
      <c r="F225" s="657"/>
      <c r="G225" s="657"/>
      <c r="H225" s="657"/>
      <c r="I225" s="657"/>
      <c r="J225" s="657"/>
      <c r="K225" s="658"/>
    </row>
    <row r="226" spans="2:11" ht="15.75" thickBot="1">
      <c r="B226" s="407" t="str">
        <f>"Harga yang dipakai adalah "&amp;'HARGA SATUAN'!I5&amp;""</f>
        <v>Harga yang dipakai adalah RAB HSS 2023</v>
      </c>
      <c r="C226" s="408"/>
      <c r="D226" s="409"/>
      <c r="E226" s="409"/>
      <c r="F226" s="409"/>
      <c r="G226" s="410"/>
      <c r="H226" s="410"/>
      <c r="I226" s="410"/>
      <c r="J226" s="410"/>
      <c r="K226" s="411"/>
    </row>
    <row r="227" spans="2:11">
      <c r="C227" s="412"/>
      <c r="E227" s="414"/>
      <c r="F227" s="414"/>
      <c r="G227" s="414"/>
    </row>
    <row r="228" spans="2:11">
      <c r="C228" s="337"/>
      <c r="E228" s="414"/>
      <c r="F228" s="414"/>
      <c r="G228" s="414"/>
      <c r="H228" s="659"/>
      <c r="I228" s="659"/>
      <c r="J228" s="660"/>
      <c r="K228" s="660"/>
    </row>
    <row r="229" spans="2:11">
      <c r="C229" s="337"/>
      <c r="E229" s="414"/>
      <c r="F229" s="414"/>
      <c r="G229" s="414"/>
      <c r="H229" s="415"/>
      <c r="I229" s="649" t="s">
        <v>1613</v>
      </c>
      <c r="J229" s="649"/>
      <c r="K229" s="649"/>
    </row>
    <row r="230" spans="2:11">
      <c r="C230" s="337"/>
      <c r="E230" s="414"/>
      <c r="F230" s="414"/>
      <c r="G230" s="414"/>
      <c r="H230" s="415"/>
      <c r="I230" s="649" t="s">
        <v>1551</v>
      </c>
      <c r="J230" s="649"/>
      <c r="K230" s="649"/>
    </row>
    <row r="231" spans="2:11">
      <c r="C231" s="337"/>
      <c r="E231" s="414"/>
      <c r="F231" s="414"/>
      <c r="G231" s="414"/>
      <c r="H231" s="416"/>
      <c r="I231" s="417"/>
      <c r="J231" s="417"/>
      <c r="K231" s="417"/>
    </row>
    <row r="232" spans="2:11">
      <c r="C232" s="337"/>
      <c r="E232" s="414"/>
      <c r="F232" s="414"/>
      <c r="G232" s="414"/>
      <c r="H232" s="416"/>
      <c r="I232" s="416"/>
      <c r="J232" s="416"/>
      <c r="K232" s="416"/>
    </row>
    <row r="233" spans="2:11">
      <c r="C233" s="337"/>
      <c r="E233" s="414"/>
      <c r="F233" s="414"/>
      <c r="G233" s="414"/>
      <c r="H233" s="416"/>
      <c r="I233" s="416"/>
      <c r="J233" s="416"/>
      <c r="K233" s="416"/>
    </row>
    <row r="234" spans="2:11">
      <c r="C234" s="337"/>
      <c r="E234" s="414"/>
      <c r="F234" s="414"/>
      <c r="G234" s="414"/>
      <c r="H234" s="416"/>
      <c r="I234" s="416"/>
      <c r="J234" s="416"/>
      <c r="K234" s="416"/>
    </row>
    <row r="235" spans="2:11">
      <c r="C235" s="337"/>
      <c r="E235" s="414"/>
      <c r="F235" s="414"/>
      <c r="G235" s="414"/>
      <c r="H235" s="418"/>
      <c r="I235" s="649" t="s">
        <v>1552</v>
      </c>
      <c r="J235" s="649"/>
      <c r="K235" s="649"/>
    </row>
    <row r="236" spans="2:11">
      <c r="C236" s="412"/>
      <c r="E236" s="414"/>
      <c r="F236" s="414"/>
      <c r="G236" s="414"/>
      <c r="H236" s="416"/>
      <c r="I236" s="416"/>
      <c r="J236" s="416"/>
      <c r="K236" s="416"/>
    </row>
    <row r="237" spans="2:11">
      <c r="C237" s="412"/>
      <c r="E237" s="414"/>
      <c r="F237" s="414"/>
      <c r="G237" s="414"/>
      <c r="H237" s="416"/>
      <c r="I237" s="416"/>
      <c r="J237" s="416"/>
      <c r="K237" s="416"/>
    </row>
    <row r="238" spans="2:11">
      <c r="C238" s="412"/>
      <c r="E238" s="414"/>
      <c r="F238" s="414"/>
      <c r="G238" s="414"/>
      <c r="H238" s="416"/>
      <c r="I238" s="416"/>
      <c r="J238" s="416"/>
      <c r="K238" s="416"/>
    </row>
  </sheetData>
  <sheetProtection sort="0" autoFilter="0"/>
  <protectedRanges>
    <protectedRange sqref="B216 B171:B178" name="Range1_1"/>
    <protectedRange sqref="F14:F16 F21:F23" name="Range1_1_2_2"/>
    <protectedRange sqref="B215:C215 B58:C59 B113:C114 B115:B118 B190:C190 B119:C135 B157:C158 C171:C178 C142 B83:C84 B85:B87 B88:C107" name="Range1_1_1"/>
    <protectedRange sqref="C162" name="Range1_1_2_2_1"/>
    <protectedRange sqref="C216" name="Range1_1_3_12"/>
    <protectedRange sqref="C40 C42:C57" name="Range1_1_3_2"/>
    <protectedRange sqref="F18:F20" name="Range1_1_2_2_1_1"/>
    <protectedRange sqref="B27:C27 B29:C38 B24:B26" name="Range1_1_1_1"/>
    <protectedRange sqref="B28:C28" name="Range1_6_1_1"/>
    <protectedRange sqref="F24:F38" name="Range1_1_2_2_1_3"/>
    <protectedRange sqref="C25 C145 C61 C151 C85" name="Range1_1_3_3"/>
    <protectedRange sqref="C26 C62 C86" name="Range1_1_3_4"/>
    <protectedRange sqref="C41 C63 C87" name="Range1_1_3_5"/>
    <protectedRange sqref="C115" name="Range1_1_3_6"/>
    <protectedRange sqref="C116" name="Range1_1_3_8"/>
    <protectedRange sqref="C117" name="Range1_1_3_9"/>
    <protectedRange sqref="C118" name="Range1_1_3_10"/>
    <protectedRange sqref="C163" name="Range1_1_3_16"/>
    <protectedRange sqref="C167" name="Range1_1_3_17"/>
    <protectedRange sqref="C160" name="Range1_1_3_11"/>
    <protectedRange sqref="C196" name="Range1_1_3_13"/>
  </protectedRanges>
  <mergeCells count="22">
    <mergeCell ref="I230:K230"/>
    <mergeCell ref="I235:K235"/>
    <mergeCell ref="C223:F223"/>
    <mergeCell ref="G6:K6"/>
    <mergeCell ref="I229:K229"/>
    <mergeCell ref="C222:F222"/>
    <mergeCell ref="B224:K225"/>
    <mergeCell ref="H228:K228"/>
    <mergeCell ref="H11:K11"/>
    <mergeCell ref="H12:H13"/>
    <mergeCell ref="J12:J13"/>
    <mergeCell ref="K12:K13"/>
    <mergeCell ref="O3:P4"/>
    <mergeCell ref="B4:K4"/>
    <mergeCell ref="C221:F221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 C17:C20">
    <cfRule type="cellIs" dxfId="41" priority="578" operator="equal">
      <formula>0</formula>
    </cfRule>
  </conditionalFormatting>
  <conditionalFormatting sqref="C25:C26">
    <cfRule type="cellIs" dxfId="40" priority="158" operator="equal">
      <formula>0</formula>
    </cfRule>
  </conditionalFormatting>
  <conditionalFormatting sqref="C41">
    <cfRule type="cellIs" dxfId="39" priority="153" operator="equal">
      <formula>0</formula>
    </cfRule>
  </conditionalFormatting>
  <conditionalFormatting sqref="C61:C63">
    <cfRule type="cellIs" dxfId="38" priority="101" operator="equal">
      <formula>0</formula>
    </cfRule>
  </conditionalFormatting>
  <conditionalFormatting sqref="C115:C118">
    <cfRule type="cellIs" dxfId="37" priority="147" operator="equal">
      <formula>0</formula>
    </cfRule>
  </conditionalFormatting>
  <conditionalFormatting sqref="C145">
    <cfRule type="cellIs" dxfId="36" priority="120" operator="equal">
      <formula>0</formula>
    </cfRule>
  </conditionalFormatting>
  <conditionalFormatting sqref="C151">
    <cfRule type="cellIs" dxfId="35" priority="97" operator="equal">
      <formula>0</formula>
    </cfRule>
  </conditionalFormatting>
  <conditionalFormatting sqref="C160">
    <cfRule type="cellIs" dxfId="34" priority="98" operator="equal">
      <formula>0</formula>
    </cfRule>
  </conditionalFormatting>
  <conditionalFormatting sqref="C163:C164">
    <cfRule type="cellIs" dxfId="33" priority="124" operator="equal">
      <formula>0</formula>
    </cfRule>
  </conditionalFormatting>
  <conditionalFormatting sqref="C167">
    <cfRule type="cellIs" dxfId="32" priority="123" operator="equal">
      <formula>0</formula>
    </cfRule>
  </conditionalFormatting>
  <conditionalFormatting sqref="C178">
    <cfRule type="cellIs" dxfId="31" priority="169" operator="equal">
      <formula>0</formula>
    </cfRule>
  </conditionalFormatting>
  <conditionalFormatting sqref="C193">
    <cfRule type="cellIs" dxfId="30" priority="107" operator="equal">
      <formula>0</formula>
    </cfRule>
  </conditionalFormatting>
  <conditionalFormatting sqref="C196">
    <cfRule type="cellIs" dxfId="29" priority="106" operator="equal">
      <formula>0</formula>
    </cfRule>
  </conditionalFormatting>
  <conditionalFormatting sqref="C216">
    <cfRule type="cellIs" dxfId="28" priority="176" operator="equal">
      <formula>0</formula>
    </cfRule>
  </conditionalFormatting>
  <conditionalFormatting sqref="E1:E3 G1:G13 E5:E13 H12:I12 O13 S14:V57 E14:K59 E60:E82 G60:K82 E218:G218 H218:K220 E219:H219 E220:F220 E108:K217">
    <cfRule type="cellIs" dxfId="27" priority="1158" stopIfTrue="1" operator="equal">
      <formula>0</formula>
    </cfRule>
  </conditionalFormatting>
  <conditionalFormatting sqref="G219:G65685 E224:E65685">
    <cfRule type="cellIs" dxfId="26" priority="292" stopIfTrue="1" operator="equal">
      <formula>0</formula>
    </cfRule>
  </conditionalFormatting>
  <conditionalFormatting sqref="E107:K107">
    <cfRule type="cellIs" dxfId="25" priority="26" stopIfTrue="1" operator="equal">
      <formula>0</formula>
    </cfRule>
  </conditionalFormatting>
  <conditionalFormatting sqref="E106:K106">
    <cfRule type="cellIs" dxfId="24" priority="25" stopIfTrue="1" operator="equal">
      <formula>0</formula>
    </cfRule>
  </conditionalFormatting>
  <conditionalFormatting sqref="E105:K105">
    <cfRule type="cellIs" dxfId="23" priority="24" stopIfTrue="1" operator="equal">
      <formula>0</formula>
    </cfRule>
  </conditionalFormatting>
  <conditionalFormatting sqref="E104:K104">
    <cfRule type="cellIs" dxfId="22" priority="23" stopIfTrue="1" operator="equal">
      <formula>0</formula>
    </cfRule>
  </conditionalFormatting>
  <conditionalFormatting sqref="E103:K103">
    <cfRule type="cellIs" dxfId="21" priority="22" stopIfTrue="1" operator="equal">
      <formula>0</formula>
    </cfRule>
  </conditionalFormatting>
  <conditionalFormatting sqref="E102:K102">
    <cfRule type="cellIs" dxfId="20" priority="21" stopIfTrue="1" operator="equal">
      <formula>0</formula>
    </cfRule>
  </conditionalFormatting>
  <conditionalFormatting sqref="E101:K101">
    <cfRule type="cellIs" dxfId="19" priority="20" stopIfTrue="1" operator="equal">
      <formula>0</formula>
    </cfRule>
  </conditionalFormatting>
  <conditionalFormatting sqref="E100:K100">
    <cfRule type="cellIs" dxfId="18" priority="19" stopIfTrue="1" operator="equal">
      <formula>0</formula>
    </cfRule>
  </conditionalFormatting>
  <conditionalFormatting sqref="E99:K99">
    <cfRule type="cellIs" dxfId="17" priority="18" stopIfTrue="1" operator="equal">
      <formula>0</formula>
    </cfRule>
  </conditionalFormatting>
  <conditionalFormatting sqref="E98:K98">
    <cfRule type="cellIs" dxfId="16" priority="17" stopIfTrue="1" operator="equal">
      <formula>0</formula>
    </cfRule>
  </conditionalFormatting>
  <conditionalFormatting sqref="E97:K97">
    <cfRule type="cellIs" dxfId="15" priority="16" stopIfTrue="1" operator="equal">
      <formula>0</formula>
    </cfRule>
  </conditionalFormatting>
  <conditionalFormatting sqref="E96:K96">
    <cfRule type="cellIs" dxfId="14" priority="15" stopIfTrue="1" operator="equal">
      <formula>0</formula>
    </cfRule>
  </conditionalFormatting>
  <conditionalFormatting sqref="E95:K95">
    <cfRule type="cellIs" dxfId="13" priority="14" stopIfTrue="1" operator="equal">
      <formula>0</formula>
    </cfRule>
  </conditionalFormatting>
  <conditionalFormatting sqref="E94:K94">
    <cfRule type="cellIs" dxfId="12" priority="13" stopIfTrue="1" operator="equal">
      <formula>0</formula>
    </cfRule>
  </conditionalFormatting>
  <conditionalFormatting sqref="E93:K93">
    <cfRule type="cellIs" dxfId="11" priority="12" stopIfTrue="1" operator="equal">
      <formula>0</formula>
    </cfRule>
  </conditionalFormatting>
  <conditionalFormatting sqref="E92:K92">
    <cfRule type="cellIs" dxfId="10" priority="11" stopIfTrue="1" operator="equal">
      <formula>0</formula>
    </cfRule>
  </conditionalFormatting>
  <conditionalFormatting sqref="E91:K91">
    <cfRule type="cellIs" dxfId="9" priority="10" stopIfTrue="1" operator="equal">
      <formula>0</formula>
    </cfRule>
  </conditionalFormatting>
  <conditionalFormatting sqref="E90:K90">
    <cfRule type="cellIs" dxfId="8" priority="9" stopIfTrue="1" operator="equal">
      <formula>0</formula>
    </cfRule>
  </conditionalFormatting>
  <conditionalFormatting sqref="E89:K89">
    <cfRule type="cellIs" dxfId="7" priority="8" stopIfTrue="1" operator="equal">
      <formula>0</formula>
    </cfRule>
  </conditionalFormatting>
  <conditionalFormatting sqref="E88:K88">
    <cfRule type="cellIs" dxfId="6" priority="7" stopIfTrue="1" operator="equal">
      <formula>0</formula>
    </cfRule>
  </conditionalFormatting>
  <conditionalFormatting sqref="E87:K87">
    <cfRule type="cellIs" dxfId="5" priority="6" stopIfTrue="1" operator="equal">
      <formula>0</formula>
    </cfRule>
  </conditionalFormatting>
  <conditionalFormatting sqref="E86:K86">
    <cfRule type="cellIs" dxfId="4" priority="5" stopIfTrue="1" operator="equal">
      <formula>0</formula>
    </cfRule>
  </conditionalFormatting>
  <conditionalFormatting sqref="E85:K85">
    <cfRule type="cellIs" dxfId="3" priority="4" stopIfTrue="1" operator="equal">
      <formula>0</formula>
    </cfRule>
  </conditionalFormatting>
  <conditionalFormatting sqref="E84:K84">
    <cfRule type="cellIs" dxfId="2" priority="3" stopIfTrue="1" operator="equal">
      <formula>0</formula>
    </cfRule>
  </conditionalFormatting>
  <conditionalFormatting sqref="E83:K83">
    <cfRule type="cellIs" dxfId="1" priority="2" stopIfTrue="1" operator="equal">
      <formula>0</formula>
    </cfRule>
  </conditionalFormatting>
  <conditionalFormatting sqref="C85:C87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98 F203:F217 C161:C162 F24:F39 F59 F134:F191 H14:K220 F83:F13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63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110"/>
  <sheetViews>
    <sheetView showGridLines="0" view="pageBreakPreview" topLeftCell="A67" zoomScale="115" zoomScaleNormal="115" zoomScaleSheetLayoutView="115" workbookViewId="0">
      <selection activeCell="X84" sqref="X84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63" t="s">
        <v>1439</v>
      </c>
      <c r="X2" s="664"/>
      <c r="Y2" s="664"/>
      <c r="Z2" s="664"/>
      <c r="AA2" s="664"/>
      <c r="AB2" s="664"/>
      <c r="AC2" s="664"/>
      <c r="AD2" s="665"/>
    </row>
    <row r="3" spans="3:30">
      <c r="C3" s="238"/>
      <c r="W3" s="666"/>
      <c r="X3" s="667"/>
      <c r="Y3" s="667"/>
      <c r="Z3" s="667"/>
      <c r="AA3" s="667"/>
      <c r="AB3" s="667"/>
      <c r="AC3" s="667"/>
      <c r="AD3" s="668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69" t="s">
        <v>990</v>
      </c>
      <c r="Y5" s="669"/>
      <c r="Z5" s="669"/>
      <c r="AA5" s="669" t="s">
        <v>988</v>
      </c>
      <c r="AB5" s="669"/>
      <c r="AC5" s="669" t="s">
        <v>989</v>
      </c>
      <c r="AD5" s="670"/>
    </row>
    <row r="6" spans="3:30">
      <c r="C6" s="238"/>
      <c r="W6" s="241">
        <v>1</v>
      </c>
      <c r="X6" s="669" t="s">
        <v>993</v>
      </c>
      <c r="Y6" s="669"/>
      <c r="Z6" s="669"/>
      <c r="AA6" s="669"/>
      <c r="AB6" s="669"/>
      <c r="AC6" s="669"/>
      <c r="AD6" s="670"/>
    </row>
    <row r="7" spans="3:30">
      <c r="C7" s="238"/>
      <c r="E7" s="494" t="str">
        <f>PETA!$C$6</f>
        <v>KOORDINAT : -6.9392797,110.7497741</v>
      </c>
      <c r="W7" s="241">
        <v>2</v>
      </c>
      <c r="X7" s="669" t="s">
        <v>994</v>
      </c>
      <c r="Y7" s="669"/>
      <c r="Z7" s="669"/>
      <c r="AA7" s="669"/>
      <c r="AB7" s="669"/>
      <c r="AC7" s="669"/>
      <c r="AD7" s="670"/>
    </row>
    <row r="8" spans="3:30">
      <c r="C8" s="238"/>
      <c r="W8" s="241">
        <v>3</v>
      </c>
      <c r="X8" s="669" t="s">
        <v>995</v>
      </c>
      <c r="Y8" s="669"/>
      <c r="Z8" s="669"/>
      <c r="AA8" s="669"/>
      <c r="AB8" s="669"/>
      <c r="AC8" s="669"/>
      <c r="AD8" s="670"/>
    </row>
    <row r="9" spans="3:30" ht="12.75">
      <c r="C9" s="238"/>
      <c r="O9" s="523"/>
      <c r="W9" s="241">
        <v>4</v>
      </c>
      <c r="X9" s="669" t="s">
        <v>996</v>
      </c>
      <c r="Y9" s="669"/>
      <c r="Z9" s="669"/>
      <c r="AA9" s="669"/>
      <c r="AB9" s="669"/>
      <c r="AC9" s="669"/>
      <c r="AD9" s="670"/>
    </row>
    <row r="10" spans="3:30">
      <c r="C10" s="238"/>
      <c r="W10" s="241">
        <v>5</v>
      </c>
      <c r="X10" s="669" t="s">
        <v>997</v>
      </c>
      <c r="Y10" s="669"/>
      <c r="Z10" s="669"/>
      <c r="AA10" s="669"/>
      <c r="AB10" s="669"/>
      <c r="AC10" s="669"/>
      <c r="AD10" s="670"/>
    </row>
    <row r="11" spans="3:30">
      <c r="C11" s="238"/>
      <c r="W11" s="241">
        <v>6</v>
      </c>
      <c r="X11" s="669" t="s">
        <v>998</v>
      </c>
      <c r="Y11" s="669"/>
      <c r="Z11" s="669"/>
      <c r="AA11" s="669"/>
      <c r="AB11" s="669"/>
      <c r="AC11" s="669"/>
      <c r="AD11" s="670"/>
    </row>
    <row r="12" spans="3:30">
      <c r="C12" s="238"/>
      <c r="W12" s="241">
        <v>7</v>
      </c>
      <c r="X12" s="669" t="s">
        <v>999</v>
      </c>
      <c r="Y12" s="669"/>
      <c r="Z12" s="669"/>
      <c r="AA12" s="669"/>
      <c r="AB12" s="669"/>
      <c r="AC12" s="669"/>
      <c r="AD12" s="670"/>
    </row>
    <row r="13" spans="3:30" ht="12.75" customHeight="1">
      <c r="C13" s="238"/>
      <c r="W13" s="241">
        <v>8</v>
      </c>
      <c r="X13" s="669" t="s">
        <v>1000</v>
      </c>
      <c r="Y13" s="669"/>
      <c r="Z13" s="669"/>
      <c r="AA13" s="669"/>
      <c r="AB13" s="669"/>
      <c r="AC13" s="669"/>
      <c r="AD13" s="670"/>
    </row>
    <row r="14" spans="3:30">
      <c r="C14" s="238"/>
      <c r="W14" s="241">
        <v>9</v>
      </c>
      <c r="X14" s="669" t="s">
        <v>1001</v>
      </c>
      <c r="Y14" s="669"/>
      <c r="Z14" s="669"/>
      <c r="AA14" s="669"/>
      <c r="AB14" s="669"/>
      <c r="AC14" s="669"/>
      <c r="AD14" s="670"/>
    </row>
    <row r="15" spans="3:30">
      <c r="C15" s="238"/>
      <c r="W15" s="241">
        <v>10</v>
      </c>
      <c r="X15" s="669" t="s">
        <v>1010</v>
      </c>
      <c r="Y15" s="669"/>
      <c r="Z15" s="669"/>
      <c r="AA15" s="669"/>
      <c r="AB15" s="669"/>
      <c r="AC15" s="669"/>
      <c r="AD15" s="670"/>
    </row>
    <row r="16" spans="3:30">
      <c r="C16" s="238"/>
      <c r="W16" s="241">
        <v>11</v>
      </c>
      <c r="X16" s="669" t="s">
        <v>1458</v>
      </c>
      <c r="Y16" s="669"/>
      <c r="Z16" s="669"/>
      <c r="AA16" s="669"/>
      <c r="AB16" s="669"/>
      <c r="AC16" s="669"/>
      <c r="AD16" s="670"/>
    </row>
    <row r="17" spans="3:30">
      <c r="C17" s="238"/>
      <c r="S17" s="242"/>
      <c r="W17" s="241">
        <v>12</v>
      </c>
      <c r="X17" s="669" t="s">
        <v>1011</v>
      </c>
      <c r="Y17" s="669"/>
      <c r="Z17" s="669"/>
      <c r="AA17" s="669"/>
      <c r="AB17" s="669"/>
      <c r="AC17" s="669"/>
      <c r="AD17" s="670"/>
    </row>
    <row r="18" spans="3:30">
      <c r="C18" s="243"/>
      <c r="D18" s="244"/>
      <c r="E18" s="244"/>
      <c r="W18" s="241">
        <v>13</v>
      </c>
      <c r="X18" s="669"/>
      <c r="Y18" s="669"/>
      <c r="Z18" s="669"/>
      <c r="AA18" s="669"/>
      <c r="AB18" s="669"/>
      <c r="AC18" s="669"/>
      <c r="AD18" s="670"/>
    </row>
    <row r="19" spans="3:30">
      <c r="C19" s="238"/>
      <c r="W19" s="245"/>
      <c r="X19" s="686"/>
      <c r="Y19" s="686"/>
      <c r="Z19" s="686"/>
      <c r="AA19" s="686"/>
      <c r="AB19" s="686"/>
      <c r="AC19" s="686"/>
      <c r="AD19" s="687"/>
    </row>
    <row r="20" spans="3:30">
      <c r="C20" s="238"/>
      <c r="W20" s="671" t="s">
        <v>992</v>
      </c>
      <c r="X20" s="672"/>
      <c r="Y20" s="672"/>
      <c r="Z20" s="672"/>
      <c r="AA20" s="672"/>
      <c r="AB20" s="672"/>
      <c r="AC20" s="672"/>
      <c r="AD20" s="673"/>
    </row>
    <row r="21" spans="3:30">
      <c r="C21" s="238"/>
      <c r="W21" s="674" t="s">
        <v>985</v>
      </c>
      <c r="X21" s="675"/>
      <c r="Y21" s="675"/>
      <c r="Z21" s="676"/>
      <c r="AA21" s="677" t="s">
        <v>986</v>
      </c>
      <c r="AB21" s="678"/>
      <c r="AC21" s="678"/>
      <c r="AD21" s="679"/>
    </row>
    <row r="22" spans="3:30">
      <c r="C22" s="238"/>
      <c r="W22" s="680" t="s">
        <v>1637</v>
      </c>
      <c r="X22" s="681"/>
      <c r="Y22" s="496">
        <v>3</v>
      </c>
      <c r="Z22" s="503"/>
      <c r="AA22" s="682"/>
      <c r="AB22" s="683"/>
      <c r="AC22" s="248"/>
      <c r="AD22" s="249"/>
    </row>
    <row r="23" spans="3:30">
      <c r="C23" s="238"/>
      <c r="W23" s="680" t="s">
        <v>1638</v>
      </c>
      <c r="X23" s="681"/>
      <c r="Y23" s="496">
        <v>2</v>
      </c>
      <c r="Z23" s="503"/>
      <c r="AA23" s="684"/>
      <c r="AB23" s="685"/>
      <c r="AC23" s="248"/>
      <c r="AD23" s="249"/>
    </row>
    <row r="24" spans="3:30">
      <c r="C24" s="238"/>
      <c r="W24" s="690" t="s">
        <v>1621</v>
      </c>
      <c r="X24" s="691"/>
      <c r="Y24" s="246">
        <v>3</v>
      </c>
      <c r="Z24" s="247"/>
      <c r="AA24" s="692"/>
      <c r="AB24" s="693"/>
      <c r="AC24" s="248"/>
      <c r="AD24" s="249"/>
    </row>
    <row r="25" spans="3:30">
      <c r="C25" s="238"/>
      <c r="W25" s="690" t="s">
        <v>1640</v>
      </c>
      <c r="X25" s="691"/>
      <c r="Y25" s="246">
        <v>1</v>
      </c>
      <c r="Z25" s="247"/>
      <c r="AA25" s="684"/>
      <c r="AB25" s="685"/>
      <c r="AC25" s="248"/>
      <c r="AD25" s="249"/>
    </row>
    <row r="26" spans="3:30">
      <c r="C26" s="238"/>
      <c r="W26" s="485" t="s">
        <v>1622</v>
      </c>
      <c r="X26" s="486"/>
      <c r="Y26" s="246">
        <v>1</v>
      </c>
      <c r="Z26" s="247"/>
      <c r="AA26" s="684"/>
      <c r="AB26" s="685"/>
      <c r="AC26" s="248"/>
      <c r="AD26" s="249"/>
    </row>
    <row r="27" spans="3:30">
      <c r="C27" s="238"/>
      <c r="W27" s="485" t="s">
        <v>1641</v>
      </c>
      <c r="X27" s="486"/>
      <c r="Y27" s="246">
        <v>1</v>
      </c>
      <c r="Z27" s="247"/>
      <c r="AA27" s="688"/>
      <c r="AB27" s="689"/>
      <c r="AC27" s="248"/>
      <c r="AD27" s="249"/>
    </row>
    <row r="28" spans="3:30">
      <c r="C28" s="238"/>
      <c r="W28" s="485" t="s">
        <v>1634</v>
      </c>
      <c r="X28" s="486"/>
      <c r="Y28" s="246">
        <v>2</v>
      </c>
      <c r="Z28" s="247"/>
      <c r="AA28" s="688"/>
      <c r="AB28" s="689"/>
      <c r="AC28" s="248"/>
      <c r="AD28" s="249"/>
    </row>
    <row r="29" spans="3:30">
      <c r="C29" s="238"/>
      <c r="W29" s="525" t="s">
        <v>1623</v>
      </c>
      <c r="X29" s="487"/>
      <c r="Y29" s="246">
        <v>4</v>
      </c>
      <c r="Z29" s="247"/>
      <c r="AA29" s="688"/>
      <c r="AB29" s="689"/>
      <c r="AC29" s="248"/>
      <c r="AD29" s="249"/>
    </row>
    <row r="30" spans="3:30" ht="11.25" customHeight="1">
      <c r="C30" s="238"/>
      <c r="W30" s="485" t="s">
        <v>1627</v>
      </c>
      <c r="X30" s="486"/>
      <c r="Y30" s="246">
        <v>2</v>
      </c>
      <c r="Z30" s="247"/>
      <c r="AA30" s="688"/>
      <c r="AB30" s="689"/>
      <c r="AC30" s="248"/>
      <c r="AD30" s="249"/>
    </row>
    <row r="31" spans="3:30">
      <c r="C31" s="238"/>
      <c r="U31" s="250"/>
      <c r="W31" s="485" t="s">
        <v>1639</v>
      </c>
      <c r="X31" s="486"/>
      <c r="Y31" s="246">
        <v>1</v>
      </c>
      <c r="Z31" s="247"/>
      <c r="AA31" s="688"/>
      <c r="AB31" s="689"/>
      <c r="AC31" s="248"/>
      <c r="AD31" s="249"/>
    </row>
    <row r="32" spans="3:30">
      <c r="C32" s="238"/>
      <c r="U32" s="250"/>
      <c r="W32" s="485" t="s">
        <v>1632</v>
      </c>
      <c r="X32" s="486"/>
      <c r="Y32" s="246">
        <v>2</v>
      </c>
      <c r="Z32" s="247"/>
      <c r="AA32" s="688"/>
      <c r="AB32" s="689"/>
      <c r="AC32" s="248"/>
      <c r="AD32" s="249"/>
    </row>
    <row r="33" spans="3:30">
      <c r="C33" s="238"/>
      <c r="W33" s="485" t="s">
        <v>1633</v>
      </c>
      <c r="X33" s="486"/>
      <c r="Y33" s="246">
        <v>2</v>
      </c>
      <c r="Z33" s="247"/>
      <c r="AA33" s="688"/>
      <c r="AB33" s="689"/>
      <c r="AC33" s="248"/>
      <c r="AD33" s="249"/>
    </row>
    <row r="34" spans="3:30">
      <c r="C34" s="238"/>
      <c r="W34" s="485" t="s">
        <v>1642</v>
      </c>
      <c r="X34" s="486"/>
      <c r="Y34" s="246">
        <v>1</v>
      </c>
      <c r="Z34" s="247"/>
      <c r="AA34" s="688"/>
      <c r="AB34" s="689"/>
      <c r="AC34" s="248"/>
      <c r="AD34" s="249"/>
    </row>
    <row r="35" spans="3:30">
      <c r="C35" s="238"/>
      <c r="W35" s="694" t="s">
        <v>1643</v>
      </c>
      <c r="X35" s="695"/>
      <c r="Y35" s="246">
        <v>720</v>
      </c>
      <c r="Z35" s="247"/>
      <c r="AA35" s="688"/>
      <c r="AB35" s="689"/>
      <c r="AC35" s="248"/>
      <c r="AD35" s="249"/>
    </row>
    <row r="36" spans="3:30">
      <c r="C36" s="238"/>
      <c r="W36" s="694"/>
      <c r="X36" s="695"/>
      <c r="Y36" s="246"/>
      <c r="Z36" s="251"/>
      <c r="AA36" s="696"/>
      <c r="AB36" s="689"/>
      <c r="AC36" s="248"/>
      <c r="AD36" s="249"/>
    </row>
    <row r="37" spans="3:30" ht="12.75" customHeight="1">
      <c r="C37" s="238"/>
      <c r="W37" s="697"/>
      <c r="X37" s="698"/>
      <c r="Y37" s="246"/>
      <c r="Z37" s="251"/>
      <c r="AA37" s="699"/>
      <c r="AB37" s="700"/>
      <c r="AC37" s="252"/>
      <c r="AD37" s="253"/>
    </row>
    <row r="38" spans="3:30" ht="12.75" customHeight="1">
      <c r="C38" s="238"/>
      <c r="W38" s="697"/>
      <c r="X38" s="698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97"/>
      <c r="X39" s="698"/>
      <c r="Y39" s="254"/>
      <c r="Z39" s="257"/>
      <c r="AA39" s="701"/>
      <c r="AB39" s="702"/>
      <c r="AC39" s="252"/>
      <c r="AD39" s="253"/>
    </row>
    <row r="40" spans="3:30" ht="12" customHeight="1">
      <c r="C40" s="238"/>
      <c r="W40" s="706"/>
      <c r="X40" s="70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708"/>
      <c r="X41" s="709"/>
      <c r="Y41" s="260"/>
      <c r="Z41" s="261"/>
      <c r="AA41" s="701"/>
      <c r="AB41" s="702"/>
      <c r="AC41" s="252"/>
      <c r="AD41" s="253"/>
    </row>
    <row r="42" spans="3:30" ht="12" customHeight="1">
      <c r="C42" s="238"/>
      <c r="W42" s="710" t="s">
        <v>1459</v>
      </c>
      <c r="X42" s="711"/>
      <c r="Y42" s="711"/>
      <c r="Z42" s="711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703" t="s">
        <v>11</v>
      </c>
      <c r="X44" s="704"/>
      <c r="Y44" s="669"/>
      <c r="Z44" s="669"/>
      <c r="AA44" s="669"/>
      <c r="AB44" s="669"/>
      <c r="AC44" s="669"/>
      <c r="AD44" s="670"/>
    </row>
    <row r="45" spans="3:30" ht="14.25">
      <c r="C45" s="268"/>
      <c r="D45" s="269"/>
      <c r="E45" s="269"/>
      <c r="F45" s="269"/>
      <c r="G45" s="269"/>
      <c r="H45" s="269"/>
      <c r="I45" s="269"/>
      <c r="J45" s="269"/>
      <c r="K45" s="524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703" t="s">
        <v>984</v>
      </c>
      <c r="X45" s="704"/>
      <c r="Y45" s="669">
        <v>1</v>
      </c>
      <c r="Z45" s="669"/>
      <c r="AA45" s="669"/>
      <c r="AB45" s="669" t="s">
        <v>12</v>
      </c>
      <c r="AC45" s="66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703" t="s">
        <v>15</v>
      </c>
      <c r="X46" s="704"/>
      <c r="Y46" s="705"/>
      <c r="Z46" s="705"/>
      <c r="AA46" s="705"/>
      <c r="AB46" s="669" t="s">
        <v>16</v>
      </c>
      <c r="AC46" s="66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16" t="s">
        <v>17</v>
      </c>
      <c r="X47" s="716"/>
      <c r="Y47" s="716"/>
      <c r="Z47" s="716"/>
      <c r="AA47" s="716"/>
      <c r="AB47" s="716"/>
      <c r="AC47" s="716"/>
      <c r="AD47" s="71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18" t="str">
        <f>RAB!G6</f>
        <v>AGR IMAM SISWANTO DS. GEMPOL DENOK</v>
      </c>
      <c r="X48" s="718"/>
      <c r="Y48" s="718"/>
      <c r="Z48" s="718"/>
      <c r="AA48" s="718"/>
      <c r="AB48" s="718"/>
      <c r="AC48" s="718"/>
      <c r="AD48" s="71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18"/>
      <c r="X49" s="718"/>
      <c r="Y49" s="718"/>
      <c r="Z49" s="718"/>
      <c r="AA49" s="718"/>
      <c r="AB49" s="718"/>
      <c r="AC49" s="718"/>
      <c r="AD49" s="71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18"/>
      <c r="X50" s="718"/>
      <c r="Y50" s="718"/>
      <c r="Z50" s="718"/>
      <c r="AA50" s="718"/>
      <c r="AB50" s="718"/>
      <c r="AC50" s="718"/>
      <c r="AD50" s="719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20"/>
      <c r="X51" s="720"/>
      <c r="Y51" s="720"/>
      <c r="Z51" s="720"/>
      <c r="AA51" s="720"/>
      <c r="AB51" s="720"/>
      <c r="AC51" s="720"/>
      <c r="AD51" s="721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703" t="s">
        <v>18</v>
      </c>
      <c r="X52" s="704"/>
      <c r="Y52" s="669" t="s">
        <v>1616</v>
      </c>
      <c r="Z52" s="669"/>
      <c r="AA52" s="669"/>
      <c r="AB52" s="669"/>
      <c r="AC52" s="669"/>
      <c r="AD52" s="67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703" t="s">
        <v>19</v>
      </c>
      <c r="X53" s="704"/>
      <c r="Y53" s="669" t="s">
        <v>1617</v>
      </c>
      <c r="Z53" s="669"/>
      <c r="AA53" s="669"/>
      <c r="AB53" s="669"/>
      <c r="AC53" s="669"/>
      <c r="AD53" s="67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703" t="s">
        <v>20</v>
      </c>
      <c r="X54" s="704"/>
      <c r="Y54" s="712" t="s">
        <v>1618</v>
      </c>
      <c r="Z54" s="712"/>
      <c r="AA54" s="712"/>
      <c r="AB54" s="669"/>
      <c r="AC54" s="669"/>
      <c r="AD54" s="67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13" t="s">
        <v>21</v>
      </c>
      <c r="X55" s="714"/>
      <c r="Y55" s="712" t="s">
        <v>1554</v>
      </c>
      <c r="Z55" s="712"/>
      <c r="AA55" s="712"/>
      <c r="AB55" s="712"/>
      <c r="AC55" s="712"/>
      <c r="AD55" s="715"/>
    </row>
    <row r="56" spans="3:30" ht="12.75" thickBot="1"/>
    <row r="57" spans="3:30" ht="12.75" customHeight="1">
      <c r="C57" s="236"/>
      <c r="D57" s="237"/>
      <c r="E57" s="237"/>
      <c r="F57" s="237"/>
      <c r="G57" s="237"/>
      <c r="H57" s="237"/>
      <c r="I57" s="237"/>
      <c r="J57" s="237"/>
      <c r="K57" s="237"/>
      <c r="L57" s="237"/>
      <c r="M57" s="237"/>
      <c r="N57" s="237"/>
      <c r="O57" s="237"/>
      <c r="P57" s="237"/>
      <c r="Q57" s="237"/>
      <c r="R57" s="237"/>
      <c r="S57" s="237"/>
      <c r="T57" s="237"/>
      <c r="U57" s="237"/>
      <c r="V57" s="237"/>
      <c r="W57" s="663" t="s">
        <v>1439</v>
      </c>
      <c r="X57" s="664"/>
      <c r="Y57" s="664"/>
      <c r="Z57" s="664"/>
      <c r="AA57" s="664"/>
      <c r="AB57" s="664"/>
      <c r="AC57" s="664"/>
      <c r="AD57" s="665"/>
    </row>
    <row r="58" spans="3:30">
      <c r="C58" s="238"/>
      <c r="W58" s="666"/>
      <c r="X58" s="667"/>
      <c r="Y58" s="667"/>
      <c r="Z58" s="667"/>
      <c r="AA58" s="667"/>
      <c r="AB58" s="667"/>
      <c r="AC58" s="667"/>
      <c r="AD58" s="668"/>
    </row>
    <row r="59" spans="3:30">
      <c r="C59" s="238"/>
      <c r="W59" s="239" t="s">
        <v>987</v>
      </c>
      <c r="AD59" s="240"/>
    </row>
    <row r="60" spans="3:30">
      <c r="C60" s="238"/>
      <c r="W60" s="241" t="s">
        <v>991</v>
      </c>
      <c r="X60" s="669" t="s">
        <v>990</v>
      </c>
      <c r="Y60" s="669"/>
      <c r="Z60" s="669"/>
      <c r="AA60" s="669" t="s">
        <v>988</v>
      </c>
      <c r="AB60" s="669"/>
      <c r="AC60" s="669" t="s">
        <v>989</v>
      </c>
      <c r="AD60" s="670"/>
    </row>
    <row r="61" spans="3:30">
      <c r="C61" s="238"/>
      <c r="W61" s="241">
        <v>1</v>
      </c>
      <c r="X61" s="669" t="s">
        <v>993</v>
      </c>
      <c r="Y61" s="669"/>
      <c r="Z61" s="669"/>
      <c r="AA61" s="669"/>
      <c r="AB61" s="669"/>
      <c r="AC61" s="669"/>
      <c r="AD61" s="670"/>
    </row>
    <row r="62" spans="3:30">
      <c r="C62" s="238"/>
      <c r="E62" s="494" t="str">
        <f>PETA!$C$6</f>
        <v>KOORDINAT : -6.9392797,110.7497741</v>
      </c>
      <c r="W62" s="241">
        <v>2</v>
      </c>
      <c r="X62" s="669" t="s">
        <v>994</v>
      </c>
      <c r="Y62" s="669"/>
      <c r="Z62" s="669"/>
      <c r="AA62" s="669"/>
      <c r="AB62" s="669"/>
      <c r="AC62" s="669"/>
      <c r="AD62" s="670"/>
    </row>
    <row r="63" spans="3:30">
      <c r="C63" s="238"/>
      <c r="W63" s="241">
        <v>3</v>
      </c>
      <c r="X63" s="669" t="s">
        <v>995</v>
      </c>
      <c r="Y63" s="669"/>
      <c r="Z63" s="669"/>
      <c r="AA63" s="669"/>
      <c r="AB63" s="669"/>
      <c r="AC63" s="669"/>
      <c r="AD63" s="670"/>
    </row>
    <row r="64" spans="3:30" ht="12.75">
      <c r="C64" s="238"/>
      <c r="O64" s="523"/>
      <c r="W64" s="241">
        <v>4</v>
      </c>
      <c r="X64" s="669" t="s">
        <v>996</v>
      </c>
      <c r="Y64" s="669"/>
      <c r="Z64" s="669"/>
      <c r="AA64" s="669"/>
      <c r="AB64" s="669"/>
      <c r="AC64" s="669"/>
      <c r="AD64" s="670"/>
    </row>
    <row r="65" spans="3:30">
      <c r="C65" s="238"/>
      <c r="W65" s="241">
        <v>5</v>
      </c>
      <c r="X65" s="669" t="s">
        <v>997</v>
      </c>
      <c r="Y65" s="669"/>
      <c r="Z65" s="669"/>
      <c r="AA65" s="669"/>
      <c r="AB65" s="669"/>
      <c r="AC65" s="669"/>
      <c r="AD65" s="670"/>
    </row>
    <row r="66" spans="3:30">
      <c r="C66" s="238"/>
      <c r="W66" s="241">
        <v>6</v>
      </c>
      <c r="X66" s="669" t="s">
        <v>998</v>
      </c>
      <c r="Y66" s="669"/>
      <c r="Z66" s="669"/>
      <c r="AA66" s="669"/>
      <c r="AB66" s="669"/>
      <c r="AC66" s="669"/>
      <c r="AD66" s="670"/>
    </row>
    <row r="67" spans="3:30">
      <c r="C67" s="238"/>
      <c r="W67" s="241">
        <v>7</v>
      </c>
      <c r="X67" s="669" t="s">
        <v>999</v>
      </c>
      <c r="Y67" s="669"/>
      <c r="Z67" s="669"/>
      <c r="AA67" s="669"/>
      <c r="AB67" s="669"/>
      <c r="AC67" s="669"/>
      <c r="AD67" s="670"/>
    </row>
    <row r="68" spans="3:30" ht="12.75" customHeight="1">
      <c r="C68" s="238"/>
      <c r="W68" s="241">
        <v>8</v>
      </c>
      <c r="X68" s="669" t="s">
        <v>1000</v>
      </c>
      <c r="Y68" s="669"/>
      <c r="Z68" s="669"/>
      <c r="AA68" s="669"/>
      <c r="AB68" s="669"/>
      <c r="AC68" s="669"/>
      <c r="AD68" s="670"/>
    </row>
    <row r="69" spans="3:30">
      <c r="C69" s="238"/>
      <c r="W69" s="241">
        <v>9</v>
      </c>
      <c r="X69" s="669" t="s">
        <v>1001</v>
      </c>
      <c r="Y69" s="669"/>
      <c r="Z69" s="669"/>
      <c r="AA69" s="669"/>
      <c r="AB69" s="669"/>
      <c r="AC69" s="669"/>
      <c r="AD69" s="670"/>
    </row>
    <row r="70" spans="3:30">
      <c r="C70" s="238"/>
      <c r="W70" s="241">
        <v>10</v>
      </c>
      <c r="X70" s="669" t="s">
        <v>1010</v>
      </c>
      <c r="Y70" s="669"/>
      <c r="Z70" s="669"/>
      <c r="AA70" s="669"/>
      <c r="AB70" s="669"/>
      <c r="AC70" s="669"/>
      <c r="AD70" s="670"/>
    </row>
    <row r="71" spans="3:30">
      <c r="C71" s="238"/>
      <c r="W71" s="241">
        <v>11</v>
      </c>
      <c r="X71" s="669" t="s">
        <v>1458</v>
      </c>
      <c r="Y71" s="669"/>
      <c r="Z71" s="669"/>
      <c r="AA71" s="669"/>
      <c r="AB71" s="669"/>
      <c r="AC71" s="669"/>
      <c r="AD71" s="670"/>
    </row>
    <row r="72" spans="3:30">
      <c r="C72" s="238"/>
      <c r="S72" s="242"/>
      <c r="W72" s="241">
        <v>12</v>
      </c>
      <c r="X72" s="669" t="s">
        <v>1011</v>
      </c>
      <c r="Y72" s="669"/>
      <c r="Z72" s="669"/>
      <c r="AA72" s="669"/>
      <c r="AB72" s="669"/>
      <c r="AC72" s="669"/>
      <c r="AD72" s="670"/>
    </row>
    <row r="73" spans="3:30">
      <c r="C73" s="243"/>
      <c r="D73" s="244"/>
      <c r="E73" s="244"/>
      <c r="W73" s="241">
        <v>13</v>
      </c>
      <c r="X73" s="669"/>
      <c r="Y73" s="669"/>
      <c r="Z73" s="669"/>
      <c r="AA73" s="669"/>
      <c r="AB73" s="669"/>
      <c r="AC73" s="669"/>
      <c r="AD73" s="670"/>
    </row>
    <row r="74" spans="3:30">
      <c r="C74" s="238"/>
      <c r="W74" s="245"/>
      <c r="X74" s="686"/>
      <c r="Y74" s="686"/>
      <c r="Z74" s="686"/>
      <c r="AA74" s="686"/>
      <c r="AB74" s="686"/>
      <c r="AC74" s="686"/>
      <c r="AD74" s="687"/>
    </row>
    <row r="75" spans="3:30">
      <c r="C75" s="238"/>
      <c r="W75" s="671" t="s">
        <v>992</v>
      </c>
      <c r="X75" s="672"/>
      <c r="Y75" s="672"/>
      <c r="Z75" s="672"/>
      <c r="AA75" s="672"/>
      <c r="AB75" s="672"/>
      <c r="AC75" s="672"/>
      <c r="AD75" s="673"/>
    </row>
    <row r="76" spans="3:30">
      <c r="C76" s="238"/>
      <c r="W76" s="674" t="s">
        <v>985</v>
      </c>
      <c r="X76" s="675"/>
      <c r="Y76" s="675"/>
      <c r="Z76" s="676"/>
      <c r="AA76" s="677" t="s">
        <v>986</v>
      </c>
      <c r="AB76" s="678"/>
      <c r="AC76" s="678"/>
      <c r="AD76" s="679"/>
    </row>
    <row r="77" spans="3:30">
      <c r="C77" s="238"/>
      <c r="W77" s="680" t="s">
        <v>1637</v>
      </c>
      <c r="X77" s="681"/>
      <c r="Y77" s="496">
        <v>19</v>
      </c>
      <c r="Z77" s="503"/>
      <c r="AA77" s="682"/>
      <c r="AB77" s="683"/>
      <c r="AC77" s="248"/>
      <c r="AD77" s="249"/>
    </row>
    <row r="78" spans="3:30">
      <c r="C78" s="238"/>
      <c r="W78" s="680" t="s">
        <v>1638</v>
      </c>
      <c r="X78" s="681"/>
      <c r="Y78" s="496">
        <v>2</v>
      </c>
      <c r="Z78" s="503"/>
      <c r="AA78" s="684"/>
      <c r="AB78" s="685"/>
      <c r="AC78" s="248"/>
      <c r="AD78" s="249"/>
    </row>
    <row r="79" spans="3:30">
      <c r="C79" s="238"/>
      <c r="W79" s="690" t="s">
        <v>1621</v>
      </c>
      <c r="X79" s="691"/>
      <c r="Y79" s="246">
        <v>16</v>
      </c>
      <c r="Z79" s="247"/>
      <c r="AA79" s="692"/>
      <c r="AB79" s="693"/>
      <c r="AC79" s="248"/>
      <c r="AD79" s="249"/>
    </row>
    <row r="80" spans="3:30">
      <c r="C80" s="238"/>
      <c r="W80" s="690" t="s">
        <v>1640</v>
      </c>
      <c r="X80" s="691"/>
      <c r="Y80" s="246">
        <v>2</v>
      </c>
      <c r="Z80" s="247"/>
      <c r="AA80" s="684"/>
      <c r="AB80" s="685"/>
      <c r="AC80" s="248"/>
      <c r="AD80" s="249"/>
    </row>
    <row r="81" spans="3:30">
      <c r="C81" s="238"/>
      <c r="W81" s="485" t="s">
        <v>1644</v>
      </c>
      <c r="X81" s="486"/>
      <c r="Y81" s="246">
        <v>2</v>
      </c>
      <c r="Z81" s="247"/>
      <c r="AA81" s="684"/>
      <c r="AB81" s="685"/>
      <c r="AC81" s="248"/>
      <c r="AD81" s="249"/>
    </row>
    <row r="82" spans="3:30">
      <c r="C82" s="238"/>
      <c r="W82" s="485" t="s">
        <v>1622</v>
      </c>
      <c r="X82" s="486"/>
      <c r="Y82" s="246">
        <v>2</v>
      </c>
      <c r="Z82" s="247"/>
      <c r="AA82" s="688"/>
      <c r="AB82" s="689"/>
      <c r="AC82" s="248"/>
      <c r="AD82" s="249"/>
    </row>
    <row r="83" spans="3:30">
      <c r="C83" s="238"/>
      <c r="W83" s="485" t="s">
        <v>1636</v>
      </c>
      <c r="X83" s="486"/>
      <c r="Y83" s="246">
        <v>3</v>
      </c>
      <c r="Z83" s="247"/>
      <c r="AA83" s="688"/>
      <c r="AB83" s="689"/>
      <c r="AC83" s="248"/>
      <c r="AD83" s="249"/>
    </row>
    <row r="84" spans="3:30">
      <c r="C84" s="238"/>
      <c r="W84" s="485" t="s">
        <v>1641</v>
      </c>
      <c r="X84" s="486"/>
      <c r="Y84" s="246">
        <v>2</v>
      </c>
      <c r="Z84" s="247"/>
      <c r="AA84" s="688"/>
      <c r="AB84" s="689"/>
      <c r="AC84" s="248"/>
      <c r="AD84" s="249"/>
    </row>
    <row r="85" spans="3:30" ht="11.25" customHeight="1">
      <c r="C85" s="238"/>
      <c r="W85" s="485" t="s">
        <v>1634</v>
      </c>
      <c r="X85" s="486"/>
      <c r="Y85" s="246">
        <v>4</v>
      </c>
      <c r="Z85" s="247"/>
      <c r="AA85" s="688"/>
      <c r="AB85" s="689"/>
      <c r="AC85" s="248"/>
      <c r="AD85" s="249"/>
    </row>
    <row r="86" spans="3:30">
      <c r="C86" s="238"/>
      <c r="U86" s="250"/>
      <c r="W86" s="525" t="s">
        <v>1623</v>
      </c>
      <c r="X86" s="487"/>
      <c r="Y86" s="246">
        <v>17</v>
      </c>
      <c r="Z86" s="247"/>
      <c r="AA86" s="688"/>
      <c r="AB86" s="689"/>
      <c r="AC86" s="248"/>
      <c r="AD86" s="249"/>
    </row>
    <row r="87" spans="3:30">
      <c r="C87" s="238"/>
      <c r="U87" s="250"/>
      <c r="W87" s="485" t="s">
        <v>1627</v>
      </c>
      <c r="X87" s="486"/>
      <c r="Y87" s="246">
        <v>2</v>
      </c>
      <c r="Z87" s="247"/>
      <c r="AA87" s="688"/>
      <c r="AB87" s="689"/>
      <c r="AC87" s="248"/>
      <c r="AD87" s="249"/>
    </row>
    <row r="88" spans="3:30">
      <c r="C88" s="238"/>
      <c r="W88" s="485" t="s">
        <v>1639</v>
      </c>
      <c r="X88" s="486"/>
      <c r="Y88" s="246">
        <v>1</v>
      </c>
      <c r="Z88" s="247"/>
      <c r="AA88" s="688"/>
      <c r="AB88" s="689"/>
      <c r="AC88" s="248"/>
      <c r="AD88" s="249"/>
    </row>
    <row r="89" spans="3:30">
      <c r="C89" s="238"/>
      <c r="W89" s="485" t="s">
        <v>1632</v>
      </c>
      <c r="X89" s="486"/>
      <c r="Y89" s="246">
        <v>4</v>
      </c>
      <c r="Z89" s="247"/>
      <c r="AA89" s="688"/>
      <c r="AB89" s="689"/>
      <c r="AC89" s="248"/>
      <c r="AD89" s="249"/>
    </row>
    <row r="90" spans="3:30">
      <c r="C90" s="238"/>
      <c r="W90" s="485" t="s">
        <v>1633</v>
      </c>
      <c r="X90" s="486"/>
      <c r="Y90" s="246">
        <v>4</v>
      </c>
      <c r="Z90" s="247"/>
      <c r="AA90" s="688"/>
      <c r="AB90" s="689"/>
      <c r="AC90" s="248"/>
      <c r="AD90" s="249"/>
    </row>
    <row r="91" spans="3:30">
      <c r="C91" s="238"/>
      <c r="W91" s="485" t="s">
        <v>1645</v>
      </c>
      <c r="X91" s="486"/>
      <c r="Y91" s="246">
        <v>1</v>
      </c>
      <c r="Z91" s="251"/>
      <c r="AA91" s="696"/>
      <c r="AB91" s="689"/>
      <c r="AC91" s="248"/>
      <c r="AD91" s="249"/>
    </row>
    <row r="92" spans="3:30" ht="12.75" customHeight="1">
      <c r="C92" s="238"/>
      <c r="W92" s="534" t="s">
        <v>1646</v>
      </c>
      <c r="X92" s="535"/>
      <c r="Y92" s="246">
        <f>(380+430+80)*4</f>
        <v>3560</v>
      </c>
      <c r="Z92" s="251"/>
      <c r="AA92" s="699"/>
      <c r="AB92" s="700"/>
      <c r="AC92" s="252"/>
      <c r="AD92" s="253"/>
    </row>
    <row r="93" spans="3:30" ht="12.75" customHeight="1">
      <c r="C93" s="238"/>
      <c r="W93" s="697" t="s">
        <v>1647</v>
      </c>
      <c r="X93" s="698"/>
      <c r="Y93" s="254"/>
      <c r="Z93" s="251"/>
      <c r="AA93" s="255"/>
      <c r="AB93" s="256"/>
      <c r="AC93" s="252"/>
      <c r="AD93" s="253"/>
    </row>
    <row r="94" spans="3:30" ht="12" customHeight="1">
      <c r="C94" s="238"/>
      <c r="W94" s="697"/>
      <c r="X94" s="698"/>
      <c r="Y94" s="254"/>
      <c r="Z94" s="257"/>
      <c r="AA94" s="701"/>
      <c r="AB94" s="702"/>
      <c r="AC94" s="252"/>
      <c r="AD94" s="253"/>
    </row>
    <row r="95" spans="3:30" ht="12" customHeight="1">
      <c r="C95" s="238"/>
      <c r="W95" s="706"/>
      <c r="X95" s="707"/>
      <c r="Y95" s="254"/>
      <c r="Z95" s="257"/>
      <c r="AA95" s="258"/>
      <c r="AB95" s="259"/>
      <c r="AC95" s="252"/>
      <c r="AD95" s="253"/>
    </row>
    <row r="96" spans="3:30" ht="12" customHeight="1">
      <c r="C96" s="238"/>
      <c r="W96" s="708"/>
      <c r="X96" s="709"/>
      <c r="Y96" s="260"/>
      <c r="Z96" s="261"/>
      <c r="AA96" s="701"/>
      <c r="AB96" s="702"/>
      <c r="AC96" s="252"/>
      <c r="AD96" s="253"/>
    </row>
    <row r="97" spans="3:30" ht="12" customHeight="1">
      <c r="C97" s="238"/>
      <c r="W97" s="710" t="s">
        <v>1459</v>
      </c>
      <c r="X97" s="711"/>
      <c r="Y97" s="711"/>
      <c r="Z97" s="711"/>
      <c r="AA97" s="262"/>
      <c r="AB97" s="262"/>
      <c r="AC97" s="262"/>
      <c r="AD97" s="263"/>
    </row>
    <row r="98" spans="3:30" ht="12" customHeight="1">
      <c r="C98" s="238"/>
      <c r="V98" s="264"/>
      <c r="W98" s="265"/>
      <c r="X98" s="266"/>
      <c r="Y98" s="266"/>
      <c r="Z98" s="266"/>
      <c r="AA98" s="266"/>
      <c r="AB98" s="266"/>
      <c r="AC98" s="266"/>
      <c r="AD98" s="267"/>
    </row>
    <row r="99" spans="3:30">
      <c r="C99" s="268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269"/>
      <c r="S99" s="269"/>
      <c r="T99" s="269"/>
      <c r="U99" s="269"/>
      <c r="V99" s="264"/>
      <c r="W99" s="703" t="s">
        <v>11</v>
      </c>
      <c r="X99" s="704"/>
      <c r="Y99" s="669"/>
      <c r="Z99" s="669"/>
      <c r="AA99" s="669"/>
      <c r="AB99" s="669"/>
      <c r="AC99" s="669"/>
      <c r="AD99" s="670"/>
    </row>
    <row r="100" spans="3:30" ht="14.25">
      <c r="C100" s="268"/>
      <c r="D100" s="269"/>
      <c r="E100" s="269"/>
      <c r="F100" s="269"/>
      <c r="G100" s="269"/>
      <c r="H100" s="269"/>
      <c r="I100" s="269"/>
      <c r="J100" s="269"/>
      <c r="K100" s="524"/>
      <c r="L100" s="269"/>
      <c r="M100" s="269"/>
      <c r="N100" s="269"/>
      <c r="O100" s="269"/>
      <c r="P100" s="269"/>
      <c r="Q100" s="269"/>
      <c r="R100" s="269"/>
      <c r="S100" s="269"/>
      <c r="T100" s="269"/>
      <c r="U100" s="269"/>
      <c r="V100" s="264"/>
      <c r="W100" s="703" t="s">
        <v>984</v>
      </c>
      <c r="X100" s="704"/>
      <c r="Y100" s="669">
        <v>1</v>
      </c>
      <c r="Z100" s="669"/>
      <c r="AA100" s="669"/>
      <c r="AB100" s="669" t="s">
        <v>12</v>
      </c>
      <c r="AC100" s="669"/>
      <c r="AD100" s="270" t="s">
        <v>13</v>
      </c>
    </row>
    <row r="101" spans="3:30">
      <c r="C101" s="268"/>
      <c r="D101" s="269"/>
      <c r="E101" s="269"/>
      <c r="F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269"/>
      <c r="S101" s="269"/>
      <c r="T101" s="269"/>
      <c r="U101" s="269"/>
      <c r="V101" s="264"/>
      <c r="W101" s="703" t="s">
        <v>15</v>
      </c>
      <c r="X101" s="704"/>
      <c r="Y101" s="705"/>
      <c r="Z101" s="705"/>
      <c r="AA101" s="705"/>
      <c r="AB101" s="669" t="s">
        <v>16</v>
      </c>
      <c r="AC101" s="669"/>
      <c r="AD101" s="271"/>
    </row>
    <row r="102" spans="3:30">
      <c r="C102" s="268"/>
      <c r="D102" s="269"/>
      <c r="E102" s="269"/>
      <c r="F102" s="269"/>
      <c r="G102" s="269"/>
      <c r="H102" s="269"/>
      <c r="I102" s="269"/>
      <c r="J102" s="269"/>
      <c r="K102" s="269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64"/>
      <c r="W102" s="716" t="s">
        <v>17</v>
      </c>
      <c r="X102" s="716"/>
      <c r="Y102" s="716"/>
      <c r="Z102" s="716"/>
      <c r="AA102" s="716"/>
      <c r="AB102" s="716"/>
      <c r="AC102" s="716"/>
      <c r="AD102" s="717"/>
    </row>
    <row r="103" spans="3:30" ht="12.75" customHeight="1">
      <c r="C103" s="268"/>
      <c r="D103" s="269"/>
      <c r="E103" s="269"/>
      <c r="F103" s="269"/>
      <c r="G103" s="269"/>
      <c r="H103" s="269"/>
      <c r="I103" s="269"/>
      <c r="J103" s="269"/>
      <c r="K103" s="269"/>
      <c r="L103" s="269"/>
      <c r="M103" s="269"/>
      <c r="N103" s="269"/>
      <c r="O103" s="269"/>
      <c r="P103" s="269"/>
      <c r="Q103" s="269"/>
      <c r="R103" s="269"/>
      <c r="T103" s="269"/>
      <c r="U103" s="269"/>
      <c r="V103" s="264"/>
      <c r="W103" s="736" t="str">
        <f>RAB!G6</f>
        <v>AGR IMAM SISWANTO DS. GEMPOL DENOK</v>
      </c>
      <c r="X103" s="718"/>
      <c r="Y103" s="718"/>
      <c r="Z103" s="718"/>
      <c r="AA103" s="718"/>
      <c r="AB103" s="718"/>
      <c r="AC103" s="718"/>
      <c r="AD103" s="719"/>
    </row>
    <row r="104" spans="3:30" ht="12.75" customHeight="1">
      <c r="C104" s="268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269"/>
      <c r="T104" s="269"/>
      <c r="U104" s="269"/>
      <c r="V104" s="264"/>
      <c r="W104" s="736" t="str">
        <f>RAB!G7</f>
        <v>DS GEMPOLDENOK KEC. DEMPET</v>
      </c>
      <c r="X104" s="718"/>
      <c r="Y104" s="718"/>
      <c r="Z104" s="718"/>
      <c r="AA104" s="718"/>
      <c r="AB104" s="718"/>
      <c r="AC104" s="718"/>
      <c r="AD104" s="719"/>
    </row>
    <row r="105" spans="3:30">
      <c r="C105" s="268"/>
      <c r="D105" s="269"/>
      <c r="E105" s="269"/>
      <c r="F105" s="269"/>
      <c r="G105" s="269"/>
      <c r="H105" s="269"/>
      <c r="I105" s="269"/>
      <c r="J105" s="269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72"/>
      <c r="W105" s="732"/>
      <c r="X105" s="732"/>
      <c r="Y105" s="732"/>
      <c r="Z105" s="732"/>
      <c r="AA105" s="732"/>
      <c r="AB105" s="732"/>
      <c r="AC105" s="732"/>
      <c r="AD105" s="733"/>
    </row>
    <row r="106" spans="3:30" ht="19.5" customHeight="1">
      <c r="C106" s="268"/>
      <c r="D106" s="269"/>
      <c r="E106" s="269"/>
      <c r="F106" s="269"/>
      <c r="G106" s="269"/>
      <c r="H106" s="269"/>
      <c r="I106" s="269"/>
      <c r="J106" s="269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72"/>
      <c r="W106" s="734"/>
      <c r="X106" s="734"/>
      <c r="Y106" s="734"/>
      <c r="Z106" s="734"/>
      <c r="AA106" s="734"/>
      <c r="AB106" s="734"/>
      <c r="AC106" s="734"/>
      <c r="AD106" s="735"/>
    </row>
    <row r="107" spans="3:30">
      <c r="C107" s="268"/>
      <c r="D107" s="269"/>
      <c r="E107" s="269"/>
      <c r="F107" s="269"/>
      <c r="G107" s="269"/>
      <c r="H107" s="269"/>
      <c r="I107" s="269"/>
      <c r="J107" s="269"/>
      <c r="K107" s="269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64"/>
      <c r="W107" s="703" t="s">
        <v>18</v>
      </c>
      <c r="X107" s="704"/>
      <c r="Y107" s="669" t="s">
        <v>1616</v>
      </c>
      <c r="Z107" s="669"/>
      <c r="AA107" s="669"/>
      <c r="AB107" s="669"/>
      <c r="AC107" s="669"/>
      <c r="AD107" s="670"/>
    </row>
    <row r="108" spans="3:30">
      <c r="C108" s="268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V108" s="264"/>
      <c r="W108" s="703" t="s">
        <v>19</v>
      </c>
      <c r="X108" s="704"/>
      <c r="Y108" s="669" t="s">
        <v>1617</v>
      </c>
      <c r="Z108" s="669"/>
      <c r="AA108" s="669"/>
      <c r="AB108" s="669"/>
      <c r="AC108" s="669"/>
      <c r="AD108" s="670"/>
    </row>
    <row r="109" spans="3:30" ht="12.75" thickBot="1">
      <c r="C109" s="268"/>
      <c r="D109" s="269"/>
      <c r="E109" s="269"/>
      <c r="F109" s="269"/>
      <c r="G109" s="269"/>
      <c r="H109" s="269"/>
      <c r="I109" s="269"/>
      <c r="J109" s="269"/>
      <c r="K109" s="269"/>
      <c r="L109" s="269"/>
      <c r="M109" s="269"/>
      <c r="N109" s="269"/>
      <c r="O109" s="269"/>
      <c r="P109" s="269"/>
      <c r="Q109" s="269"/>
      <c r="R109" s="269"/>
      <c r="S109" s="269"/>
      <c r="T109" s="269"/>
      <c r="V109" s="264"/>
      <c r="W109" s="703" t="s">
        <v>20</v>
      </c>
      <c r="X109" s="704"/>
      <c r="Y109" s="712" t="s">
        <v>1618</v>
      </c>
      <c r="Z109" s="712"/>
      <c r="AA109" s="712"/>
      <c r="AB109" s="669"/>
      <c r="AC109" s="669"/>
      <c r="AD109" s="670"/>
    </row>
    <row r="110" spans="3:30" ht="12.75" thickBot="1">
      <c r="C110" s="273"/>
      <c r="D110" s="274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  <c r="S110" s="274"/>
      <c r="T110" s="274"/>
      <c r="U110" s="275"/>
      <c r="V110" s="276"/>
      <c r="W110" s="713" t="s">
        <v>21</v>
      </c>
      <c r="X110" s="714"/>
      <c r="Y110" s="712" t="s">
        <v>1554</v>
      </c>
      <c r="Z110" s="712"/>
      <c r="AA110" s="712"/>
      <c r="AB110" s="712"/>
      <c r="AC110" s="712"/>
      <c r="AD110" s="715"/>
    </row>
  </sheetData>
  <mergeCells count="200">
    <mergeCell ref="W109:X109"/>
    <mergeCell ref="Y109:AA109"/>
    <mergeCell ref="AB109:AD109"/>
    <mergeCell ref="W110:X110"/>
    <mergeCell ref="Y110:AA110"/>
    <mergeCell ref="AB110:AD110"/>
    <mergeCell ref="W103:AD103"/>
    <mergeCell ref="W104:AD104"/>
    <mergeCell ref="W101:X101"/>
    <mergeCell ref="Y101:AA101"/>
    <mergeCell ref="AB101:AC101"/>
    <mergeCell ref="W102:AD102"/>
    <mergeCell ref="W107:X107"/>
    <mergeCell ref="Y107:AA107"/>
    <mergeCell ref="AB107:AD107"/>
    <mergeCell ref="W108:X108"/>
    <mergeCell ref="Y108:AA108"/>
    <mergeCell ref="AB108:AD108"/>
    <mergeCell ref="W94:X94"/>
    <mergeCell ref="AA94:AB94"/>
    <mergeCell ref="W95:X95"/>
    <mergeCell ref="W96:X96"/>
    <mergeCell ref="AA96:AB96"/>
    <mergeCell ref="W97:Z97"/>
    <mergeCell ref="W99:X99"/>
    <mergeCell ref="Y99:AD99"/>
    <mergeCell ref="W100:X100"/>
    <mergeCell ref="Y100:AA100"/>
    <mergeCell ref="AB100:AC100"/>
    <mergeCell ref="AA88:AB88"/>
    <mergeCell ref="AA89:AB89"/>
    <mergeCell ref="AA90:AB90"/>
    <mergeCell ref="AA91:AB91"/>
    <mergeCell ref="AA92:AB92"/>
    <mergeCell ref="W93:X93"/>
    <mergeCell ref="W80:X80"/>
    <mergeCell ref="AA80:AB80"/>
    <mergeCell ref="AA81:AB81"/>
    <mergeCell ref="AA82:AB82"/>
    <mergeCell ref="AA83:AB83"/>
    <mergeCell ref="AA84:AB84"/>
    <mergeCell ref="AA85:AB85"/>
    <mergeCell ref="AA86:AB86"/>
    <mergeCell ref="AA87:AB87"/>
    <mergeCell ref="W75:AD75"/>
    <mergeCell ref="W76:Z76"/>
    <mergeCell ref="AA76:AD76"/>
    <mergeCell ref="W77:X77"/>
    <mergeCell ref="AA77:AB77"/>
    <mergeCell ref="W78:X78"/>
    <mergeCell ref="AA78:AB78"/>
    <mergeCell ref="W79:X79"/>
    <mergeCell ref="AA79:AB79"/>
    <mergeCell ref="X72:Z72"/>
    <mergeCell ref="AA72:AB72"/>
    <mergeCell ref="AC72:AD72"/>
    <mergeCell ref="X73:Z73"/>
    <mergeCell ref="AA73:AB73"/>
    <mergeCell ref="AC73:AD73"/>
    <mergeCell ref="X74:Z74"/>
    <mergeCell ref="AA74:AB74"/>
    <mergeCell ref="AC74:AD74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W57:AD58"/>
    <mergeCell ref="X60:Z60"/>
    <mergeCell ref="AA60:AB60"/>
    <mergeCell ref="AC60:AD60"/>
    <mergeCell ref="X61:Z61"/>
    <mergeCell ref="AA61:AB61"/>
    <mergeCell ref="AC61:AD61"/>
    <mergeCell ref="X62:Z62"/>
    <mergeCell ref="AA62:AB62"/>
    <mergeCell ref="AC62:AD62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V28" sqref="V28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22" t="s">
        <v>1531</v>
      </c>
      <c r="E4" s="723"/>
      <c r="F4" s="723"/>
      <c r="G4" s="723"/>
      <c r="H4" s="723"/>
      <c r="I4" s="723"/>
      <c r="J4" s="723"/>
      <c r="K4" s="723"/>
      <c r="L4" s="723"/>
      <c r="M4" s="723"/>
      <c r="N4" s="723"/>
      <c r="O4" s="723"/>
      <c r="P4" s="723"/>
      <c r="Q4" s="723"/>
      <c r="R4" s="723"/>
      <c r="S4" s="723"/>
      <c r="T4" s="723"/>
      <c r="U4" s="723"/>
      <c r="V4" s="723"/>
      <c r="W4" s="723"/>
      <c r="X4" s="723"/>
      <c r="Y4" s="723"/>
      <c r="Z4" s="723"/>
      <c r="AA4" s="723"/>
      <c r="AB4" s="723"/>
      <c r="AC4" s="724"/>
      <c r="AD4" s="217"/>
      <c r="AE4" s="216"/>
      <c r="AF4" s="216"/>
    </row>
    <row r="5" spans="2:32" ht="13.5" customHeight="1">
      <c r="B5" s="215"/>
      <c r="C5" s="215"/>
      <c r="D5" s="725"/>
      <c r="E5" s="726"/>
      <c r="F5" s="726"/>
      <c r="G5" s="726"/>
      <c r="H5" s="726"/>
      <c r="I5" s="726"/>
      <c r="J5" s="726"/>
      <c r="K5" s="726"/>
      <c r="L5" s="726"/>
      <c r="M5" s="726"/>
      <c r="N5" s="726"/>
      <c r="O5" s="726"/>
      <c r="P5" s="726"/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6"/>
      <c r="AC5" s="727"/>
      <c r="AD5" s="217"/>
      <c r="AE5" s="216"/>
      <c r="AF5" s="216"/>
    </row>
    <row r="6" spans="2:32" ht="12.75" customHeight="1">
      <c r="B6" s="215"/>
      <c r="C6" s="215"/>
      <c r="D6" s="725"/>
      <c r="E6" s="726"/>
      <c r="F6" s="726"/>
      <c r="G6" s="726"/>
      <c r="H6" s="726"/>
      <c r="I6" s="726"/>
      <c r="J6" s="726"/>
      <c r="K6" s="726"/>
      <c r="L6" s="726"/>
      <c r="M6" s="726"/>
      <c r="N6" s="726"/>
      <c r="O6" s="726"/>
      <c r="P6" s="726"/>
      <c r="Q6" s="726"/>
      <c r="R6" s="726"/>
      <c r="S6" s="726"/>
      <c r="T6" s="726"/>
      <c r="U6" s="726"/>
      <c r="V6" s="726"/>
      <c r="W6" s="726"/>
      <c r="X6" s="726"/>
      <c r="Y6" s="726"/>
      <c r="Z6" s="726"/>
      <c r="AA6" s="726"/>
      <c r="AB6" s="726"/>
      <c r="AC6" s="727"/>
      <c r="AE6" s="216"/>
      <c r="AF6" s="216"/>
    </row>
    <row r="7" spans="2:32" ht="12.75" customHeight="1" thickBot="1">
      <c r="B7" s="215"/>
      <c r="C7" s="215"/>
      <c r="D7" s="728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3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X71" sqref="X71"/>
    </sheetView>
  </sheetViews>
  <sheetFormatPr defaultColWidth="9.140625" defaultRowHeight="12.75"/>
  <cols>
    <col min="1" max="1" width="1.7109375" style="429" customWidth="1"/>
    <col min="2" max="2" width="10.7109375" style="429" customWidth="1"/>
    <col min="3" max="3" width="2.5703125" style="429" customWidth="1"/>
    <col min="4" max="20" width="9.140625" style="429"/>
    <col min="21" max="21" width="14.5703125" style="429" customWidth="1"/>
    <col min="22" max="22" width="3.140625" style="429" customWidth="1"/>
    <col min="23" max="26" width="9.140625" style="429"/>
    <col min="27" max="27" width="2.85546875" style="429" customWidth="1"/>
    <col min="28" max="30" width="4.7109375" style="429" customWidth="1"/>
    <col min="31" max="31" width="1.7109375" style="429" customWidth="1"/>
    <col min="32" max="16384" width="9.140625" style="42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6" t="s">
        <v>1530</v>
      </c>
      <c r="D3" s="726"/>
      <c r="E3" s="726"/>
      <c r="F3" s="726"/>
      <c r="G3" s="726"/>
      <c r="H3" s="726"/>
      <c r="I3" s="726"/>
      <c r="J3" s="726"/>
      <c r="K3" s="726"/>
      <c r="L3" s="726"/>
      <c r="M3" s="726"/>
      <c r="N3" s="726"/>
      <c r="O3" s="726"/>
      <c r="P3" s="726"/>
      <c r="Q3" s="726"/>
      <c r="R3" s="726"/>
      <c r="S3" s="726"/>
      <c r="T3" s="726"/>
      <c r="U3" s="726"/>
      <c r="V3" s="726"/>
      <c r="W3" s="182"/>
      <c r="X3" s="440"/>
      <c r="Y3" s="440"/>
      <c r="Z3" s="440"/>
      <c r="AA3" s="440"/>
      <c r="AB3" s="440"/>
      <c r="AC3" s="430"/>
    </row>
    <row r="4" spans="1:29" ht="18.75" customHeight="1">
      <c r="A4" s="181"/>
      <c r="C4" s="726"/>
      <c r="D4" s="726"/>
      <c r="E4" s="726"/>
      <c r="F4" s="726"/>
      <c r="G4" s="726"/>
      <c r="H4" s="726"/>
      <c r="I4" s="726"/>
      <c r="J4" s="726"/>
      <c r="K4" s="726"/>
      <c r="L4" s="726"/>
      <c r="M4" s="726"/>
      <c r="N4" s="726"/>
      <c r="O4" s="726"/>
      <c r="P4" s="726"/>
      <c r="Q4" s="726"/>
      <c r="R4" s="726"/>
      <c r="S4" s="726"/>
      <c r="T4" s="726"/>
      <c r="U4" s="726"/>
      <c r="V4" s="726"/>
      <c r="W4" s="182"/>
      <c r="X4" s="440"/>
      <c r="Y4" s="440"/>
      <c r="Z4" s="440"/>
      <c r="AA4" s="440"/>
      <c r="AB4" s="440"/>
      <c r="AC4" s="430"/>
    </row>
    <row r="5" spans="1:29" ht="12.75" customHeight="1">
      <c r="A5" s="181"/>
      <c r="C5" s="431"/>
      <c r="W5" s="182"/>
    </row>
    <row r="6" spans="1:29" ht="12.75" customHeight="1">
      <c r="A6" s="181"/>
      <c r="C6" s="731" t="s">
        <v>1648</v>
      </c>
      <c r="D6" s="731"/>
      <c r="E6" s="731"/>
      <c r="F6" s="731"/>
      <c r="G6" s="731"/>
      <c r="H6" s="731"/>
      <c r="I6" s="731"/>
      <c r="J6" s="731"/>
      <c r="K6" s="731"/>
      <c r="L6" s="731"/>
      <c r="M6" s="731"/>
      <c r="W6" s="182"/>
      <c r="Y6" s="432"/>
      <c r="Z6" s="432"/>
      <c r="AA6" s="432"/>
      <c r="AB6" s="433"/>
      <c r="AC6" s="433"/>
    </row>
    <row r="7" spans="1:29" ht="18" customHeight="1">
      <c r="A7" s="181"/>
      <c r="C7" s="731"/>
      <c r="D7" s="731"/>
      <c r="E7" s="731"/>
      <c r="F7" s="731"/>
      <c r="G7" s="731"/>
      <c r="H7" s="731"/>
      <c r="I7" s="731"/>
      <c r="J7" s="731"/>
      <c r="K7" s="731"/>
      <c r="L7" s="731"/>
      <c r="M7" s="731"/>
      <c r="W7" s="182"/>
      <c r="Y7" s="432"/>
      <c r="Z7" s="432"/>
      <c r="AA7" s="432"/>
      <c r="AB7" s="433"/>
      <c r="AC7" s="43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5"/>
      <c r="S54" s="435"/>
      <c r="T54" s="435"/>
      <c r="U54" s="436"/>
      <c r="V54" s="436"/>
      <c r="W54" s="183"/>
      <c r="X54" s="436"/>
      <c r="Y54" s="436"/>
      <c r="Z54" s="436"/>
      <c r="AA54" s="436"/>
      <c r="AB54" s="436"/>
      <c r="AC54" s="436"/>
      <c r="AD54" s="43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1"/>
      <c r="S55" s="442"/>
      <c r="T55" s="442"/>
      <c r="U55" s="186"/>
      <c r="V55" s="187"/>
      <c r="W55" s="188"/>
      <c r="X55" s="436"/>
      <c r="Y55" s="436"/>
      <c r="Z55" s="436"/>
      <c r="AA55" s="437"/>
      <c r="AB55" s="437"/>
      <c r="AC55" s="437"/>
      <c r="AD55" s="437"/>
    </row>
    <row r="56" spans="1:30">
      <c r="U56" s="436"/>
      <c r="V56" s="437"/>
      <c r="W56" s="436"/>
      <c r="X56" s="436"/>
      <c r="Y56" s="436"/>
      <c r="Z56" s="436"/>
      <c r="AA56" s="437"/>
      <c r="AB56" s="436"/>
      <c r="AC56" s="436"/>
      <c r="AD56" s="436"/>
    </row>
    <row r="57" spans="1:30">
      <c r="U57" s="436"/>
      <c r="V57" s="437"/>
      <c r="W57" s="436"/>
      <c r="X57" s="436"/>
      <c r="Y57" s="436"/>
      <c r="Z57" s="436"/>
      <c r="AA57" s="436"/>
      <c r="AB57" s="436"/>
      <c r="AC57" s="436"/>
      <c r="AD57" s="436"/>
    </row>
    <row r="58" spans="1:30">
      <c r="U58" s="436"/>
      <c r="V58" s="437"/>
      <c r="W58" s="436"/>
      <c r="X58" s="436"/>
      <c r="Y58" s="436"/>
      <c r="Z58" s="436"/>
      <c r="AA58" s="436"/>
      <c r="AB58" s="436"/>
      <c r="AC58" s="436"/>
      <c r="AD58" s="436"/>
    </row>
    <row r="59" spans="1:30">
      <c r="U59" s="436"/>
      <c r="V59" s="437"/>
      <c r="W59" s="436"/>
      <c r="X59" s="436"/>
      <c r="Y59" s="436"/>
      <c r="Z59" s="436"/>
      <c r="AA59" s="436"/>
      <c r="AB59" s="436"/>
      <c r="AC59" s="436"/>
      <c r="AD59" s="436"/>
    </row>
    <row r="60" spans="1:30">
      <c r="U60" s="436"/>
      <c r="V60" s="437"/>
      <c r="W60" s="436"/>
      <c r="X60" s="436"/>
      <c r="Y60" s="436"/>
      <c r="Z60" s="436"/>
      <c r="AA60" s="437"/>
      <c r="AB60" s="436"/>
      <c r="AC60" s="436"/>
      <c r="AD60" s="436"/>
    </row>
    <row r="61" spans="1:30">
      <c r="U61" s="436"/>
      <c r="V61" s="437"/>
      <c r="W61" s="436"/>
      <c r="X61" s="436"/>
      <c r="Y61" s="436"/>
      <c r="Z61" s="436"/>
      <c r="AA61" s="436"/>
      <c r="AB61" s="436"/>
      <c r="AC61" s="436"/>
      <c r="AD61" s="436"/>
    </row>
    <row r="62" spans="1:30">
      <c r="U62" s="436"/>
      <c r="V62" s="437"/>
      <c r="W62" s="436"/>
      <c r="X62" s="436"/>
      <c r="Y62" s="436"/>
      <c r="Z62" s="436"/>
      <c r="AA62" s="436"/>
      <c r="AB62" s="436"/>
      <c r="AC62" s="436"/>
      <c r="AD62" s="436"/>
    </row>
    <row r="63" spans="1:30">
      <c r="U63" s="436"/>
      <c r="V63" s="437"/>
      <c r="W63" s="436"/>
      <c r="X63" s="436"/>
      <c r="Y63" s="436"/>
      <c r="Z63" s="436"/>
      <c r="AA63" s="436"/>
      <c r="AB63" s="436"/>
      <c r="AC63" s="436"/>
      <c r="AD63" s="436"/>
    </row>
    <row r="64" spans="1:30">
      <c r="U64" s="436"/>
      <c r="V64" s="437"/>
      <c r="W64" s="436"/>
      <c r="X64" s="436"/>
      <c r="Y64" s="436"/>
      <c r="Z64" s="436"/>
      <c r="AA64" s="436"/>
      <c r="AB64" s="436"/>
      <c r="AC64" s="436"/>
      <c r="AD64" s="436"/>
    </row>
    <row r="65" spans="5:30">
      <c r="U65" s="436"/>
      <c r="V65" s="437"/>
      <c r="W65" s="436"/>
      <c r="X65" s="436"/>
      <c r="Y65" s="436"/>
      <c r="Z65" s="436"/>
      <c r="AA65" s="436"/>
      <c r="AB65" s="436"/>
      <c r="AC65" s="436"/>
      <c r="AD65" s="436"/>
    </row>
    <row r="66" spans="5:30" ht="6" customHeight="1"/>
    <row r="73" spans="5:30">
      <c r="M73" s="438"/>
    </row>
    <row r="74" spans="5:30" ht="15" customHeight="1">
      <c r="E74" s="439"/>
      <c r="M74" s="438"/>
    </row>
    <row r="75" spans="5:30" ht="15" customHeight="1">
      <c r="E75" s="439"/>
      <c r="M75" s="438"/>
    </row>
    <row r="76" spans="5:30" ht="15" customHeight="1">
      <c r="E76" s="439"/>
      <c r="M76" s="438"/>
    </row>
    <row r="77" spans="5:30" ht="15" customHeight="1">
      <c r="E77" s="439"/>
      <c r="M77" s="438"/>
    </row>
    <row r="78" spans="5:30" ht="15" customHeight="1">
      <c r="E78" s="439"/>
      <c r="M78" s="438"/>
    </row>
    <row r="79" spans="5:30" ht="15" customHeight="1">
      <c r="E79" s="439"/>
      <c r="M79" s="438"/>
    </row>
    <row r="80" spans="5:30" ht="15" customHeight="1">
      <c r="E80" s="439"/>
      <c r="M80" s="438"/>
    </row>
    <row r="81" spans="5:13" ht="15" customHeight="1">
      <c r="E81" s="439"/>
      <c r="M81" s="438"/>
    </row>
    <row r="82" spans="5:13" ht="15" customHeight="1">
      <c r="E82" s="439"/>
      <c r="M82" s="438"/>
    </row>
    <row r="83" spans="5:13" ht="15" customHeight="1">
      <c r="E83" s="439"/>
      <c r="M83" s="438"/>
    </row>
    <row r="84" spans="5:13" ht="15" customHeight="1">
      <c r="E84" s="439"/>
      <c r="M84" s="438"/>
    </row>
    <row r="85" spans="5:13" ht="15" customHeight="1">
      <c r="E85" s="439"/>
      <c r="M85" s="438"/>
    </row>
    <row r="86" spans="5:13" ht="15" customHeight="1">
      <c r="E86" s="439"/>
      <c r="M86" s="438"/>
    </row>
    <row r="87" spans="5:13" ht="15" customHeight="1">
      <c r="E87" s="439"/>
      <c r="M87" s="438"/>
    </row>
    <row r="88" spans="5:13" ht="15" customHeight="1">
      <c r="E88" s="439"/>
      <c r="M88" s="438"/>
    </row>
    <row r="89" spans="5:13" ht="15" customHeight="1">
      <c r="E89" s="439"/>
      <c r="M89" s="438"/>
    </row>
    <row r="90" spans="5:13" ht="15" customHeight="1">
      <c r="E90" s="439"/>
      <c r="M90" s="438"/>
    </row>
    <row r="91" spans="5:13" ht="15" customHeight="1">
      <c r="E91" s="439"/>
      <c r="M91" s="438"/>
    </row>
    <row r="92" spans="5:13" ht="15" customHeight="1">
      <c r="E92" s="439"/>
      <c r="M92" s="438"/>
    </row>
    <row r="93" spans="5:13" ht="15" customHeight="1">
      <c r="E93" s="439"/>
      <c r="M93" s="438"/>
    </row>
    <row r="94" spans="5:13" ht="15" customHeight="1">
      <c r="E94" s="439"/>
      <c r="M94" s="438"/>
    </row>
    <row r="95" spans="5:13" ht="15" customHeight="1">
      <c r="E95" s="439"/>
      <c r="M95" s="438"/>
    </row>
    <row r="96" spans="5:13" ht="15" customHeight="1">
      <c r="E96" s="439"/>
    </row>
    <row r="97" spans="5:5" ht="15" customHeight="1">
      <c r="E97" s="439"/>
    </row>
    <row r="98" spans="5:5" ht="15" customHeight="1">
      <c r="E98" s="439"/>
    </row>
    <row r="99" spans="5:5" ht="15" customHeight="1">
      <c r="E99" s="439"/>
    </row>
    <row r="100" spans="5:5" ht="15" customHeight="1">
      <c r="E100" s="439"/>
    </row>
    <row r="101" spans="5:5" ht="15" customHeight="1">
      <c r="E101" s="439"/>
    </row>
    <row r="102" spans="5:5" ht="15" customHeight="1">
      <c r="E102" s="439"/>
    </row>
    <row r="103" spans="5:5" ht="15" customHeight="1">
      <c r="E103" s="439"/>
    </row>
    <row r="104" spans="5:5" ht="15" customHeight="1">
      <c r="E104" s="439"/>
    </row>
    <row r="105" spans="5:5" ht="15" customHeight="1">
      <c r="E105" s="439"/>
    </row>
    <row r="106" spans="5:5" ht="15" customHeight="1">
      <c r="E106" s="439"/>
    </row>
    <row r="107" spans="5:5" ht="15" customHeight="1">
      <c r="E107" s="439"/>
    </row>
    <row r="108" spans="5:5" ht="15" customHeight="1">
      <c r="E108" s="439"/>
    </row>
    <row r="109" spans="5:5" ht="15" customHeight="1">
      <c r="E109" s="439"/>
    </row>
    <row r="110" spans="5:5" ht="15" customHeight="1">
      <c r="E110" s="439"/>
    </row>
    <row r="111" spans="5:5" ht="15" customHeight="1">
      <c r="E111" s="439"/>
    </row>
    <row r="112" spans="5:5" ht="15" customHeight="1">
      <c r="E112" s="439"/>
    </row>
    <row r="113" spans="5:5" ht="15" customHeight="1">
      <c r="E113" s="439"/>
    </row>
    <row r="114" spans="5:5" ht="15" customHeight="1">
      <c r="E114" s="439"/>
    </row>
    <row r="115" spans="5:5" ht="15" customHeight="1">
      <c r="E115" s="439"/>
    </row>
    <row r="116" spans="5:5" ht="15" customHeight="1">
      <c r="E116" s="439"/>
    </row>
    <row r="117" spans="5:5" ht="15" customHeight="1">
      <c r="E117" s="439"/>
    </row>
    <row r="118" spans="5:5" ht="15" customHeight="1">
      <c r="E118" s="439"/>
    </row>
    <row r="119" spans="5:5" ht="15" customHeight="1">
      <c r="E119" s="439"/>
    </row>
    <row r="120" spans="5:5">
      <c r="E120" s="43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1">
        <v>1</v>
      </c>
    </row>
    <row r="2" spans="1:11" ht="48" customHeight="1">
      <c r="A2" s="461">
        <v>3</v>
      </c>
    </row>
    <row r="4" spans="1:11" ht="48" customHeight="1">
      <c r="C4" s="461">
        <v>1</v>
      </c>
    </row>
    <row r="5" spans="1:11" ht="48" customHeight="1">
      <c r="C5" s="461">
        <v>3</v>
      </c>
    </row>
    <row r="7" spans="1:11" ht="48" customHeight="1">
      <c r="E7" s="461">
        <v>1</v>
      </c>
    </row>
    <row r="8" spans="1:11" ht="48" customHeight="1">
      <c r="E8" s="461">
        <v>3</v>
      </c>
    </row>
    <row r="10" spans="1:11" ht="48" customHeight="1">
      <c r="G10" s="461">
        <v>3</v>
      </c>
    </row>
    <row r="11" spans="1:11" ht="48" customHeight="1">
      <c r="G11" s="461">
        <v>1</v>
      </c>
    </row>
    <row r="13" spans="1:11" ht="48" customHeight="1">
      <c r="I13" s="461">
        <v>3</v>
      </c>
    </row>
    <row r="14" spans="1:11" ht="48" customHeight="1">
      <c r="I14" s="461">
        <v>1</v>
      </c>
    </row>
    <row r="16" spans="1:11" ht="48" customHeight="1">
      <c r="K16" s="461">
        <v>3</v>
      </c>
    </row>
    <row r="17" spans="11:21" ht="48" customHeight="1">
      <c r="K17" s="461">
        <v>1</v>
      </c>
    </row>
    <row r="19" spans="11:21" ht="48" customHeight="1">
      <c r="M19" s="461">
        <v>3</v>
      </c>
    </row>
    <row r="20" spans="11:21" ht="48" customHeight="1">
      <c r="M20" s="461">
        <v>1</v>
      </c>
    </row>
    <row r="22" spans="11:21" ht="48" customHeight="1">
      <c r="O22" s="461">
        <v>3</v>
      </c>
    </row>
    <row r="23" spans="11:21" ht="48" customHeight="1">
      <c r="O23" s="461">
        <v>1</v>
      </c>
    </row>
    <row r="25" spans="11:21" ht="57" customHeight="1">
      <c r="Q25" s="461">
        <v>3</v>
      </c>
    </row>
    <row r="26" spans="11:21" ht="57" customHeight="1">
      <c r="Q26" s="461">
        <v>1</v>
      </c>
    </row>
    <row r="28" spans="11:21" ht="57" customHeight="1">
      <c r="S28" s="461">
        <v>3</v>
      </c>
    </row>
    <row r="29" spans="11:21" ht="57" customHeight="1">
      <c r="S29" s="461">
        <v>1</v>
      </c>
    </row>
    <row r="31" spans="11:21" ht="57" customHeight="1">
      <c r="U31" s="461">
        <v>3</v>
      </c>
    </row>
    <row r="32" spans="11:21" ht="57" customHeight="1">
      <c r="U32" s="4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2023-02-27T08:00:50Z</cp:lastPrinted>
  <dcterms:created xsi:type="dcterms:W3CDTF">2011-02-06T11:57:38Z</dcterms:created>
  <dcterms:modified xsi:type="dcterms:W3CDTF">2024-06-20T07:35:22Z</dcterms:modified>
</cp:coreProperties>
</file>