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345F6F6E-66EA-4CED-BC0B-545510A2E87A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RAB!$A$1:$K$207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1" i="11" l="1"/>
  <c r="F112" i="11"/>
  <c r="F106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D60" i="11" l="1"/>
  <c r="H60" i="11" s="1"/>
  <c r="E60" i="11"/>
  <c r="G60" i="11"/>
  <c r="D61" i="11"/>
  <c r="J61" i="11" s="1"/>
  <c r="E61" i="11"/>
  <c r="G61" i="11"/>
  <c r="D62" i="11"/>
  <c r="E62" i="11"/>
  <c r="G62" i="11"/>
  <c r="D63" i="11"/>
  <c r="E63" i="11"/>
  <c r="G63" i="11"/>
  <c r="D64" i="11"/>
  <c r="J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D69" i="11"/>
  <c r="H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J73" i="11" s="1"/>
  <c r="E73" i="11"/>
  <c r="G73" i="11"/>
  <c r="D74" i="11"/>
  <c r="H74" i="11" s="1"/>
  <c r="E74" i="11"/>
  <c r="G74" i="11"/>
  <c r="D75" i="11"/>
  <c r="J75" i="11" s="1"/>
  <c r="E75" i="11"/>
  <c r="G75" i="11"/>
  <c r="D76" i="11"/>
  <c r="J76" i="11" s="1"/>
  <c r="E76" i="11"/>
  <c r="G76" i="11"/>
  <c r="D77" i="11"/>
  <c r="H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H82" i="11" s="1"/>
  <c r="E82" i="11"/>
  <c r="G82" i="11"/>
  <c r="D83" i="11"/>
  <c r="J83" i="11" s="1"/>
  <c r="E83" i="11"/>
  <c r="G83" i="11"/>
  <c r="E7" i="64"/>
  <c r="F19" i="11"/>
  <c r="I67" i="11" l="1"/>
  <c r="H62" i="11"/>
  <c r="H63" i="11"/>
  <c r="I79" i="11"/>
  <c r="I78" i="11"/>
  <c r="J77" i="11"/>
  <c r="I69" i="11"/>
  <c r="I77" i="11"/>
  <c r="I63" i="11"/>
  <c r="I82" i="11"/>
  <c r="J81" i="11"/>
  <c r="I74" i="11"/>
  <c r="I75" i="11"/>
  <c r="H67" i="11"/>
  <c r="I66" i="11"/>
  <c r="J65" i="11"/>
  <c r="I70" i="11"/>
  <c r="I64" i="11"/>
  <c r="J63" i="11"/>
  <c r="I65" i="11"/>
  <c r="K65" i="11" s="1"/>
  <c r="I81" i="11"/>
  <c r="H75" i="11"/>
  <c r="J74" i="11"/>
  <c r="I73" i="11"/>
  <c r="I62" i="11"/>
  <c r="I61" i="11"/>
  <c r="I60" i="11"/>
  <c r="H70" i="11"/>
  <c r="J69" i="11"/>
  <c r="H61" i="11"/>
  <c r="J60" i="11"/>
  <c r="H71" i="11"/>
  <c r="H78" i="11"/>
  <c r="K78" i="11" s="1"/>
  <c r="H73" i="11"/>
  <c r="I72" i="11"/>
  <c r="I71" i="11"/>
  <c r="H79" i="11"/>
  <c r="I76" i="11"/>
  <c r="I68" i="11"/>
  <c r="I80" i="11"/>
  <c r="H83" i="11"/>
  <c r="J82" i="11"/>
  <c r="H80" i="11"/>
  <c r="H76" i="11"/>
  <c r="H72" i="11"/>
  <c r="H68" i="11"/>
  <c r="J66" i="11"/>
  <c r="H64" i="11"/>
  <c r="J62" i="11"/>
  <c r="I83" i="11"/>
  <c r="F124" i="11"/>
  <c r="F122" i="11"/>
  <c r="F121" i="11"/>
  <c r="F123" i="11" s="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D126" i="11"/>
  <c r="H126" i="11" s="1"/>
  <c r="E126" i="11"/>
  <c r="D127" i="11"/>
  <c r="J127" i="11" s="1"/>
  <c r="E127" i="11"/>
  <c r="D117" i="11"/>
  <c r="H117" i="11" s="1"/>
  <c r="E117" i="11"/>
  <c r="D118" i="11"/>
  <c r="J118" i="11" s="1"/>
  <c r="E118" i="11"/>
  <c r="D119" i="11"/>
  <c r="I119" i="11" s="1"/>
  <c r="E119" i="11"/>
  <c r="D120" i="11"/>
  <c r="H120" i="11" s="1"/>
  <c r="E120" i="11"/>
  <c r="D121" i="11"/>
  <c r="E121" i="11"/>
  <c r="D122" i="11"/>
  <c r="J122" i="11" s="1"/>
  <c r="E122" i="11"/>
  <c r="D123" i="11"/>
  <c r="E123" i="11"/>
  <c r="D124" i="11"/>
  <c r="H124" i="11" s="1"/>
  <c r="E124" i="11"/>
  <c r="D125" i="11"/>
  <c r="H125" i="11" s="1"/>
  <c r="E125" i="11"/>
  <c r="K61" i="11" l="1"/>
  <c r="K69" i="11"/>
  <c r="K67" i="11"/>
  <c r="K74" i="11"/>
  <c r="K66" i="11"/>
  <c r="K79" i="11"/>
  <c r="K77" i="11"/>
  <c r="K75" i="11"/>
  <c r="K80" i="11"/>
  <c r="K62" i="11"/>
  <c r="K72" i="11"/>
  <c r="K81" i="11"/>
  <c r="K64" i="11"/>
  <c r="K63" i="11"/>
  <c r="K76" i="11"/>
  <c r="K83" i="11"/>
  <c r="K70" i="11"/>
  <c r="K82" i="11"/>
  <c r="K60" i="11"/>
  <c r="K68" i="11"/>
  <c r="K73" i="11"/>
  <c r="K71" i="11"/>
  <c r="H121" i="11"/>
  <c r="I123" i="11"/>
  <c r="J121" i="11"/>
  <c r="H123" i="11"/>
  <c r="J126" i="11"/>
  <c r="J125" i="11"/>
  <c r="J117" i="11"/>
  <c r="H119" i="11"/>
  <c r="I127" i="11"/>
  <c r="I122" i="11"/>
  <c r="I118" i="11"/>
  <c r="H127" i="11"/>
  <c r="I126" i="11"/>
  <c r="I125" i="11"/>
  <c r="J124" i="11"/>
  <c r="H122" i="11"/>
  <c r="I121" i="11"/>
  <c r="J120" i="11"/>
  <c r="H118" i="11"/>
  <c r="I117" i="11"/>
  <c r="I124" i="11"/>
  <c r="J123" i="11"/>
  <c r="I120" i="11"/>
  <c r="J119" i="11"/>
  <c r="K126" i="11" l="1"/>
  <c r="K124" i="11"/>
  <c r="K121" i="11"/>
  <c r="K125" i="11"/>
  <c r="K120" i="11"/>
  <c r="K118" i="11"/>
  <c r="K123" i="11"/>
  <c r="K119" i="11"/>
  <c r="K117" i="11"/>
  <c r="K122" i="11"/>
  <c r="K127" i="11"/>
  <c r="F146" i="11" l="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29" i="11"/>
  <c r="G6" i="11" l="1"/>
  <c r="F116" i="11"/>
  <c r="F115" i="11"/>
  <c r="F114" i="11"/>
  <c r="F113" i="11"/>
  <c r="F110" i="11"/>
  <c r="F109" i="11"/>
  <c r="F108" i="11"/>
  <c r="F107" i="11"/>
  <c r="F104" i="11"/>
  <c r="F103" i="11"/>
  <c r="F102" i="11"/>
  <c r="F101" i="11"/>
  <c r="F100" i="11"/>
  <c r="F99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2" i="11"/>
  <c r="G113" i="11"/>
  <c r="G114" i="11"/>
  <c r="G115" i="11"/>
  <c r="G116" i="11"/>
  <c r="D95" i="11"/>
  <c r="H95" i="11" s="1"/>
  <c r="E95" i="11"/>
  <c r="D96" i="11"/>
  <c r="J96" i="11" s="1"/>
  <c r="E96" i="11"/>
  <c r="D97" i="11"/>
  <c r="I97" i="11" s="1"/>
  <c r="E97" i="11"/>
  <c r="D98" i="11"/>
  <c r="H98" i="11" s="1"/>
  <c r="E98" i="11"/>
  <c r="D99" i="11"/>
  <c r="H99" i="11" s="1"/>
  <c r="E99" i="11"/>
  <c r="D100" i="11"/>
  <c r="J100" i="11" s="1"/>
  <c r="E100" i="11"/>
  <c r="D101" i="11"/>
  <c r="E101" i="11"/>
  <c r="D102" i="11"/>
  <c r="H102" i="11" s="1"/>
  <c r="E102" i="11"/>
  <c r="D103" i="11"/>
  <c r="H103" i="11" s="1"/>
  <c r="E103" i="11"/>
  <c r="D104" i="11"/>
  <c r="E104" i="11"/>
  <c r="D105" i="11"/>
  <c r="I105" i="11" s="1"/>
  <c r="E105" i="11"/>
  <c r="D106" i="11"/>
  <c r="H106" i="11" s="1"/>
  <c r="E106" i="11"/>
  <c r="D107" i="11"/>
  <c r="H107" i="11" s="1"/>
  <c r="E107" i="11"/>
  <c r="D108" i="11"/>
  <c r="J108" i="11" s="1"/>
  <c r="E108" i="11"/>
  <c r="D109" i="11"/>
  <c r="E109" i="11"/>
  <c r="D110" i="11"/>
  <c r="H110" i="11" s="1"/>
  <c r="E110" i="11"/>
  <c r="D112" i="11"/>
  <c r="H112" i="11" s="1"/>
  <c r="E112" i="11"/>
  <c r="D113" i="11"/>
  <c r="J113" i="11" s="1"/>
  <c r="E113" i="11"/>
  <c r="D114" i="11"/>
  <c r="E114" i="11"/>
  <c r="D115" i="11"/>
  <c r="H115" i="11" s="1"/>
  <c r="E115" i="11"/>
  <c r="D116" i="11"/>
  <c r="H116" i="11" s="1"/>
  <c r="E116" i="11"/>
  <c r="F182" i="11"/>
  <c r="F181" i="11"/>
  <c r="F180" i="11"/>
  <c r="F179" i="11"/>
  <c r="F178" i="11"/>
  <c r="F175" i="11"/>
  <c r="F174" i="11"/>
  <c r="F173" i="11"/>
  <c r="F172" i="11"/>
  <c r="F171" i="11"/>
  <c r="F170" i="11"/>
  <c r="F169" i="11"/>
  <c r="F166" i="11"/>
  <c r="F164" i="11"/>
  <c r="F163" i="11"/>
  <c r="F162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7" i="11"/>
  <c r="G178" i="11"/>
  <c r="G179" i="11"/>
  <c r="G180" i="11"/>
  <c r="G181" i="11"/>
  <c r="G182" i="11"/>
  <c r="G183" i="11"/>
  <c r="G184" i="11"/>
  <c r="G185" i="11"/>
  <c r="D158" i="11"/>
  <c r="H158" i="11" s="1"/>
  <c r="E158" i="11"/>
  <c r="D159" i="11"/>
  <c r="J159" i="11" s="1"/>
  <c r="E159" i="11"/>
  <c r="D160" i="11"/>
  <c r="I160" i="11" s="1"/>
  <c r="E160" i="11"/>
  <c r="D161" i="11"/>
  <c r="H161" i="11" s="1"/>
  <c r="E161" i="11"/>
  <c r="D162" i="11"/>
  <c r="E162" i="11"/>
  <c r="D163" i="11"/>
  <c r="J163" i="11" s="1"/>
  <c r="E163" i="11"/>
  <c r="D164" i="11"/>
  <c r="E164" i="11"/>
  <c r="D165" i="11"/>
  <c r="E165" i="11"/>
  <c r="D166" i="11"/>
  <c r="H166" i="11" s="1"/>
  <c r="E166" i="11"/>
  <c r="D167" i="11"/>
  <c r="I167" i="11" s="1"/>
  <c r="E167" i="11"/>
  <c r="D168" i="11"/>
  <c r="H168" i="11" s="1"/>
  <c r="E168" i="11"/>
  <c r="D169" i="11"/>
  <c r="H169" i="11" s="1"/>
  <c r="E169" i="11"/>
  <c r="D170" i="11"/>
  <c r="J170" i="11" s="1"/>
  <c r="E170" i="11"/>
  <c r="D171" i="11"/>
  <c r="E171" i="11"/>
  <c r="D172" i="11"/>
  <c r="H172" i="11" s="1"/>
  <c r="E172" i="11"/>
  <c r="D173" i="11"/>
  <c r="H173" i="11" s="1"/>
  <c r="E173" i="11"/>
  <c r="D174" i="11"/>
  <c r="J174" i="11" s="1"/>
  <c r="E174" i="11"/>
  <c r="D175" i="11"/>
  <c r="E175" i="11"/>
  <c r="D177" i="11"/>
  <c r="H177" i="11" s="1"/>
  <c r="E177" i="11"/>
  <c r="D178" i="11"/>
  <c r="H178" i="11" s="1"/>
  <c r="E178" i="11"/>
  <c r="D179" i="11"/>
  <c r="J179" i="11" s="1"/>
  <c r="E179" i="11"/>
  <c r="D180" i="11"/>
  <c r="E180" i="11"/>
  <c r="D181" i="11"/>
  <c r="H181" i="11" s="1"/>
  <c r="E181" i="11"/>
  <c r="D182" i="11"/>
  <c r="H182" i="11" s="1"/>
  <c r="E182" i="11"/>
  <c r="D183" i="11"/>
  <c r="J183" i="11" s="1"/>
  <c r="E183" i="11"/>
  <c r="F157" i="11"/>
  <c r="F156" i="11"/>
  <c r="F155" i="11"/>
  <c r="F154" i="11"/>
  <c r="F153" i="11"/>
  <c r="F152" i="11"/>
  <c r="F151" i="11"/>
  <c r="F150" i="11"/>
  <c r="F149" i="11"/>
  <c r="D128" i="11"/>
  <c r="E128" i="11"/>
  <c r="D129" i="11"/>
  <c r="E129" i="11"/>
  <c r="G129" i="11"/>
  <c r="D130" i="11"/>
  <c r="H130" i="11" s="1"/>
  <c r="E130" i="11"/>
  <c r="G130" i="11"/>
  <c r="D131" i="11"/>
  <c r="J131" i="11" s="1"/>
  <c r="E131" i="11"/>
  <c r="G131" i="11"/>
  <c r="D132" i="11"/>
  <c r="J132" i="11" s="1"/>
  <c r="E132" i="11"/>
  <c r="G132" i="11"/>
  <c r="D133" i="11"/>
  <c r="I133" i="11" s="1"/>
  <c r="E133" i="11"/>
  <c r="G133" i="11"/>
  <c r="D134" i="11"/>
  <c r="I134" i="11" s="1"/>
  <c r="E134" i="11"/>
  <c r="G134" i="11"/>
  <c r="D135" i="11"/>
  <c r="H135" i="11" s="1"/>
  <c r="E135" i="11"/>
  <c r="G135" i="11"/>
  <c r="D136" i="11"/>
  <c r="J136" i="11" s="1"/>
  <c r="E136" i="11"/>
  <c r="G136" i="11"/>
  <c r="D137" i="11"/>
  <c r="J137" i="11" s="1"/>
  <c r="E137" i="11"/>
  <c r="G137" i="11"/>
  <c r="D138" i="11"/>
  <c r="H138" i="11" s="1"/>
  <c r="E138" i="11"/>
  <c r="G138" i="11"/>
  <c r="D139" i="11"/>
  <c r="H139" i="11" s="1"/>
  <c r="E139" i="11"/>
  <c r="G139" i="11"/>
  <c r="D140" i="11"/>
  <c r="J140" i="11" s="1"/>
  <c r="E140" i="11"/>
  <c r="G140" i="11"/>
  <c r="D141" i="11"/>
  <c r="J141" i="11" s="1"/>
  <c r="E141" i="11"/>
  <c r="G141" i="11"/>
  <c r="D142" i="11"/>
  <c r="H142" i="11" s="1"/>
  <c r="E142" i="11"/>
  <c r="G142" i="11"/>
  <c r="D143" i="11"/>
  <c r="H143" i="11" s="1"/>
  <c r="E143" i="11"/>
  <c r="G143" i="11"/>
  <c r="D144" i="11"/>
  <c r="J144" i="11" s="1"/>
  <c r="E144" i="11"/>
  <c r="G144" i="11"/>
  <c r="D145" i="11"/>
  <c r="H145" i="11" s="1"/>
  <c r="E145" i="11"/>
  <c r="G145" i="11"/>
  <c r="D146" i="11"/>
  <c r="H146" i="11" s="1"/>
  <c r="E146" i="11"/>
  <c r="G146" i="11"/>
  <c r="D147" i="11"/>
  <c r="J147" i="11" s="1"/>
  <c r="E147" i="11"/>
  <c r="G147" i="11"/>
  <c r="D148" i="11"/>
  <c r="H148" i="11" s="1"/>
  <c r="E148" i="11"/>
  <c r="G148" i="11"/>
  <c r="D149" i="11"/>
  <c r="H149" i="11" s="1"/>
  <c r="E149" i="11"/>
  <c r="G149" i="11"/>
  <c r="D150" i="11"/>
  <c r="J150" i="11" s="1"/>
  <c r="E150" i="11"/>
  <c r="G150" i="11"/>
  <c r="D151" i="11"/>
  <c r="J151" i="11" s="1"/>
  <c r="E151" i="11"/>
  <c r="G151" i="11"/>
  <c r="D152" i="11"/>
  <c r="J152" i="11" s="1"/>
  <c r="E152" i="11"/>
  <c r="G152" i="11"/>
  <c r="D153" i="11"/>
  <c r="H153" i="11" s="1"/>
  <c r="E153" i="11"/>
  <c r="G153" i="11"/>
  <c r="D154" i="11"/>
  <c r="H154" i="11" s="1"/>
  <c r="E154" i="11"/>
  <c r="G154" i="11"/>
  <c r="D155" i="11"/>
  <c r="J155" i="11" s="1"/>
  <c r="E155" i="11"/>
  <c r="G155" i="11"/>
  <c r="D156" i="11"/>
  <c r="J156" i="11" s="1"/>
  <c r="E156" i="11"/>
  <c r="G156" i="11"/>
  <c r="D157" i="11"/>
  <c r="H157" i="11" s="1"/>
  <c r="E157" i="11"/>
  <c r="G157" i="11"/>
  <c r="D184" i="11"/>
  <c r="I184" i="11" s="1"/>
  <c r="E184" i="11"/>
  <c r="D185" i="11"/>
  <c r="H185" i="11" s="1"/>
  <c r="E185" i="11"/>
  <c r="D186" i="11"/>
  <c r="I186" i="11" s="1"/>
  <c r="E186" i="11"/>
  <c r="G186" i="11"/>
  <c r="D93" i="11"/>
  <c r="J93" i="11" s="1"/>
  <c r="E93" i="11"/>
  <c r="G93" i="11"/>
  <c r="F92" i="11"/>
  <c r="F88" i="11"/>
  <c r="F87" i="11"/>
  <c r="F86" i="11"/>
  <c r="F85" i="11"/>
  <c r="D84" i="11"/>
  <c r="J84" i="11" s="1"/>
  <c r="E84" i="11"/>
  <c r="G84" i="11"/>
  <c r="D85" i="11"/>
  <c r="J85" i="11" s="1"/>
  <c r="E85" i="11"/>
  <c r="G85" i="11"/>
  <c r="D86" i="11"/>
  <c r="H86" i="11" s="1"/>
  <c r="E86" i="11"/>
  <c r="G86" i="11"/>
  <c r="D87" i="11"/>
  <c r="H87" i="11" s="1"/>
  <c r="E87" i="11"/>
  <c r="G87" i="11"/>
  <c r="D88" i="11"/>
  <c r="E88" i="11"/>
  <c r="G88" i="11"/>
  <c r="D89" i="11"/>
  <c r="H89" i="11" s="1"/>
  <c r="E89" i="11"/>
  <c r="G89" i="11"/>
  <c r="D90" i="11"/>
  <c r="H90" i="11" s="1"/>
  <c r="E90" i="11"/>
  <c r="G90" i="11"/>
  <c r="D91" i="11"/>
  <c r="J91" i="11" s="1"/>
  <c r="E91" i="11"/>
  <c r="G91" i="11"/>
  <c r="D92" i="11"/>
  <c r="E92" i="11"/>
  <c r="G92" i="11"/>
  <c r="D94" i="11"/>
  <c r="H94" i="11" s="1"/>
  <c r="E94" i="11"/>
  <c r="G94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D52" i="11"/>
  <c r="H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H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E25" i="11"/>
  <c r="G25" i="11"/>
  <c r="D26" i="11"/>
  <c r="E26" i="11"/>
  <c r="G26" i="11"/>
  <c r="D27" i="11"/>
  <c r="H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J104" i="11" l="1"/>
  <c r="I128" i="11"/>
  <c r="J128" i="11"/>
  <c r="H128" i="11"/>
  <c r="I109" i="11"/>
  <c r="I114" i="11"/>
  <c r="I101" i="11"/>
  <c r="I113" i="11"/>
  <c r="J110" i="11"/>
  <c r="H108" i="11"/>
  <c r="I96" i="11"/>
  <c r="H113" i="11"/>
  <c r="I100" i="11"/>
  <c r="J98" i="11"/>
  <c r="H96" i="11"/>
  <c r="K96" i="11" s="1"/>
  <c r="I104" i="11"/>
  <c r="J102" i="11"/>
  <c r="H100" i="11"/>
  <c r="I108" i="11"/>
  <c r="J106" i="11"/>
  <c r="H104" i="11"/>
  <c r="J116" i="11"/>
  <c r="H114" i="11"/>
  <c r="J112" i="11"/>
  <c r="H109" i="11"/>
  <c r="J107" i="11"/>
  <c r="H105" i="11"/>
  <c r="J103" i="11"/>
  <c r="H101" i="11"/>
  <c r="J99" i="11"/>
  <c r="H97" i="11"/>
  <c r="J95" i="11"/>
  <c r="I180" i="11"/>
  <c r="I175" i="11"/>
  <c r="I171" i="11"/>
  <c r="I116" i="11"/>
  <c r="J115" i="11"/>
  <c r="I112" i="11"/>
  <c r="I107" i="11"/>
  <c r="I103" i="11"/>
  <c r="I99" i="11"/>
  <c r="I95" i="11"/>
  <c r="I115" i="11"/>
  <c r="J114" i="11"/>
  <c r="I110" i="11"/>
  <c r="K110" i="11" s="1"/>
  <c r="J109" i="11"/>
  <c r="I106" i="11"/>
  <c r="J105" i="11"/>
  <c r="I102" i="11"/>
  <c r="K102" i="11" s="1"/>
  <c r="J101" i="11"/>
  <c r="I98" i="11"/>
  <c r="J97" i="11"/>
  <c r="H162" i="11"/>
  <c r="H165" i="11"/>
  <c r="I164" i="11"/>
  <c r="J166" i="11"/>
  <c r="I159" i="11"/>
  <c r="J182" i="11"/>
  <c r="I174" i="11"/>
  <c r="H167" i="11"/>
  <c r="I179" i="11"/>
  <c r="H171" i="11"/>
  <c r="J169" i="11"/>
  <c r="I163" i="11"/>
  <c r="I183" i="11"/>
  <c r="H175" i="11"/>
  <c r="J173" i="11"/>
  <c r="H160" i="11"/>
  <c r="J158" i="11"/>
  <c r="J133" i="11"/>
  <c r="H180" i="11"/>
  <c r="J178" i="11"/>
  <c r="I170" i="11"/>
  <c r="H164" i="11"/>
  <c r="J162" i="11"/>
  <c r="H184" i="11"/>
  <c r="J185" i="11"/>
  <c r="H183" i="11"/>
  <c r="I182" i="11"/>
  <c r="J181" i="11"/>
  <c r="H179" i="11"/>
  <c r="I178" i="11"/>
  <c r="J177" i="11"/>
  <c r="H174" i="11"/>
  <c r="I173" i="11"/>
  <c r="J172" i="11"/>
  <c r="H170" i="11"/>
  <c r="I169" i="11"/>
  <c r="J168" i="11"/>
  <c r="I166" i="11"/>
  <c r="J165" i="11"/>
  <c r="H163" i="11"/>
  <c r="I162" i="11"/>
  <c r="J161" i="11"/>
  <c r="H159" i="11"/>
  <c r="I158" i="11"/>
  <c r="I185" i="11"/>
  <c r="J184" i="11"/>
  <c r="I181" i="11"/>
  <c r="J180" i="11"/>
  <c r="I177" i="11"/>
  <c r="J175" i="11"/>
  <c r="I172" i="11"/>
  <c r="J171" i="11"/>
  <c r="I168" i="11"/>
  <c r="J167" i="11"/>
  <c r="I165" i="11"/>
  <c r="J164" i="11"/>
  <c r="I161" i="11"/>
  <c r="J160" i="11"/>
  <c r="I152" i="11"/>
  <c r="H152" i="11"/>
  <c r="J148" i="11"/>
  <c r="H133" i="11"/>
  <c r="J135" i="11"/>
  <c r="I131" i="11"/>
  <c r="J143" i="11"/>
  <c r="J186" i="11"/>
  <c r="I148" i="11"/>
  <c r="I146" i="11"/>
  <c r="J145" i="11"/>
  <c r="J154" i="11"/>
  <c r="H129" i="11"/>
  <c r="I154" i="11"/>
  <c r="I145" i="11"/>
  <c r="I143" i="11"/>
  <c r="I129" i="11"/>
  <c r="I137" i="11"/>
  <c r="I135" i="11"/>
  <c r="J139" i="11"/>
  <c r="H137" i="11"/>
  <c r="H134" i="11"/>
  <c r="H131" i="11"/>
  <c r="I130" i="11"/>
  <c r="J129" i="11"/>
  <c r="I150" i="11"/>
  <c r="H156" i="11"/>
  <c r="H141" i="11"/>
  <c r="I139" i="11"/>
  <c r="H186" i="11"/>
  <c r="I153" i="11"/>
  <c r="I138" i="11"/>
  <c r="I156" i="11"/>
  <c r="I141" i="11"/>
  <c r="H150" i="11"/>
  <c r="I149" i="11"/>
  <c r="I157" i="11"/>
  <c r="I142" i="11"/>
  <c r="J157" i="11"/>
  <c r="H155" i="11"/>
  <c r="J153" i="11"/>
  <c r="H151" i="11"/>
  <c r="J149" i="11"/>
  <c r="H147" i="11"/>
  <c r="J146" i="11"/>
  <c r="H144" i="11"/>
  <c r="J142" i="11"/>
  <c r="H140" i="11"/>
  <c r="J138" i="11"/>
  <c r="H136" i="11"/>
  <c r="J134" i="11"/>
  <c r="H132" i="11"/>
  <c r="J130" i="11"/>
  <c r="I155" i="11"/>
  <c r="I151" i="11"/>
  <c r="I147" i="11"/>
  <c r="I136" i="11"/>
  <c r="I144" i="11"/>
  <c r="I140" i="11"/>
  <c r="I132" i="11"/>
  <c r="I93" i="11"/>
  <c r="H93" i="11"/>
  <c r="J87" i="11"/>
  <c r="J89" i="11"/>
  <c r="I91" i="11"/>
  <c r="I89" i="11"/>
  <c r="I87" i="11"/>
  <c r="J92" i="11"/>
  <c r="J88" i="11"/>
  <c r="I94" i="11"/>
  <c r="H91" i="11"/>
  <c r="I90" i="11"/>
  <c r="H85" i="11"/>
  <c r="I84" i="11"/>
  <c r="I85" i="11"/>
  <c r="I92" i="11"/>
  <c r="I88" i="11"/>
  <c r="I86" i="11"/>
  <c r="J94" i="11"/>
  <c r="H92" i="11"/>
  <c r="J90" i="11"/>
  <c r="H88" i="11"/>
  <c r="J86" i="11"/>
  <c r="H84" i="11"/>
  <c r="J52" i="11"/>
  <c r="I52" i="11"/>
  <c r="J59" i="11"/>
  <c r="J58" i="11"/>
  <c r="I43" i="11"/>
  <c r="I59" i="11"/>
  <c r="J54" i="11"/>
  <c r="I58" i="11"/>
  <c r="I57" i="11"/>
  <c r="J56" i="11"/>
  <c r="I54" i="11"/>
  <c r="K54" i="11" s="1"/>
  <c r="J55" i="11"/>
  <c r="I56" i="11"/>
  <c r="I55" i="11"/>
  <c r="I53" i="11"/>
  <c r="H57" i="11"/>
  <c r="H53" i="11"/>
  <c r="J43" i="11"/>
  <c r="J42" i="11"/>
  <c r="J51" i="11"/>
  <c r="J47" i="11"/>
  <c r="I47" i="11"/>
  <c r="J46" i="11"/>
  <c r="I51" i="11"/>
  <c r="J50" i="11"/>
  <c r="I48" i="11"/>
  <c r="I44" i="11"/>
  <c r="I40" i="11"/>
  <c r="I50" i="11"/>
  <c r="H48" i="11"/>
  <c r="I46" i="11"/>
  <c r="H44" i="11"/>
  <c r="I42" i="11"/>
  <c r="H40" i="11"/>
  <c r="I45" i="11"/>
  <c r="I41" i="11"/>
  <c r="I49" i="11"/>
  <c r="H26" i="11"/>
  <c r="H49" i="11"/>
  <c r="H45" i="11"/>
  <c r="H41" i="11"/>
  <c r="H25" i="11"/>
  <c r="J30" i="11"/>
  <c r="I30" i="11"/>
  <c r="J29" i="11"/>
  <c r="J26" i="11"/>
  <c r="J33" i="11"/>
  <c r="J16" i="11"/>
  <c r="I26" i="11"/>
  <c r="I35" i="11"/>
  <c r="J34" i="11"/>
  <c r="J22" i="11"/>
  <c r="I31" i="11"/>
  <c r="I27" i="11"/>
  <c r="J19" i="11"/>
  <c r="I34" i="11"/>
  <c r="I22" i="11"/>
  <c r="J21" i="11"/>
  <c r="I19" i="11"/>
  <c r="J18" i="11"/>
  <c r="I16" i="11"/>
  <c r="J35" i="11"/>
  <c r="I33" i="11"/>
  <c r="I32" i="11"/>
  <c r="J31" i="11"/>
  <c r="I29" i="11"/>
  <c r="I28" i="11"/>
  <c r="J27" i="11"/>
  <c r="I25" i="11"/>
  <c r="I24" i="11"/>
  <c r="J23" i="11"/>
  <c r="I21" i="11"/>
  <c r="I20" i="11"/>
  <c r="I23" i="11"/>
  <c r="I18" i="11"/>
  <c r="I17" i="11"/>
  <c r="J25" i="11"/>
  <c r="H32" i="11"/>
  <c r="H28" i="11"/>
  <c r="H24" i="11"/>
  <c r="H20" i="11"/>
  <c r="H17" i="11"/>
  <c r="K113" i="11" l="1"/>
  <c r="K128" i="11"/>
  <c r="K87" i="11"/>
  <c r="K99" i="11"/>
  <c r="K167" i="11"/>
  <c r="K181" i="11"/>
  <c r="K158" i="11"/>
  <c r="K159" i="11"/>
  <c r="K100" i="11"/>
  <c r="K104" i="11"/>
  <c r="K107" i="11"/>
  <c r="K108" i="11"/>
  <c r="K106" i="11"/>
  <c r="K115" i="11"/>
  <c r="K116" i="11"/>
  <c r="K95" i="11"/>
  <c r="K178" i="11"/>
  <c r="K183" i="11"/>
  <c r="K160" i="11"/>
  <c r="K112" i="11"/>
  <c r="K171" i="11"/>
  <c r="K179" i="11"/>
  <c r="K98" i="11"/>
  <c r="K103" i="11"/>
  <c r="K101" i="11"/>
  <c r="K97" i="11"/>
  <c r="K105" i="11"/>
  <c r="K114" i="11"/>
  <c r="K109" i="11"/>
  <c r="K165" i="11"/>
  <c r="K166" i="11"/>
  <c r="K177" i="11"/>
  <c r="K145" i="11"/>
  <c r="K161" i="11"/>
  <c r="K175" i="11"/>
  <c r="K170" i="11"/>
  <c r="K182" i="11"/>
  <c r="K168" i="11"/>
  <c r="K185" i="11"/>
  <c r="K157" i="11"/>
  <c r="K146" i="11"/>
  <c r="K148" i="11"/>
  <c r="K164" i="11"/>
  <c r="K173" i="11"/>
  <c r="K133" i="11"/>
  <c r="K172" i="11"/>
  <c r="K169" i="11"/>
  <c r="K174" i="11"/>
  <c r="K186" i="11"/>
  <c r="K143" i="11"/>
  <c r="K162" i="11"/>
  <c r="K180" i="11"/>
  <c r="K163" i="11"/>
  <c r="K142" i="11"/>
  <c r="K152" i="11"/>
  <c r="K135" i="11"/>
  <c r="K184" i="11"/>
  <c r="K150" i="11"/>
  <c r="K129" i="11"/>
  <c r="K134" i="11"/>
  <c r="K131" i="11"/>
  <c r="K137" i="11"/>
  <c r="K132" i="11"/>
  <c r="K139" i="11"/>
  <c r="K154" i="11"/>
  <c r="K130" i="11"/>
  <c r="K149" i="11"/>
  <c r="K147" i="11"/>
  <c r="K141" i="11"/>
  <c r="K93" i="11"/>
  <c r="K156" i="11"/>
  <c r="K138" i="11"/>
  <c r="K153" i="11"/>
  <c r="K155" i="11"/>
  <c r="K136" i="11"/>
  <c r="K144" i="11"/>
  <c r="K151" i="11"/>
  <c r="K140" i="11"/>
  <c r="K91" i="11"/>
  <c r="K89" i="11"/>
  <c r="K84" i="11"/>
  <c r="K94" i="11"/>
  <c r="K90" i="11"/>
  <c r="K85" i="11"/>
  <c r="K59" i="11"/>
  <c r="K88" i="11"/>
  <c r="K92" i="11"/>
  <c r="K58" i="11"/>
  <c r="K86" i="11"/>
  <c r="K53" i="11"/>
  <c r="K52" i="11"/>
  <c r="K49" i="11"/>
  <c r="K56" i="11"/>
  <c r="K43" i="11"/>
  <c r="K50" i="11"/>
  <c r="K57" i="11"/>
  <c r="K55" i="11"/>
  <c r="K47" i="11"/>
  <c r="K40" i="11"/>
  <c r="K42" i="11"/>
  <c r="K51" i="11"/>
  <c r="K48" i="11"/>
  <c r="K44" i="11"/>
  <c r="K30" i="11"/>
  <c r="K41" i="11"/>
  <c r="K46" i="11"/>
  <c r="K45" i="11"/>
  <c r="K16" i="11"/>
  <c r="K22" i="11"/>
  <c r="K26" i="11"/>
  <c r="K34" i="11"/>
  <c r="K29" i="11"/>
  <c r="K20" i="11"/>
  <c r="K21" i="11"/>
  <c r="K27" i="11"/>
  <c r="K19" i="11"/>
  <c r="K33" i="11"/>
  <c r="K17" i="11"/>
  <c r="K35" i="11"/>
  <c r="K24" i="11"/>
  <c r="K28" i="11"/>
  <c r="K23" i="11"/>
  <c r="K18" i="11"/>
  <c r="K31" i="11"/>
  <c r="K32" i="11"/>
  <c r="K25" i="11"/>
  <c r="D21" i="59" l="1"/>
  <c r="K6" i="60"/>
  <c r="D36" i="11"/>
  <c r="H36" i="11" s="1"/>
  <c r="E36" i="11"/>
  <c r="G36" i="11"/>
  <c r="D37" i="11"/>
  <c r="H37" i="11" s="1"/>
  <c r="E37" i="11"/>
  <c r="G37" i="11"/>
  <c r="D38" i="11"/>
  <c r="E38" i="11"/>
  <c r="G38" i="11"/>
  <c r="D39" i="11"/>
  <c r="H39" i="11" s="1"/>
  <c r="E39" i="11"/>
  <c r="G39" i="11"/>
  <c r="J38" i="11" l="1"/>
  <c r="J37" i="11"/>
  <c r="I39" i="11"/>
  <c r="I37" i="11"/>
  <c r="J36" i="11"/>
  <c r="I36" i="11"/>
  <c r="J39" i="11"/>
  <c r="I38" i="11"/>
  <c r="H38" i="11"/>
  <c r="K36" i="11" l="1"/>
  <c r="K37" i="11"/>
  <c r="K38" i="11"/>
  <c r="K39" i="11"/>
  <c r="D15" i="11" l="1"/>
  <c r="H15" i="11" s="1"/>
  <c r="E15" i="11"/>
  <c r="G15" i="11"/>
  <c r="J15" i="11" l="1"/>
  <c r="I15" i="11"/>
  <c r="K15" i="11" l="1"/>
  <c r="D14" i="11" l="1"/>
  <c r="J14" i="11" s="1"/>
  <c r="J187" i="11" s="1"/>
  <c r="E14" i="11"/>
  <c r="G14" i="11"/>
  <c r="K19" i="60"/>
  <c r="D19" i="60"/>
  <c r="H14" i="11" l="1"/>
  <c r="H187" i="11" s="1"/>
  <c r="I14" i="11"/>
  <c r="I187" i="11" s="1"/>
  <c r="K187" i="11" l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2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8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87" i="11"/>
  <c r="D188" i="11"/>
  <c r="H188" i="11" s="1"/>
  <c r="E18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8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95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32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8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88" i="11"/>
  <c r="I188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67" i="29"/>
  <c r="E247" i="29"/>
  <c r="F302" i="29"/>
  <c r="F284" i="29"/>
  <c r="F266" i="29"/>
  <c r="E245" i="29"/>
  <c r="F294" i="29"/>
  <c r="F289" i="29"/>
  <c r="E299" i="29"/>
  <c r="E268" i="29"/>
  <c r="E273" i="29"/>
  <c r="E236" i="29"/>
  <c r="F308" i="29"/>
  <c r="F293" i="29"/>
  <c r="E264" i="29"/>
  <c r="E261" i="29"/>
  <c r="F270" i="29"/>
  <c r="E276" i="29"/>
  <c r="F256" i="29"/>
  <c r="E251" i="29"/>
  <c r="F250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188" i="11"/>
  <c r="K190" i="11" s="1"/>
  <c r="F278" i="29" l="1"/>
  <c r="E227" i="29"/>
  <c r="F246" i="29"/>
  <c r="F244" i="29"/>
  <c r="F287" i="29"/>
  <c r="E309" i="29"/>
  <c r="F292" i="29"/>
  <c r="F274" i="29"/>
  <c r="E280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90" i="11"/>
  <c r="H191" i="11" s="1"/>
  <c r="I190" i="11"/>
  <c r="I191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E352" i="29"/>
  <c r="E9" i="54"/>
  <c r="L9" i="54" s="1"/>
  <c r="M9" i="54" s="1"/>
  <c r="I10" i="54"/>
  <c r="H10" i="54"/>
  <c r="C11" i="54"/>
  <c r="D10" i="54"/>
  <c r="F298" i="29" l="1"/>
  <c r="F315" i="29"/>
  <c r="F352" i="29"/>
  <c r="F319" i="29"/>
  <c r="F300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92" i="11"/>
  <c r="I19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191" i="1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90" i="11"/>
  <c r="J19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192" i="11"/>
  <c r="B193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9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8" i="41" l="1"/>
  <c r="F805" i="41"/>
  <c r="F790" i="41"/>
  <c r="F842" i="41"/>
  <c r="F809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<sst xmlns="http://schemas.openxmlformats.org/spreadsheetml/2006/main" count="4862" uniqueCount="1651">
  <si>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</si>
  <si>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</si>
  <si>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</si>
  <si>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</si>
  <si>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</si>
  <si>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</si>
  <si>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</si>
  <si>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</si>
  <si>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</si>
  <si>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</si>
  <si>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</si>
  <si>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</si>
  <si>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</si>
  <si>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</si>
  <si>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</si>
  <si>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</si>
  <si>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</si>
  <si>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</si>
  <si>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</si>
  <si>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</si>
  <si>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</si>
  <si>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</si>
  <si>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</si>
  <si>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</si>
  <si>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</si>
  <si>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</si>
  <si>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</si>
  <si>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</si>
  <si>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</si>
  <si>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</si>
  <si>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</si>
  <si>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</si>
  <si>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</si>
  <si>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</si>
  <si>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</si>
  <si>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</si>
  <si>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</si>
  <si>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</si>
  <si>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</si>
  <si>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</si>
  <si>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</si>
  <si>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</si>
  <si>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</si>
  <si>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</si>
  <si>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</si>
  <si>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</si>
  <si>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</si>
  <si>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</si>
  <si>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</si>
  <si>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</si>
  <si>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</si>
  <si>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</si>
  <si>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</si>
  <si>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</si>
  <si>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</si>
  <si>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</si>
  <si>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</si>
  <si>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</si>
  <si>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</si>
  <si>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</si>
  <si>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</si>
  <si>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</si>
  <si>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</si>
  <si>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</si>
  <si>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</si>
  <si>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</si>
  <si>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</si>
  <si>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</si>
  <si>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</si>
  <si>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</si>
  <si>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</si>
  <si>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</si>
  <si>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</si>
  <si>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</si>
  <si>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</si>
  <si>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</si>
  <si>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</si>
  <si>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</si>
  <si>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</si>
  <si>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</si>
  <si>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</si>
  <si>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</si>
  <si>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</si>
  <si>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</si>
  <si>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</si>
  <si>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</si>
  <si>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</si>
  <si>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</si>
  <si>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</si>
  <si>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</si>
  <si>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</si>
  <si>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</si>
  <si>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</si>
  <si>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</si>
  <si>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</si>
  <si>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</si>
  <si>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</si>
  <si>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</si>
  <si>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</si>
  <si>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</si>
  <si>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</si>
  <si>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</si>
  <si>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</si>
  <si>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</si>
  <si>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</si>
  <si>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</si>
  <si>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</si>
  <si>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</si>
  <si>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</si>
  <si>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</si>
  <si>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</si>
  <si>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</si>
  <si>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</si>
  <si>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</si>
  <si>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</si>
  <si>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</si>
  <si>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</si>
  <si>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</si>
  <si>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</si>
  <si>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</si>
  <si>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</si>
  <si>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</si>
  <si>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</si>
  <si>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</si>
  <si>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</si>
  <si>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</si>
  <si>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</si>
  <si>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</si>
  <si>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</si>
  <si>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</si>
  <si>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</si>
  <si>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</si>
  <si>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</si>
  <si>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</si>
  <si>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</si>
  <si>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</si>
  <si>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</si>
  <si>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</si>
  <si>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</si>
  <si>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</si>
  <si>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</si>
  <si>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</si>
  <si>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</si>
  <si>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</si>
  <si>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</si>
  <si>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</si>
  <si>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</si>
  <si>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</si>
  <si>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</si>
  <si>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</si>
  <si>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</si>
  <si>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</si>
  <si>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</si>
  <si>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</si>
  <si>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</si>
  <si>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</si>
  <si>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</si>
  <si>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</si>
  <si>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</si>
  <si>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</si>
  <si>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</si>
  <si>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</si>
  <si>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</si>
  <si>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</si>
  <si>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</si>
  <si>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</si>
  <si>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</si>
  <si>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</si>
  <si>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</si>
  <si>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</si>
  <si>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</si>
  <si>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</si>
  <si>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</si>
  <si>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</si>
  <si>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</si>
  <si>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</si>
  <si>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</si>
  <si>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</si>
  <si>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</si>
  <si>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</si>
  <si>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</si>
  <si>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</si>
  <si>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</si>
  <si>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</si>
  <si>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</si>
  <si>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</si>
  <si>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</si>
  <si>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</si>
  <si>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</si>
  <si>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</si>
  <si>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</si>
  <si>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</si>
  <si>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</si>
  <si>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</si>
  <si>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</si>
  <si>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</si>
  <si>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</si>
  <si>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</si>
  <si>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</si>
  <si>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</si>
  <si>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</si>
  <si>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</si>
  <si>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</si>
  <si>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</si>
  <si>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</si>
  <si>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</si>
  <si>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</si>
  <si>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</si>
  <si>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</si>
  <si>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</si>
  <si>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</si>
  <si>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</si>
  <si>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</si>
  <si>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</si>
  <si>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</si>
  <si>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</si>
  <si>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</si>
  <si>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</si>
  <si>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</si>
  <si>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</si>
  <si>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</si>
  <si>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</si>
  <si>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</si>
  <si>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</si>
  <si>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</si>
  <si>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</si>
  <si>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</si>
  <si>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</si>
  <si>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</si>
  <si>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</si>
  <si>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</si>
  <si>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</si>
  <si>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</si>
  <si>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</si>
  <si>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</si>
  <si>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</si>
  <si>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</si>
  <si>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</si>
  <si>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</si>
  <si>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</si>
  <si>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</si>
  <si>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</si>
  <si>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</si>
  <si>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</si>
  <si>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</si>
  <si>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</si>
  <si>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</si>
  <si>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</si>
  <si>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</si>
  <si>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</si>
  <si>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</si>
  <si>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</si>
  <si>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</si>
  <si>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</si>
  <si>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</si>
  <si>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</si>
  <si>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</si>
  <si>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</si>
  <si>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</si>
  <si>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</si>
  <si>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</si>
  <si>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</si>
  <si>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</si>
  <si>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</si>
  <si>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</si>
  <si>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</si>
  <si>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</si>
  <si>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</si>
  <si>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</si>
  <si>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</si>
  <si>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</si>
  <si>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</si>
  <si>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</si>
  <si>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</si>
  <si>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</si>
  <si>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</si>
  <si>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</si>
  <si>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</si>
  <si>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</si>
  <si>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</si>
  <si>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</si>
  <si>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</si>
  <si>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</si>
  <si>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</si>
  <si>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</si>
  <si>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</si>
  <si>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</si>
  <si>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</si>
  <si>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</si>
  <si>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</si>
  <si>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</si>
  <si>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</si>
  <si>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</si>
  <si>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</si>
  <si>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</si>
  <si>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</si>
  <si>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</si>
  <si>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</si>
  <si>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</si>
  <si>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</si>
  <si>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</si>
  <si>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</si>
  <si>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</si>
  <si>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</si>
  <si>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</si>
  <si>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</si>
  <si>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</si>
  <si>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</si>
  <si>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</si>
  <si>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</si>
  <si>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</si>
  <si>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</si>
  <si>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</si>
  <si>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</si>
  <si>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</si>
  <si>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</si>
  <si>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</si>
  <si>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</si>
  <si>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</si>
  <si>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</si>
  <si>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</si>
  <si>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</si>
  <si>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</si>
  <si>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</si>
  <si>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</si>
  <si>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</si>
  <si>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</si>
  <si>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</si>
  <si>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</si>
  <si>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</si>
  <si>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</si>
  <si>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</si>
  <si>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</si>
  <si>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</si>
  <si>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</si>
  <si>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</si>
  <si>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</si>
  <si>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</si>
  <si>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</si>
  <si>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</si>
  <si>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</si>
  <si>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</si>
  <si>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</si>
  <si>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</si>
  <si>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</si>
  <si>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</si>
  <si>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</si>
  <si>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</si>
  <si>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</si>
  <si>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</si>
  <si>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</si>
  <si>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</si>
  <si>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</si>
  <si>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</si>
  <si>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</si>
  <si>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</si>
  <si>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</si>
  <si>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</si>
  <si>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</si>
  <si>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</si>
  <si>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</si>
  <si>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</si>
  <si>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</si>
  <si>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</si>
  <si>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</si>
  <si>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</si>
  <si>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</si>
  <si>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</si>
  <si>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</si>
  <si>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</si>
  <si>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</si>
  <si>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</si>
  <si>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</si>
  <si>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</si>
  <si>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</si>
  <si>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</si>
  <si>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</si>
  <si>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</si>
  <si>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</si>
  <si>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</si>
  <si>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</si>
  <si>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</si>
  <si>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</si>
  <si>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</si>
  <si>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</si>
  <si>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</si>
  <si>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</si>
  <si>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</si>
  <si>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</si>
  <si>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</si>
  <si>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</si>
  <si>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</si>
  <si>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</si>
  <si>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</si>
  <si>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</si>
  <si>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</si>
  <si>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</si>
  <si>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</si>
  <si>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</si>
  <si>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</si>
  <si>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</si>
  <si>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</si>
  <si>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</si>
  <si>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</si>
  <si>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</si>
  <si>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</si>
  <si>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</si>
  <si>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</si>
  <si>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</si>
  <si>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</si>
  <si>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</si>
  <si>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</si>
  <si>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</si>
  <si>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</si>
  <si>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</si>
  <si>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</si>
  <si>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</si>
  <si>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</si>
  <si>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</si>
  <si>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</si>
  <si>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</si>
  <si>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</si>
  <si>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</si>
  <si>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</si>
  <si>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</si>
  <si>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</si>
  <si>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</si>
  <si>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</si>
  <si>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</si>
  <si>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</si>
  <si>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</si>
  <si>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</si>
  <si>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</si>
  <si>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</si>
  <si>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</si>
  <si>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</si>
  <si>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</si>
  <si>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</si>
  <si>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</si>
  <si>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</si>
  <si>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</si>
  <si>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</si>
  <si>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</si>
  <si>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</si>
  <si>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</si>
  <si>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</si>
  <si>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</si>
  <si>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</si>
  <si>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</si>
  <si>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</si>
  <si>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</si>
  <si>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</si>
  <si>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</si>
  <si>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</si>
  <si>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</si>
  <si>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</si>
  <si>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</si>
  <si>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</si>
  <si>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</si>
  <si>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</si>
  <si>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</si>
  <si>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</si>
  <si>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</si>
  <si>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</si>
  <si>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</si>
  <si>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</si>
  <si>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</si>
  <si>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</si>
  <si>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</si>
  <si>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</si>
  <si>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</si>
  <si>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</si>
  <si>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</si>
  <si>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</si>
  <si>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</si>
  <si>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</si>
  <si>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</si>
  <si>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</si>
  <si>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</si>
  <si>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</si>
  <si>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</si>
  <si>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</si>
  <si>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</si>
  <si>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</si>
  <si>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</si>
  <si>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</si>
  <si>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</si>
  <si>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</si>
  <si>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</si>
  <si>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</si>
  <si>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</si>
  <si>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</si>
  <si>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</si>
  <si>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</si>
  <si>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</si>
  <si>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</si>
  <si>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</si>
  <si>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</si>
  <si>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</si>
  <si>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</si>
  <si>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</si>
  <si>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</si>
  <si>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</si>
  <si>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</si>
  <si>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</si>
  <si>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</si>
  <si>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</si>
  <si>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</si>
  <si>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</si>
  <si>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</si>
  <si>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</si>
  <si>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</si>
  <si>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</si>
  <si>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</si>
  <si>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</si>
  <si>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</si>
  <si>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</si>
  <si>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</si>
  <si>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</si>
  <si>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</si>
  <si>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</si>
  <si>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</si>
  <si>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</si>
  <si>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</si>
  <si>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</si>
  <si>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</si>
  <si>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</si>
  <si>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</si>
  <si>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</si>
  <si>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</si>
  <si>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</si>
  <si>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</si>
  <si>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</si>
  <si>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</si>
  <si>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</si>
  <si>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</si>
  <si>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</si>
  <si>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</si>
  <si>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</si>
  <si>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</si>
  <si>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</si>
  <si>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</si>
  <si>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</si>
  <si>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</si>
  <si>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</si>
  <si>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</si>
  <si>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</si>
  <si>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</si>
  <si>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</si>
  <si>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</si>
  <si>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</si>
  <si>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</si>
  <si>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</si>
  <si>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</si>
  <si>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</si>
  <si>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</si>
  <si>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</si>
  <si>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</si>
  <si>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</si>
  <si>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</si>
  <si>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</si>
  <si>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</si>
  <si>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</si>
  <si>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</si>
  <si>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</si>
  <si>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</si>
  <si>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</si>
  <si>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</si>
  <si>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</si>
  <si>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</si>
  <si>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</si>
  <si>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</si>
  <si>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</si>
  <si>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</si>
  <si>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</si>
  <si>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</si>
  <si>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</si>
  <si>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</si>
  <si>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</si>
  <si>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</si>
  <si>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</si>
  <si>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</si>
  <si>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</si>
  <si>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</si>
  <si>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</si>
  <si>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</si>
  <si>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</si>
  <si>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</si>
  <si>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</si>
  <si>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</si>
  <si>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</si>
  <si>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</si>
  <si>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</si>
  <si>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</si>
  <si>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</si>
  <si>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</si>
  <si>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</si>
  <si>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</si>
  <si>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</si>
  <si>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</si>
  <si>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</si>
  <si>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</si>
  <si>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</si>
  <si>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</si>
  <si>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</si>
  <si>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</si>
  <si>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</si>
  <si>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</si>
  <si>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</si>
  <si>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</si>
  <si>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</si>
  <si>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</si>
  <si>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</si>
  <si>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</si>
  <si>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</si>
  <si>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</si>
  <si>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</si>
  <si>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</si>
  <si>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</si>
  <si>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</si>
  <si>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</si>
  <si>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</si>
  <si>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</si>
  <si>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</si>
  <si>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</si>
  <si>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</si>
  <si>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</si>
  <si>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</si>
  <si>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</si>
  <si>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</si>
  <si>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</si>
  <si>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</si>
  <si>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</si>
  <si>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</si>
  <si>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</si>
  <si>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</si>
  <si>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</si>
  <si>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</si>
  <si>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</si>
  <si>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</si>
  <si>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</si>
  <si>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</si>
  <si>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</si>
  <si>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</si>
  <si>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</si>
  <si>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</si>
  <si>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</si>
  <si>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</si>
  <si>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</si>
  <si>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</si>
  <si>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</si>
  <si>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</si>
  <si>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</si>
  <si>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</si>
  <si>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</si>
  <si>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</si>
  <si>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</si>
  <si>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</si>
  <si>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</si>
  <si>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</si>
  <si>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</si>
  <si>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</si>
  <si>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</si>
  <si>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</si>
  <si>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</si>
  <si>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</si>
  <si>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</si>
  <si>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</si>
  <si>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</si>
  <si>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</si>
  <si>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</si>
  <si>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</si>
  <si>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</si>
  <si>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</si>
  <si>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</si>
  <si>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</si>
  <si>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</si>
  <si>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</si>
  <si>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</si>
  <si>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</si>
  <si>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</si>
  <si>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</si>
  <si>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</si>
  <si>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</si>
  <si>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</si>
  <si>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</si>
  <si>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</si>
  <si>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</si>
  <si>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</si>
  <si>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</si>
  <si>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</si>
  <si>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</si>
  <si>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</si>
  <si>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</si>
  <si>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</si>
  <si>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</si>
  <si>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</si>
  <si>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</si>
  <si>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</si>
  <si>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</si>
  <si>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</si>
  <si>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</si>
  <si>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</si>
  <si>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</si>
  <si>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</si>
  <si>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</si>
  <si>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</si>
  <si>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</si>
  <si>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</si>
  <si>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</si>
  <si>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</si>
  <si>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</si>
  <si>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</si>
  <si>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</si>
  <si>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</si>
  <si>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</si>
  <si>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</si>
  <si>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</si>
  <si>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</si>
  <si>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</si>
  <si>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</si>
  <si>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</si>
  <si>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</si>
  <si>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</si>
  <si>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</si>
  <si>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</si>
  <si>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</si>
  <si>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</si>
  <si>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</si>
  <si>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</si>
  <si>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</si>
  <si>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</si>
  <si>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</si>
  <si>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</si>
  <si>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</si>
  <si>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</si>
  <si>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</si>
  <si>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</si>
  <si>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</si>
  <si>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</si>
  <si>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</si>
  <si>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</si>
  <si>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</si>
  <si>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</si>
  <si>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</si>
  <si>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</si>
  <si>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</si>
  <si>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</si>
  <si>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</si>
  <si>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</si>
  <si>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</si>
  <si>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</si>
  <si>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</si>
  <si>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</si>
  <si>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</si>
  <si>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</si>
  <si>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</si>
  <si>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</si>
  <si>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</si>
  <si>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</si>
  <si>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</si>
  <si>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</si>
  <si>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</si>
  <si>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</si>
  <si>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</si>
  <si>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</si>
  <si>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</si>
  <si>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</si>
  <si>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</si>
  <si>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</si>
  <si>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</si>
  <si>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</si>
  <si>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</si>
  <si>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</si>
  <si>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</si>
  <si>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</si>
  <si>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</si>
  <si>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</si>
  <si>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</si>
  <si>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</si>
  <si>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</si>
  <si>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</si>
  <si>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</si>
  <si>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</si>
  <si>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</si>
  <si>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</si>
  <si>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</si>
  <si>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</si>
  <si>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</si>
  <si>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</si>
  <si>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</si>
  <si>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</si>
  <si>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</si>
  <si>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</si>
  <si>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</si>
  <si>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</si>
  <si>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</si>
  <si>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</si>
  <si>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</si>
  <si>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</si>
  <si>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</si>
  <si>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</si>
  <si>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</si>
  <si>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</si>
  <si>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</si>
  <si>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</si>
  <si>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</si>
  <si>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</si>
  <si>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</si>
  <si>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</si>
  <si>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</si>
  <si>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</si>
  <si>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</si>
  <si>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</si>
  <si>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</si>
  <si>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</si>
  <si>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</si>
  <si>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</si>
  <si>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</si>
  <si>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</si>
  <si>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</si>
  <si>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</si>
  <si>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</si>
  <si>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</si>
  <si>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</si>
  <si>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</si>
  <si>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</si>
  <si>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</si>
  <si>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</si>
  <si>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</si>
  <si>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</si>
  <si>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</si>
  <si>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</si>
  <si>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</si>
  <si>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</si>
  <si>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</si>
  <si>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</si>
  <si>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</si>
  <si>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</si>
  <si>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</si>
  <si>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</si>
  <si>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</si>
  <si>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</si>
  <si>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</si>
  <si>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</si>
  <si>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</si>
  <si>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</si>
  <si>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</si>
  <si>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</si>
  <si>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</si>
  <si>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</si>
  <si>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</si>
  <si>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</si>
  <si>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</si>
  <si>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</si>
  <si>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</si>
  <si>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</si>
  <si>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</si>
  <si>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</si>
  <si>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</si>
  <si>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</si>
  <si>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</si>
  <si>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</si>
  <si>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</si>
  <si>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</si>
  <si>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</si>
  <si>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</si>
  <si>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</si>
  <si>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</si>
  <si>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</si>
  <si>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</si>
  <si>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</si>
  <si>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</si>
  <si>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</si>
  <si>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</si>
  <si>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</si>
  <si>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</si>
  <si>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</si>
  <si>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</si>
  <si>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</si>
  <si>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</si>
  <si>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</si>
  <si>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</si>
  <si>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</si>
  <si>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</si>
  <si>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</si>
  <si>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</si>
  <si>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</si>
  <si>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</si>
  <si>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</si>
  <si>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</si>
  <si>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</si>
  <si>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</si>
  <si>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</si>
  <si>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</si>
  <si>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</si>
  <si>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</si>
  <si>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</si>
  <si>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</si>
  <si>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</si>
  <si>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</si>
  <si>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</si>
  <si>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</si>
  <si>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</si>
  <si>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</si>
  <si>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</si>
  <si>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</si>
  <si>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</si>
  <si>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</si>
  <si>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</si>
  <si>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</si>
  <si>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</si>
  <si>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</si>
  <si>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</si>
  <si>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</si>
  <si>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</si>
  <si>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</si>
  <si>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</si>
  <si>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</si>
  <si>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</si>
  <si>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</si>
  <si>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</si>
  <si>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</si>
  <si>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</si>
  <si>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</si>
  <si>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</si>
  <si>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</si>
  <si>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</si>
  <si>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</si>
  <si>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</si>
  <si>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</si>
  <si>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</si>
  <si>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</si>
  <si>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</si>
  <si>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</si>
  <si>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</si>
  <si>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</si>
  <si>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</si>
  <si>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</si>
  <si>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</si>
  <si>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</si>
  <si>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</si>
  <si>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</si>
  <si>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</si>
  <si>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</si>
  <si>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</si>
  <si>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</si>
  <si>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</si>
  <si>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</si>
  <si>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</si>
  <si>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</si>
  <si>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</si>
  <si>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</si>
  <si>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</si>
  <si>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</si>
  <si>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</si>
  <si>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</si>
  <si>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</si>
  <si>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</si>
  <si>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</si>
  <si>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</si>
  <si>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</si>
  <si>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</si>
  <si>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</si>
  <si>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</si>
  <si>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</si>
  <si>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</si>
  <si>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</si>
  <si>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</si>
  <si>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</si>
  <si>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</si>
  <si>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</si>
  <si>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</si>
  <si>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</si>
  <si>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</si>
  <si>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</si>
  <si>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</si>
  <si>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</si>
  <si>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</si>
  <si>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</si>
  <si>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</si>
  <si>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</si>
  <si>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</si>
  <si>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</si>
  <si>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</si>
  <si>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</si>
  <si>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</si>
  <si>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</si>
  <si>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</si>
  <si>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</si>
  <si>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</si>
  <si>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</si>
  <si>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</si>
  <si>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</si>
  <si>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</si>
  <si>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</si>
  <si>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</si>
  <si>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</si>
  <si>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</si>
  <si>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</si>
  <si>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</si>
  <si>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</si>
  <si>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</si>
  <si>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</si>
  <si>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</si>
  <si>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</si>
  <si>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</si>
  <si>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</si>
  <si>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</si>
  <si>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</si>
  <si>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</si>
  <si>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</si>
  <si>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</si>
  <si>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</si>
  <si>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</si>
  <si>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</si>
  <si>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</si>
  <si>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</si>
  <si>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</si>
  <si>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</si>
  <si>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</si>
  <si>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</si>
  <si>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</si>
  <si>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</si>
  <si>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</si>
  <si>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</si>
  <si>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</si>
  <si>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</si>
  <si>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</si>
  <si>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</si>
  <si>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</si>
  <si>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</si>
  <si>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</si>
  <si>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</si>
  <si>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</si>
  <si>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</si>
  <si>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</si>
  <si>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</si>
  <si>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</si>
  <si>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</si>
  <si>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</si>
  <si>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</si>
  <si>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</si>
  <si>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</si>
  <si>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</si>
  <si>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</si>
  <si>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</si>
  <si>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</si>
  <si>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</si>
  <si>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</si>
  <si>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</si>
  <si>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</si>
  <si>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</si>
  <si>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</si>
  <si>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</si>
  <si>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</si>
  <si>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</si>
  <si>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</si>
  <si>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</si>
  <si>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</si>
  <si>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</si>
  <si>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</si>
  <si>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</si>
  <si>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</si>
  <si>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</si>
  <si>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</si>
  <si>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</si>
  <si>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</si>
  <si>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</si>
  <si>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</si>
  <si>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</si>
  <si>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</si>
  <si>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</si>
  <si>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</si>
  <si>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</si>
  <si>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</si>
  <si>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</si>
  <si>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</si>
  <si>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</si>
  <si>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</si>
  <si>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</si>
  <si>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</si>
  <si>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</si>
  <si>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</si>
  <si>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</si>
  <si>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</si>
  <si>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</si>
  <si>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</si>
  <si>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</si>
  <si>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</si>
  <si>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</si>
  <si>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</si>
  <si>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</si>
  <si>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</si>
  <si>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</si>
  <si>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</si>
  <si>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</si>
  <si>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</si>
  <si>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</si>
  <si>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</si>
  <si>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</si>
  <si>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</si>
  <si>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</si>
  <si>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</si>
  <si>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</si>
  <si>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</si>
  <si>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</si>
  <si>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</si>
  <si>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</si>
  <si>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</si>
  <si>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</si>
  <si>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</si>
  <si>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</si>
  <si>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</si>
  <si>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</si>
  <si>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</si>
  <si>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</si>
  <si>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</si>
  <si>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</si>
  <si>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</si>
  <si>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</si>
  <si>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</si>
  <si>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</si>
  <si>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</si>
  <si>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</si>
  <si>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</si>
  <si>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</si>
  <si>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</si>
  <si>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</si>
  <si>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</si>
  <si>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</si>
  <si>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</si>
  <si>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</si>
  <si>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</si>
  <si>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</si>
  <si>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</si>
  <si>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</si>
  <si>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</si>
  <si>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</si>
  <si>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</si>
  <si>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</si>
  <si>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</si>
  <si>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</si>
  <si>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</si>
  <si>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</si>
  <si>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</si>
  <si>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</si>
  <si>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</si>
  <si>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</si>
  <si>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</si>
  <si>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</si>
  <si>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</si>
  <si>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</si>
  <si>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</si>
  <si>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</si>
  <si>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</si>
  <si>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</si>
  <si>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</si>
  <si>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</si>
  <si>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</si>
  <si>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</si>
  <si>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</si>
  <si>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</si>
  <si>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</si>
  <si>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</si>
  <si>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</si>
  <si>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</si>
  <si>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</si>
  <si>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</si>
  <si>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</si>
  <si>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</si>
  <si>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</si>
  <si>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</si>
  <si>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</si>
  <si>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</si>
  <si>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</si>
  <si>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</si>
  <si>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</si>
  <si>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</si>
  <si>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</si>
  <si>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</si>
  <si>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</si>
  <si>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</si>
  <si>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</si>
  <si>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</si>
  <si>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</si>
  <si>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</si>
  <si>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</si>
  <si>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</si>
  <si>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</si>
  <si>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</si>
  <si>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</si>
  <si>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</si>
  <si>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</si>
  <si>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</si>
  <si>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</si>
  <si>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</si>
  <si>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</si>
  <si>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</si>
  <si>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</si>
  <si>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</si>
  <si>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</si>
  <si>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</si>
  <si>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</si>
  <si>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</si>
  <si>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</si>
  <si>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</si>
  <si>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</si>
  <si>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</si>
  <si>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</si>
  <si>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</si>
  <si>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</si>
  <si>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</si>
  <si>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</si>
  <si>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</si>
  <si>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</si>
  <si>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</si>
  <si>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</si>
  <si>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</si>
  <si>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</si>
  <si>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</si>
  <si>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</si>
  <si>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</si>
  <si>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</si>
  <si>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</si>
  <si>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</si>
  <si>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</si>
  <si>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</si>
  <si>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</si>
  <si>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</si>
  <si>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</si>
  <si>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</si>
  <si>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</si>
  <si>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</si>
  <si>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</si>
  <si>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</si>
  <si>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</si>
  <si>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</si>
  <si>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</si>
  <si>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</si>
  <si>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</si>
  <si>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</si>
  <si>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</si>
  <si>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</si>
  <si>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</si>
  <si>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</si>
  <si>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</si>
  <si>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</si>
  <si>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</si>
  <si>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</si>
  <si>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</si>
  <si>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</si>
  <si>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</si>
  <si>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</si>
  <si>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</si>
  <si>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</si>
  <si>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</si>
  <si>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</si>
  <si>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</si>
  <si>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</si>
  <si>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</si>
  <si>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</si>
  <si>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</si>
  <si>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</si>
  <si>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</si>
  <si>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</si>
  <si>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</si>
  <si>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</si>
  <si>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</si>
  <si>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</si>
  <si>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</si>
  <si>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</si>
  <si>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</si>
  <si>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</si>
  <si>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</si>
  <si>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</si>
  <si>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</si>
  <si>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</si>
  <si>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</si>
  <si>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</si>
  <si>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</si>
  <si>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</si>
  <si>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</si>
  <si>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</si>
  <si>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</si>
  <si>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</si>
  <si>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</si>
  <si>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</si>
  <si>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</si>
  <si>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</si>
  <si>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</si>
  <si>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</si>
  <si>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</si>
  <si>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</si>
  <si>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</si>
  <si>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</si>
  <si>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</si>
  <si>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</si>
  <si>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</si>
  <si>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</si>
  <si>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</si>
  <si>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</si>
  <si>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</si>
  <si>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</si>
  <si>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</si>
  <si>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</si>
  <si>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</si>
  <si>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</si>
  <si>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</si>
  <si>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</si>
  <si>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</si>
  <si>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</si>
  <si>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</si>
  <si>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</si>
  <si>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</si>
  <si>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</si>
  <si>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</si>
  <si>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</si>
  <si>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</si>
  <si>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</si>
  <si>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</si>
  <si>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</si>
  <si>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</si>
  <si>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</si>
  <si>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</si>
  <si>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</si>
  <si>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</si>
  <si>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</si>
  <si>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</si>
  <si>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</si>
  <si>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</si>
  <si>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</si>
  <si>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</si>
  <si>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</si>
  <si>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</si>
  <si>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</si>
  <si>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</si>
  <si>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</si>
  <si>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</si>
  <si>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</si>
  <si>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</si>
  <si>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</si>
  <si>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</si>
  <si>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</si>
  <si>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</si>
  <si>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</si>
  <si>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</si>
  <si>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</si>
  <si>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</si>
  <si>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</si>
  <si>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</si>
  <si>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</si>
  <si>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</si>
  <si>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</si>
  <si>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</si>
  <si>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</si>
  <si>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</si>
  <si>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</si>
  <si>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</si>
  <si>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</si>
  <si>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</si>
  <si>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</si>
  <si>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</si>
  <si>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</si>
  <si>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</si>
  <si>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</si>
  <si>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</si>
  <si>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</si>
  <si>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</si>
  <si>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</si>
  <si>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</si>
  <si>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</si>
  <si>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</si>
  <si>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</si>
  <si>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</si>
  <si>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</si>
  <si>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</si>
  <si>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</si>
  <si>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</si>
  <si>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</si>
  <si>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</si>
  <si>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</si>
  <si>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</si>
  <si>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</si>
  <si>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</si>
  <si>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</si>
  <si>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</si>
  <si>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</si>
  <si>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</si>
  <si>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</si>
  <si>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</si>
  <si>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</si>
  <si>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</si>
  <si>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</si>
  <si>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</si>
  <si>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</si>
  <si>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</si>
  <si>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</si>
  <si>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</si>
  <si>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</si>
  <si>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</si>
  <si>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</si>
  <si>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</si>
  <si>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</si>
  <si>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</si>
  <si>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</si>
  <si>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</si>
  <si>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</si>
  <si>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</si>
  <si>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</si>
  <si>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</si>
  <si>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</si>
  <si>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</si>
  <si>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</si>
  <si>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</si>
  <si>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</si>
  <si>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</si>
  <si>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</si>
  <si>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</si>
  <si>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</si>
  <si>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</si>
  <si>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</si>
  <si>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</si>
  <si>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</si>
  <si>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</si>
  <si>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</si>
  <si>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</si>
  <si>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</si>
  <si>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</si>
  <si>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</si>
  <si>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</si>
  <si>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</si>
  <si>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</si>
  <si>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</si>
  <si>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</si>
  <si>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</si>
  <si>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</si>
  <si>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</si>
  <si>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</si>
  <si>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</si>
  <si>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</si>
  <si>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</si>
  <si>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</si>
  <si>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</si>
  <si>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</si>
  <si>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</si>
  <si>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</si>
  <si>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</si>
  <si>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</si>
  <si>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</si>
  <si>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</si>
  <si>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</si>
  <si>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</si>
  <si>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</si>
  <si>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</si>
  <si>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</si>
  <si>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</si>
  <si>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</si>
  <si>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</si>
  <si>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</si>
  <si>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</si>
  <si>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</si>
  <si>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</si>
  <si>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</si>
  <si>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</si>
  <si>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</si>
  <si>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</si>
  <si>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</si>
  <si>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</si>
  <si>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</si>
  <si>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</si>
  <si>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</si>
  <si>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</si>
  <si>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</si>
  <si>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</si>
  <si>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</si>
  <si>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</si>
  <si>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</si>
  <si>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</si>
  <si>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</si>
  <si>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</si>
  <si>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</si>
  <si>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</si>
  <si>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</si>
  <si>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</si>
  <si>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</si>
  <si>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</si>
  <si>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</si>
  <si>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</si>
  <si>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</si>
  <si>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</si>
  <si>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</si>
  <si>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</si>
  <si>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</si>
  <si>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</si>
  <si>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</si>
  <si>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</si>
  <si>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</si>
  <si>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</si>
  <si>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</si>
  <si>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</si>
  <si>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</si>
  <si>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</si>
  <si>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</si>
  <si>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</si>
  <si>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</si>
  <si>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</si>
  <si>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</si>
  <si>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</si>
  <si>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</si>
  <si>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</si>
  <si>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</si>
  <si>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</si>
  <si>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</si>
  <si>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</si>
  <si>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</si>
  <si>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</si>
  <si>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</si>
  <si>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</si>
  <si>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</si>
  <si>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</si>
  <si>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</si>
  <si>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</si>
  <si>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</si>
  <si>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</si>
  <si>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</si>
  <si>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</si>
  <si>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</si>
  <si>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</si>
  <si>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</si>
  <si>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</si>
  <si>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</si>
  <si>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</si>
  <si>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</si>
  <si>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</si>
  <si>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</si>
  <si>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</si>
  <si>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</si>
  <si>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</si>
  <si>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</si>
  <si>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</si>
  <si>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</si>
  <si>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</si>
  <si>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</si>
  <si>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</si>
  <si>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</si>
  <si>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</si>
  <si>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</si>
  <si>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</si>
  <si>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</si>
  <si>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</si>
  <si>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</si>
  <si>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</si>
  <si>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</si>
  <si>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</si>
  <si>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</si>
  <si>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</si>
  <si>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</si>
  <si>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</si>
  <si>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</si>
  <si>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</si>
  <si>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</si>
  <si>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</si>
  <si>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</si>
  <si>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</si>
  <si>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</si>
  <si>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</si>
  <si>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</si>
  <si>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</si>
  <si>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</si>
  <si>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</si>
  <si>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</si>
  <si>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</si>
  <si>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</si>
  <si>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</si>
  <si>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</si>
  <si>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</si>
  <si>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</si>
  <si>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</si>
  <si>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</si>
  <si>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</si>
  <si>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</si>
  <si>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</si>
  <si>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</si>
  <si>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</si>
  <si>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</si>
  <si>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</si>
  <si>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</si>
  <si>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</si>
  <si>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</si>
  <si>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</si>
  <si>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</si>
  <si>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</si>
  <si>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</si>
  <si>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</si>
  <si>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</si>
  <si>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</si>
  <si>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</si>
  <si>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</si>
  <si>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</si>
  <si>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</si>
  <si>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</si>
  <si>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</si>
  <si>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</si>
  <si>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</si>
  <si>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</si>
  <si>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</si>
  <si>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</si>
  <si>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</si>
  <si>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</si>
  <si>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</si>
  <si>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</si>
  <si>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</si>
  <si>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</si>
  <si>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</si>
  <si>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UPAH LAIN-LAIN</t>
  </si>
  <si>
    <t>Staff Teknik</t>
  </si>
  <si>
    <t>TL. Teknik</t>
  </si>
  <si>
    <t>MULP</t>
  </si>
  <si>
    <t>PEMASANGAN TRAFO</t>
  </si>
  <si>
    <t>I2</t>
  </si>
  <si>
    <t>CC1-A</t>
  </si>
  <si>
    <t>CC7</t>
  </si>
  <si>
    <t>CM2-12</t>
  </si>
  <si>
    <t>CONDUKTOR</t>
  </si>
  <si>
    <t>PEMBANGUNAN JARINGAN TM</t>
  </si>
  <si>
    <t xml:space="preserve">Jumper Wire : </t>
  </si>
  <si>
    <t>CM2-11M</t>
  </si>
  <si>
    <t>Stainless Steel Strap 20 X 0.7 mm</t>
  </si>
  <si>
    <t>Pemasangan APP Di Tiang</t>
  </si>
  <si>
    <t>CM2-11</t>
  </si>
  <si>
    <t>SCHOOR</t>
  </si>
  <si>
    <t>CE1-3</t>
  </si>
  <si>
    <t>F1-3</t>
  </si>
  <si>
    <t>CM2-12A</t>
  </si>
  <si>
    <t>PEJUMPERAN</t>
  </si>
  <si>
    <t>CM5-5</t>
  </si>
  <si>
    <t>C12-200</t>
  </si>
  <si>
    <t>C12-350</t>
  </si>
  <si>
    <t>CC8A</t>
  </si>
  <si>
    <t>CG313</t>
  </si>
  <si>
    <t>KOORDINAT : -6.927520, 110.632417</t>
  </si>
  <si>
    <t>TRF 160 KVA</t>
  </si>
  <si>
    <t>CM2-</t>
  </si>
  <si>
    <t>CC8-A</t>
  </si>
  <si>
    <t>Trafo 3 Fasa 160 KVA 2 Tiang (G313)</t>
  </si>
  <si>
    <t>Daya 147.000 VA</t>
  </si>
  <si>
    <t>K3-99/33</t>
  </si>
  <si>
    <t>SYG 14</t>
  </si>
  <si>
    <t>AGR MUSTAIN</t>
  </si>
  <si>
    <t>DS WONOSALAM KEC. WONOSALAM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</si>
</sst>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8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b/>
      <sz val="10"/>
      <color rgb="FF202124"/>
      <name val="Inherit"/>
    </font>
    <font>
      <sz val="11"/>
      <color rgb="FF000000"/>
      <name val="Arial"/>
      <family val="2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6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6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9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9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20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4" fontId="36" fillId="0" borderId="3"/>
    <xf numFmtId="184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70" fillId="0" borderId="0" applyFont="0" applyFill="0" applyBorder="0" applyAlignment="0" applyProtection="0"/>
    <xf numFmtId="186" fontId="72" fillId="0" borderId="0">
      <protection locked="0"/>
    </xf>
    <xf numFmtId="14" fontId="64" fillId="0" borderId="0" applyFill="0" applyBorder="0" applyAlignment="0"/>
    <xf numFmtId="187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5" fontId="36" fillId="0" borderId="0" applyFill="0" applyBorder="0" applyAlignment="0"/>
    <xf numFmtId="175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8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89" fontId="77" fillId="0" borderId="0">
      <protection locked="0"/>
    </xf>
    <xf numFmtId="189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5" fontId="36" fillId="0" borderId="0" applyFill="0" applyBorder="0" applyAlignment="0"/>
    <xf numFmtId="175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0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1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1" fontId="36" fillId="0" borderId="0"/>
    <xf numFmtId="191" fontId="22" fillId="0" borderId="0"/>
    <xf numFmtId="191" fontId="36" fillId="0" borderId="0"/>
    <xf numFmtId="191" fontId="22" fillId="0" borderId="0"/>
    <xf numFmtId="191" fontId="36" fillId="0" borderId="0"/>
    <xf numFmtId="191" fontId="22" fillId="0" borderId="0"/>
    <xf numFmtId="191" fontId="22" fillId="0" borderId="0"/>
    <xf numFmtId="191" fontId="36" fillId="0" borderId="0"/>
    <xf numFmtId="170" fontId="83" fillId="0" borderId="0"/>
    <xf numFmtId="170" fontId="84" fillId="0" borderId="0"/>
    <xf numFmtId="170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2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0" fontId="84" fillId="0" borderId="0"/>
    <xf numFmtId="0" fontId="84" fillId="0" borderId="0"/>
    <xf numFmtId="193" fontId="84" fillId="0" borderId="0"/>
    <xf numFmtId="194" fontId="84" fillId="0" borderId="0"/>
    <xf numFmtId="0" fontId="84" fillId="0" borderId="0"/>
    <xf numFmtId="195" fontId="84" fillId="0" borderId="0"/>
    <xf numFmtId="195" fontId="84" fillId="0" borderId="0"/>
    <xf numFmtId="195" fontId="84" fillId="0" borderId="0"/>
    <xf numFmtId="193" fontId="84" fillId="0" borderId="0"/>
    <xf numFmtId="0" fontId="84" fillId="0" borderId="0"/>
    <xf numFmtId="0" fontId="36" fillId="0" borderId="0"/>
    <xf numFmtId="0" fontId="22" fillId="0" borderId="0"/>
    <xf numFmtId="180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6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5" fontId="84" fillId="0" borderId="0"/>
    <xf numFmtId="195" fontId="84" fillId="0" borderId="0"/>
    <xf numFmtId="195" fontId="84" fillId="0" borderId="0"/>
    <xf numFmtId="195" fontId="84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2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2" fontId="43" fillId="0" borderId="0"/>
    <xf numFmtId="192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4" fontId="36" fillId="0" borderId="0" applyFont="0" applyFill="0" applyBorder="0" applyAlignment="0" applyProtection="0"/>
    <xf numFmtId="174" fontId="22" fillId="0" borderId="0" applyFont="0" applyFill="0" applyBorder="0" applyAlignment="0" applyProtection="0"/>
    <xf numFmtId="198" fontId="36" fillId="0" borderId="0" applyFont="0" applyFill="0" applyBorder="0" applyAlignment="0" applyProtection="0"/>
    <xf numFmtId="198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5" fontId="36" fillId="0" borderId="0" applyFill="0" applyBorder="0" applyAlignment="0"/>
    <xf numFmtId="175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0" fontId="74" fillId="0" borderId="0"/>
    <xf numFmtId="199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0" fontId="36" fillId="0" borderId="0" applyFill="0" applyBorder="0" applyAlignment="0"/>
    <xf numFmtId="200" fontId="22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4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4" fontId="175" fillId="0" borderId="0" applyFont="0" applyFill="0" applyBorder="0" applyAlignment="0" applyProtection="0"/>
    <xf numFmtId="0" fontId="22" fillId="0" borderId="0"/>
    <xf numFmtId="0" fontId="177" fillId="0" borderId="0" applyNumberFormat="0" applyFill="0" applyBorder="0" applyAlignment="0" applyProtection="0"/>
  </cellStyleXfs>
  <cellXfs count="729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7" fontId="45" fillId="0" borderId="0" xfId="714" applyFont="1" applyFill="1" applyAlignment="1">
      <alignment horizontal="center" wrapText="1"/>
    </xf>
    <xf numFmtId="167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7" fontId="45" fillId="0" borderId="21" xfId="715" applyNumberFormat="1" applyFont="1" applyFill="1" applyBorder="1" applyAlignment="1">
      <alignment horizontal="center" vertical="center" wrapText="1"/>
    </xf>
    <xf numFmtId="167" fontId="45" fillId="0" borderId="21" xfId="714" applyFont="1" applyFill="1" applyBorder="1" applyAlignment="1">
      <alignment horizontal="center" vertical="center" wrapText="1"/>
    </xf>
    <xf numFmtId="167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5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7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7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7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7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7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7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7" fontId="113" fillId="29" borderId="3" xfId="1538" applyNumberFormat="1" applyFill="1" applyBorder="1" applyAlignment="1">
      <alignment horizontal="right"/>
    </xf>
    <xf numFmtId="165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7" fillId="0" borderId="20" xfId="1653" applyFont="1" applyBorder="1" applyAlignment="1">
      <alignment horizontal="center" vertical="center"/>
    </xf>
    <xf numFmtId="0" fontId="157" fillId="0" borderId="21" xfId="1653" applyFont="1" applyBorder="1" applyAlignment="1">
      <alignment vertical="center" wrapText="1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5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0" xfId="1614" applyNumberFormat="1" applyFont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0" fillId="0" borderId="0" xfId="1614" applyFont="1" applyAlignment="1">
      <alignment horizontal="center" vertic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7" fontId="142" fillId="40" borderId="87" xfId="2672" applyNumberFormat="1" applyFont="1" applyFill="1" applyBorder="1" applyAlignment="1" applyProtection="1">
      <alignment horizontal="right" vertical="center"/>
      <protection locked="0"/>
    </xf>
    <xf numFmtId="167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11" fillId="0" borderId="21" xfId="1614" applyFont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1" xfId="0" applyNumberFormat="1" applyFont="1" applyFill="1" applyBorder="1" applyAlignment="1">
      <alignment horizontal="left" vertical="center"/>
    </xf>
    <xf numFmtId="164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5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7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1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77" fillId="33" borderId="0" xfId="2678" applyFill="1"/>
    <xf numFmtId="0" fontId="4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5" fillId="0" borderId="21" xfId="1450" applyFont="1" applyBorder="1" applyAlignment="1">
      <alignment vertical="center" wrapText="1"/>
    </xf>
    <xf numFmtId="0" fontId="157" fillId="48" borderId="21" xfId="1652" applyFont="1" applyFill="1" applyBorder="1" applyAlignment="1">
      <alignment vertical="center" wrapText="1"/>
    </xf>
    <xf numFmtId="0" fontId="115" fillId="0" borderId="20" xfId="1652" applyFont="1" applyBorder="1" applyAlignment="1">
      <alignment horizontal="center" vertical="center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left"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 wrapText="1"/>
    </xf>
    <xf numFmtId="0" fontId="178" fillId="0" borderId="0" xfId="0" applyFont="1" applyAlignment="1">
      <alignment horizontal="left" vertical="center" wrapText="1"/>
    </xf>
    <xf numFmtId="0" fontId="179" fillId="0" borderId="0" xfId="0" applyFont="1" applyAlignment="1">
      <alignment vertical="center" wrapText="1"/>
    </xf>
    <xf numFmtId="49" fontId="93" fillId="33" borderId="60" xfId="0" applyNumberFormat="1" applyFont="1" applyFill="1" applyBorder="1" applyAlignment="1">
      <alignment horizontal="left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7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5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5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5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6" fontId="121" fillId="0" borderId="73" xfId="1450" applyNumberFormat="1" applyFont="1" applyBorder="1" applyAlignment="1">
      <alignment horizontal="left" vertical="center"/>
    </xf>
    <xf numFmtId="206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80" fillId="0" borderId="21" xfId="1614" applyFont="1" applyBorder="1" applyAlignment="1">
      <alignment vertical="center" wrapText="1"/>
    </xf>
    <xf numFmtId="0" fontId="180" fillId="0" borderId="20" xfId="1614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2" fillId="0" borderId="21" xfId="1614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7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25</xdr:row>
          <xdr:rowOff>1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7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202</xdr:row>
      <xdr:rowOff>81642</xdr:rowOff>
    </xdr:from>
    <xdr:to>
      <xdr:col>11</xdr:col>
      <xdr:colOff>93061</xdr:colOff>
      <xdr:row>205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218481</xdr:colOff>
      <xdr:row>44</xdr:row>
      <xdr:rowOff>16565</xdr:rowOff>
    </xdr:from>
    <xdr:to>
      <xdr:col>21</xdr:col>
      <xdr:colOff>148003</xdr:colOff>
      <xdr:row>53</xdr:row>
      <xdr:rowOff>66261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178959-C962-4DC2-94C5-80C65A138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220" y="6667500"/>
          <a:ext cx="2215522" cy="1540565"/>
        </a:xfrm>
        <a:prstGeom prst="rect">
          <a:avLst/>
        </a:prstGeom>
      </xdr:spPr>
    </xdr:pic>
    <xdr:clientData/>
  </xdr:twoCellAnchor>
  <xdr:twoCellAnchor>
    <xdr:from>
      <xdr:col>8</xdr:col>
      <xdr:colOff>104775</xdr:colOff>
      <xdr:row>24</xdr:row>
      <xdr:rowOff>132107</xdr:rowOff>
    </xdr:from>
    <xdr:to>
      <xdr:col>20</xdr:col>
      <xdr:colOff>219107</xdr:colOff>
      <xdr:row>33</xdr:row>
      <xdr:rowOff>114299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248B246-5F74-4CF6-8B09-44DEF71ECB48}"/>
            </a:ext>
          </a:extLst>
        </xdr:cNvPr>
        <xdr:cNvSpPr txBox="1"/>
      </xdr:nvSpPr>
      <xdr:spPr>
        <a:xfrm>
          <a:off x="2695575" y="3827807"/>
          <a:ext cx="4686332" cy="1344267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95250</xdr:colOff>
      <xdr:row>19</xdr:row>
      <xdr:rowOff>8283</xdr:rowOff>
    </xdr:from>
    <xdr:to>
      <xdr:col>20</xdr:col>
      <xdr:colOff>209194</xdr:colOff>
      <xdr:row>24</xdr:row>
      <xdr:rowOff>95250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4549FD9-14D8-42D4-8F39-0F59270B553E}"/>
            </a:ext>
          </a:extLst>
        </xdr:cNvPr>
        <xdr:cNvSpPr txBox="1"/>
      </xdr:nvSpPr>
      <xdr:spPr>
        <a:xfrm>
          <a:off x="2695989" y="2907196"/>
          <a:ext cx="4685944" cy="83240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551906" y="821339"/>
          <a:ext cx="1489479" cy="1843095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162829</xdr:colOff>
      <xdr:row>14</xdr:row>
      <xdr:rowOff>82827</xdr:rowOff>
    </xdr:from>
    <xdr:to>
      <xdr:col>7</xdr:col>
      <xdr:colOff>165653</xdr:colOff>
      <xdr:row>36</xdr:row>
      <xdr:rowOff>82214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D336887B-4057-4FA0-9CF2-E11904B5C442}"/>
            </a:ext>
          </a:extLst>
        </xdr:cNvPr>
        <xdr:cNvCxnSpPr/>
      </xdr:nvCxnSpPr>
      <xdr:spPr>
        <a:xfrm flipH="1">
          <a:off x="2382568" y="2236305"/>
          <a:ext cx="2824" cy="327101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143171</xdr:colOff>
      <xdr:row>25</xdr:row>
      <xdr:rowOff>61001</xdr:rowOff>
    </xdr:from>
    <xdr:to>
      <xdr:col>12</xdr:col>
      <xdr:colOff>253689</xdr:colOff>
      <xdr:row>26</xdr:row>
      <xdr:rowOff>24235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4257971" y="3909101"/>
          <a:ext cx="110518" cy="1156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137053</xdr:colOff>
      <xdr:row>32</xdr:row>
      <xdr:rowOff>13125</xdr:rowOff>
    </xdr:from>
    <xdr:to>
      <xdr:col>12</xdr:col>
      <xdr:colOff>247571</xdr:colOff>
      <xdr:row>32</xdr:row>
      <xdr:rowOff>125446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782BC621-98EB-4062-B930-C1F19EBE9DB4}"/>
            </a:ext>
          </a:extLst>
        </xdr:cNvPr>
        <xdr:cNvGrpSpPr/>
      </xdr:nvGrpSpPr>
      <xdr:grpSpPr>
        <a:xfrm>
          <a:off x="4251853" y="4918500"/>
          <a:ext cx="110518" cy="1123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B667B68-A2DA-4DC8-8D2E-5C526B800C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74A6145-8F62-45BE-B4E3-2A53CC2BC0DB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634D74A-7375-42CC-AF8E-D2BB49CDCA35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37334</xdr:colOff>
      <xdr:row>31</xdr:row>
      <xdr:rowOff>1274</xdr:rowOff>
    </xdr:from>
    <xdr:to>
      <xdr:col>15</xdr:col>
      <xdr:colOff>168517</xdr:colOff>
      <xdr:row>32</xdr:row>
      <xdr:rowOff>9765</xdr:rowOff>
    </xdr:to>
    <xdr:sp macro="" textlink="">
      <xdr:nvSpPr>
        <xdr:cNvPr id="313" name="Isosceles Triangle 312">
          <a:extLst>
            <a:ext uri="{FF2B5EF4-FFF2-40B4-BE49-F238E27FC236}">
              <a16:creationId xmlns:a16="http://schemas.microsoft.com/office/drawing/2014/main" id="{C5E653B7-DF5D-4AF2-A3C8-B00E86DD96D7}"/>
            </a:ext>
          </a:extLst>
        </xdr:cNvPr>
        <xdr:cNvSpPr/>
      </xdr:nvSpPr>
      <xdr:spPr>
        <a:xfrm>
          <a:off x="5305073" y="4680948"/>
          <a:ext cx="131183" cy="157578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140494</xdr:colOff>
      <xdr:row>19</xdr:row>
      <xdr:rowOff>57978</xdr:rowOff>
    </xdr:from>
    <xdr:to>
      <xdr:col>20</xdr:col>
      <xdr:colOff>170616</xdr:colOff>
      <xdr:row>24</xdr:row>
      <xdr:rowOff>57150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A3203C31-58EE-4D2F-8C14-13D8C9E99CD1}"/>
            </a:ext>
          </a:extLst>
        </xdr:cNvPr>
        <xdr:cNvSpPr txBox="1"/>
      </xdr:nvSpPr>
      <xdr:spPr>
        <a:xfrm>
          <a:off x="5789233" y="2956891"/>
          <a:ext cx="1554122" cy="74460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AGR NUR BAIDOWI</a:t>
          </a:r>
        </a:p>
      </xdr:txBody>
    </xdr:sp>
    <xdr:clientData/>
  </xdr:twoCellAnchor>
  <xdr:twoCellAnchor>
    <xdr:from>
      <xdr:col>14</xdr:col>
      <xdr:colOff>348189</xdr:colOff>
      <xdr:row>32</xdr:row>
      <xdr:rowOff>31258</xdr:rowOff>
    </xdr:from>
    <xdr:to>
      <xdr:col>15</xdr:col>
      <xdr:colOff>71176</xdr:colOff>
      <xdr:row>33</xdr:row>
      <xdr:rowOff>227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1FC1E7F7-20AE-49A6-8E2C-A58130108776}"/>
            </a:ext>
          </a:extLst>
        </xdr:cNvPr>
        <xdr:cNvGrpSpPr/>
      </xdr:nvGrpSpPr>
      <xdr:grpSpPr>
        <a:xfrm>
          <a:off x="5224989" y="4936633"/>
          <a:ext cx="103987" cy="1213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B6F36E56-F8E9-4205-8983-07368969BB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DE7FB05A-9D4B-4AC8-B612-9329C471E870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AF3EC902-4C97-4351-A9B4-F643DF09420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201309</xdr:colOff>
      <xdr:row>32</xdr:row>
      <xdr:rowOff>94515</xdr:rowOff>
    </xdr:from>
    <xdr:to>
      <xdr:col>16</xdr:col>
      <xdr:colOff>50676</xdr:colOff>
      <xdr:row>32</xdr:row>
      <xdr:rowOff>94515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759D0889-B960-4CD4-BC6B-35D774EF0743}"/>
            </a:ext>
          </a:extLst>
        </xdr:cNvPr>
        <xdr:cNvCxnSpPr/>
      </xdr:nvCxnSpPr>
      <xdr:spPr>
        <a:xfrm>
          <a:off x="5457918" y="5059421"/>
          <a:ext cx="230367" cy="0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184277</xdr:colOff>
      <xdr:row>20</xdr:row>
      <xdr:rowOff>21587</xdr:rowOff>
    </xdr:from>
    <xdr:to>
      <xdr:col>12</xdr:col>
      <xdr:colOff>159356</xdr:colOff>
      <xdr:row>25</xdr:row>
      <xdr:rowOff>77450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1277F013-DE2B-4339-93C0-0BB2D9EF3325}"/>
            </a:ext>
          </a:extLst>
        </xdr:cNvPr>
        <xdr:cNvCxnSpPr>
          <a:stCxn id="306" idx="1"/>
          <a:endCxn id="129" idx="4"/>
        </xdr:cNvCxnSpPr>
      </xdr:nvCxnSpPr>
      <xdr:spPr>
        <a:xfrm flipH="1" flipV="1">
          <a:off x="3547016" y="3069587"/>
          <a:ext cx="737079" cy="8012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52295</xdr:colOff>
      <xdr:row>20</xdr:row>
      <xdr:rowOff>133310</xdr:rowOff>
    </xdr:from>
    <xdr:to>
      <xdr:col>12</xdr:col>
      <xdr:colOff>112166</xdr:colOff>
      <xdr:row>22</xdr:row>
      <xdr:rowOff>16629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E67DD785-3B6F-4130-A64E-2FF882DC8997}"/>
            </a:ext>
          </a:extLst>
        </xdr:cNvPr>
        <xdr:cNvSpPr txBox="1"/>
      </xdr:nvSpPr>
      <xdr:spPr>
        <a:xfrm>
          <a:off x="3784904" y="3252748"/>
          <a:ext cx="440871" cy="1928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35mtr</a:t>
          </a:r>
        </a:p>
      </xdr:txBody>
    </xdr:sp>
    <xdr:clientData/>
  </xdr:twoCellAnchor>
  <xdr:twoCellAnchor>
    <xdr:from>
      <xdr:col>15</xdr:col>
      <xdr:colOff>1948</xdr:colOff>
      <xdr:row>19</xdr:row>
      <xdr:rowOff>48646</xdr:rowOff>
    </xdr:from>
    <xdr:to>
      <xdr:col>15</xdr:col>
      <xdr:colOff>112466</xdr:colOff>
      <xdr:row>20</xdr:row>
      <xdr:rowOff>20630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16B4D46B-929D-44D3-ADC9-D501715A04BC}"/>
            </a:ext>
          </a:extLst>
        </xdr:cNvPr>
        <xdr:cNvGrpSpPr/>
      </xdr:nvGrpSpPr>
      <xdr:grpSpPr>
        <a:xfrm>
          <a:off x="5259748" y="2982346"/>
          <a:ext cx="110518" cy="12438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144EB2CE-9169-4FED-9CCA-33302152BE5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C79FD1EB-8BDF-41ED-BF73-CF0764561C16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D803D4B3-149D-4AA3-B954-78DFDC99BBD1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127069</xdr:colOff>
      <xdr:row>19</xdr:row>
      <xdr:rowOff>49603</xdr:rowOff>
    </xdr:from>
    <xdr:to>
      <xdr:col>10</xdr:col>
      <xdr:colOff>241484</xdr:colOff>
      <xdr:row>20</xdr:row>
      <xdr:rowOff>21587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024B1F93-70CC-4CA1-AE4A-399E39F96E58}"/>
            </a:ext>
          </a:extLst>
        </xdr:cNvPr>
        <xdr:cNvGrpSpPr/>
      </xdr:nvGrpSpPr>
      <xdr:grpSpPr>
        <a:xfrm>
          <a:off x="3479869" y="2983303"/>
          <a:ext cx="114415" cy="12438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9" name="Oval 128">
            <a:extLst>
              <a:ext uri="{FF2B5EF4-FFF2-40B4-BE49-F238E27FC236}">
                <a16:creationId xmlns:a16="http://schemas.microsoft.com/office/drawing/2014/main" id="{06EAF701-5A1A-4DC0-9147-8EA0C8D787A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DBA4A2D1-D0D6-48BC-ADF3-4E2247943DB2}"/>
              </a:ext>
            </a:extLst>
          </xdr:cNvPr>
          <xdr:cNvCxnSpPr>
            <a:stCxn id="129" idx="1"/>
            <a:endCxn id="1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38F5A83B-299D-4AD7-B490-061565B2DFF2}"/>
              </a:ext>
            </a:extLst>
          </xdr:cNvPr>
          <xdr:cNvCxnSpPr>
            <a:stCxn id="129" idx="3"/>
            <a:endCxn id="1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314739</xdr:colOff>
      <xdr:row>19</xdr:row>
      <xdr:rowOff>111095</xdr:rowOff>
    </xdr:from>
    <xdr:to>
      <xdr:col>14</xdr:col>
      <xdr:colOff>214747</xdr:colOff>
      <xdr:row>19</xdr:row>
      <xdr:rowOff>115957</xdr:rowOff>
    </xdr:to>
    <xdr:cxnSp macro="">
      <xdr:nvCxnSpPr>
        <xdr:cNvPr id="132" name="Straight Connector 131">
          <a:extLst>
            <a:ext uri="{FF2B5EF4-FFF2-40B4-BE49-F238E27FC236}">
              <a16:creationId xmlns:a16="http://schemas.microsoft.com/office/drawing/2014/main" id="{C697E2E5-9C2E-4975-B680-A6A290F216EA}"/>
            </a:ext>
          </a:extLst>
        </xdr:cNvPr>
        <xdr:cNvCxnSpPr>
          <a:endCxn id="115" idx="2"/>
        </xdr:cNvCxnSpPr>
      </xdr:nvCxnSpPr>
      <xdr:spPr>
        <a:xfrm flipV="1">
          <a:off x="2915478" y="3010008"/>
          <a:ext cx="2186008" cy="48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274000</xdr:colOff>
      <xdr:row>18</xdr:row>
      <xdr:rowOff>17258</xdr:rowOff>
    </xdr:from>
    <xdr:to>
      <xdr:col>15</xdr:col>
      <xdr:colOff>39538</xdr:colOff>
      <xdr:row>19</xdr:row>
      <xdr:rowOff>17257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229B740-108E-4618-8B6F-DCBCC3C7BD1F}"/>
            </a:ext>
          </a:extLst>
        </xdr:cNvPr>
        <xdr:cNvSpPr/>
      </xdr:nvSpPr>
      <xdr:spPr>
        <a:xfrm>
          <a:off x="5160739" y="2767084"/>
          <a:ext cx="146538" cy="14908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133350</xdr:colOff>
      <xdr:row>25</xdr:row>
      <xdr:rowOff>19194</xdr:rowOff>
    </xdr:from>
    <xdr:to>
      <xdr:col>20</xdr:col>
      <xdr:colOff>178267</xdr:colOff>
      <xdr:row>33</xdr:row>
      <xdr:rowOff>66675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E7A6162-CE03-49DD-9636-DAD3C849A080}"/>
            </a:ext>
          </a:extLst>
        </xdr:cNvPr>
        <xdr:cNvSpPr txBox="1"/>
      </xdr:nvSpPr>
      <xdr:spPr>
        <a:xfrm>
          <a:off x="5772150" y="3867294"/>
          <a:ext cx="1568917" cy="125715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MUSTAIN</a:t>
          </a:r>
        </a:p>
      </xdr:txBody>
    </xdr:sp>
    <xdr:clientData/>
  </xdr:twoCellAnchor>
  <xdr:twoCellAnchor>
    <xdr:from>
      <xdr:col>14</xdr:col>
      <xdr:colOff>214747</xdr:colOff>
      <xdr:row>19</xdr:row>
      <xdr:rowOff>50559</xdr:rowOff>
    </xdr:from>
    <xdr:to>
      <xdr:col>14</xdr:col>
      <xdr:colOff>325265</xdr:colOff>
      <xdr:row>20</xdr:row>
      <xdr:rowOff>22543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17D1F059-E419-4C48-8075-2CF2383960E5}"/>
            </a:ext>
          </a:extLst>
        </xdr:cNvPr>
        <xdr:cNvGrpSpPr/>
      </xdr:nvGrpSpPr>
      <xdr:grpSpPr>
        <a:xfrm>
          <a:off x="5091547" y="2984259"/>
          <a:ext cx="110518" cy="12438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ADA8078E-B28F-4048-B681-FF1AECCE48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6726D84-3430-4AC1-AC2B-8B9385A4677D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4192BE38-3480-4048-9F4C-71533D72D33D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117468</xdr:colOff>
      <xdr:row>28</xdr:row>
      <xdr:rowOff>59233</xdr:rowOff>
    </xdr:from>
    <xdr:to>
      <xdr:col>13</xdr:col>
      <xdr:colOff>177339</xdr:colOff>
      <xdr:row>29</xdr:row>
      <xdr:rowOff>97333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AA0C83-386A-47A5-A751-9677433072C5}"/>
            </a:ext>
          </a:extLst>
        </xdr:cNvPr>
        <xdr:cNvSpPr txBox="1"/>
      </xdr:nvSpPr>
      <xdr:spPr>
        <a:xfrm>
          <a:off x="4231077" y="4416921"/>
          <a:ext cx="440871" cy="1928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35mtr</a:t>
          </a:r>
        </a:p>
      </xdr:txBody>
    </xdr:sp>
    <xdr:clientData/>
  </xdr:twoCellAnchor>
  <xdr:twoCellAnchor>
    <xdr:from>
      <xdr:col>15</xdr:col>
      <xdr:colOff>85333</xdr:colOff>
      <xdr:row>32</xdr:row>
      <xdr:rowOff>36216</xdr:rowOff>
    </xdr:from>
    <xdr:to>
      <xdr:col>15</xdr:col>
      <xdr:colOff>195851</xdr:colOff>
      <xdr:row>32</xdr:row>
      <xdr:rowOff>151551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ED5C1EBB-3F82-4A91-A09C-5D6865FCA796}"/>
            </a:ext>
          </a:extLst>
        </xdr:cNvPr>
        <xdr:cNvGrpSpPr/>
      </xdr:nvGrpSpPr>
      <xdr:grpSpPr>
        <a:xfrm>
          <a:off x="5343133" y="4941591"/>
          <a:ext cx="110518" cy="1153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8E1FCE30-83E9-3E3E-F0EA-9D76FDD8ACD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26981DF7-A156-9CE5-B631-00182974D081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7A6FA93A-E526-4146-1627-D3637CCCAED9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252904</xdr:colOff>
      <xdr:row>32</xdr:row>
      <xdr:rowOff>95249</xdr:rowOff>
    </xdr:from>
    <xdr:to>
      <xdr:col>12</xdr:col>
      <xdr:colOff>57978</xdr:colOff>
      <xdr:row>38</xdr:row>
      <xdr:rowOff>107674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AE3EA3-A878-469F-B730-D41A10BBFDF8}"/>
            </a:ext>
          </a:extLst>
        </xdr:cNvPr>
        <xdr:cNvSpPr txBox="1"/>
      </xdr:nvSpPr>
      <xdr:spPr>
        <a:xfrm>
          <a:off x="3615643" y="4924010"/>
          <a:ext cx="567074" cy="94007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K3-99/33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/2/1</a:t>
          </a:r>
        </a:p>
        <a:p>
          <a:pPr algn="ctr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14</xdr:col>
      <xdr:colOff>165224</xdr:colOff>
      <xdr:row>33</xdr:row>
      <xdr:rowOff>75257</xdr:rowOff>
    </xdr:from>
    <xdr:to>
      <xdr:col>16</xdr:col>
      <xdr:colOff>40271</xdr:colOff>
      <xdr:row>42</xdr:row>
      <xdr:rowOff>73269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278CDB6-4E2B-4363-A20A-139C6540998B}"/>
            </a:ext>
          </a:extLst>
        </xdr:cNvPr>
        <xdr:cNvSpPr txBox="1"/>
      </xdr:nvSpPr>
      <xdr:spPr>
        <a:xfrm>
          <a:off x="5044955" y="5174795"/>
          <a:ext cx="637047" cy="13974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K3-99/33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/2/1</a:t>
          </a:r>
        </a:p>
        <a:p>
          <a:pPr algn="ctr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100 KVA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12</xdr:col>
      <xdr:colOff>192312</xdr:colOff>
      <xdr:row>26</xdr:row>
      <xdr:rowOff>24235</xdr:rowOff>
    </xdr:from>
    <xdr:to>
      <xdr:col>12</xdr:col>
      <xdr:colOff>198430</xdr:colOff>
      <xdr:row>32</xdr:row>
      <xdr:rowOff>13125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74B24005-483F-4C9D-BA69-90FA6140C34F}"/>
            </a:ext>
          </a:extLst>
        </xdr:cNvPr>
        <xdr:cNvCxnSpPr>
          <a:stCxn id="310" idx="0"/>
          <a:endCxn id="306" idx="4"/>
        </xdr:cNvCxnSpPr>
      </xdr:nvCxnSpPr>
      <xdr:spPr>
        <a:xfrm flipV="1">
          <a:off x="4317051" y="3966757"/>
          <a:ext cx="6118" cy="87512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153238</xdr:colOff>
      <xdr:row>32</xdr:row>
      <xdr:rowOff>90286</xdr:rowOff>
    </xdr:from>
    <xdr:to>
      <xdr:col>14</xdr:col>
      <xdr:colOff>348189</xdr:colOff>
      <xdr:row>32</xdr:row>
      <xdr:rowOff>108997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950CB2F8-939E-4537-B22F-8621C3BAC4FF}"/>
            </a:ext>
          </a:extLst>
        </xdr:cNvPr>
        <xdr:cNvCxnSpPr>
          <a:stCxn id="310" idx="3"/>
          <a:endCxn id="320" idx="2"/>
        </xdr:cNvCxnSpPr>
      </xdr:nvCxnSpPr>
      <xdr:spPr>
        <a:xfrm flipV="1">
          <a:off x="4277977" y="4919047"/>
          <a:ext cx="956951" cy="1871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74544</xdr:colOff>
      <xdr:row>32</xdr:row>
      <xdr:rowOff>125446</xdr:rowOff>
    </xdr:from>
    <xdr:to>
      <xdr:col>12</xdr:col>
      <xdr:colOff>192312</xdr:colOff>
      <xdr:row>33</xdr:row>
      <xdr:rowOff>132522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3938D97-A929-4D1E-B41F-173F46E3D38C}"/>
            </a:ext>
          </a:extLst>
        </xdr:cNvPr>
        <xdr:cNvCxnSpPr>
          <a:stCxn id="310" idx="4"/>
        </xdr:cNvCxnSpPr>
      </xdr:nvCxnSpPr>
      <xdr:spPr>
        <a:xfrm flipH="1">
          <a:off x="4199283" y="4954207"/>
          <a:ext cx="117768" cy="156163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253689</xdr:colOff>
      <xdr:row>25</xdr:row>
      <xdr:rowOff>8282</xdr:rowOff>
    </xdr:from>
    <xdr:to>
      <xdr:col>13</xdr:col>
      <xdr:colOff>41413</xdr:colOff>
      <xdr:row>25</xdr:row>
      <xdr:rowOff>117162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BDEBA5C-2B2F-4139-A8D3-DB6EF3BCDD2F}"/>
            </a:ext>
          </a:extLst>
        </xdr:cNvPr>
        <xdr:cNvCxnSpPr>
          <a:stCxn id="306" idx="6"/>
        </xdr:cNvCxnSpPr>
      </xdr:nvCxnSpPr>
      <xdr:spPr>
        <a:xfrm flipV="1">
          <a:off x="4378428" y="3801717"/>
          <a:ext cx="168724" cy="108880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266078</xdr:colOff>
      <xdr:row>21</xdr:row>
      <xdr:rowOff>135628</xdr:rowOff>
    </xdr:from>
    <xdr:to>
      <xdr:col>12</xdr:col>
      <xdr:colOff>71152</xdr:colOff>
      <xdr:row>28</xdr:row>
      <xdr:rowOff>17859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85365A5-B3F1-4659-A536-FE06D84D7314}"/>
            </a:ext>
          </a:extLst>
        </xdr:cNvPr>
        <xdr:cNvSpPr txBox="1"/>
      </xdr:nvSpPr>
      <xdr:spPr>
        <a:xfrm>
          <a:off x="3617687" y="3409847"/>
          <a:ext cx="567074" cy="9657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K3-99/33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/2/1</a:t>
          </a:r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8</xdr:col>
      <xdr:colOff>339328</xdr:colOff>
      <xdr:row>14</xdr:row>
      <xdr:rowOff>136921</xdr:rowOff>
    </xdr:from>
    <xdr:to>
      <xdr:col>10</xdr:col>
      <xdr:colOff>144402</xdr:colOff>
      <xdr:row>19</xdr:row>
      <xdr:rowOff>35717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29BA10D-CEFD-44D6-8D54-AEEC63C68CCE}"/>
            </a:ext>
          </a:extLst>
        </xdr:cNvPr>
        <xdr:cNvSpPr txBox="1"/>
      </xdr:nvSpPr>
      <xdr:spPr>
        <a:xfrm>
          <a:off x="2928937" y="2327671"/>
          <a:ext cx="567074" cy="67270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K3-99/33</a:t>
          </a:r>
        </a:p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/2/1</a:t>
          </a:r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</xdr:txBody>
    </xdr:sp>
    <xdr:clientData/>
  </xdr:twoCellAnchor>
  <xdr:twoCellAnchor>
    <xdr:from>
      <xdr:col>13</xdr:col>
      <xdr:colOff>156758</xdr:colOff>
      <xdr:row>31</xdr:row>
      <xdr:rowOff>62805</xdr:rowOff>
    </xdr:from>
    <xdr:to>
      <xdr:col>14</xdr:col>
      <xdr:colOff>216629</xdr:colOff>
      <xdr:row>32</xdr:row>
      <xdr:rowOff>100905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38341D65-CA5B-4B42-A7AA-14E6E2C73B78}"/>
            </a:ext>
          </a:extLst>
        </xdr:cNvPr>
        <xdr:cNvSpPr txBox="1"/>
      </xdr:nvSpPr>
      <xdr:spPr>
        <a:xfrm>
          <a:off x="4651367" y="4872930"/>
          <a:ext cx="440871" cy="1928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35mtr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519544</xdr:colOff>
      <xdr:row>8</xdr:row>
      <xdr:rowOff>103909</xdr:rowOff>
    </xdr:from>
    <xdr:to>
      <xdr:col>24</xdr:col>
      <xdr:colOff>329044</xdr:colOff>
      <xdr:row>57</xdr:row>
      <xdr:rowOff>141703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050C8C-5514-4C42-A5E1-2232D082A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4044" y="1316182"/>
          <a:ext cx="11291455" cy="7675112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16</xdr:col>
      <xdr:colOff>121227</xdr:colOff>
      <xdr:row>38</xdr:row>
      <xdr:rowOff>69273</xdr:rowOff>
    </xdr:from>
    <xdr:to>
      <xdr:col>17</xdr:col>
      <xdr:colOff>17319</xdr:colOff>
      <xdr:row>38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>
          <a:off x="8503227" y="5957455"/>
          <a:ext cx="502228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588819</xdr:colOff>
      <xdr:row>37</xdr:row>
      <xdr:rowOff>86592</xdr:rowOff>
    </xdr:from>
    <xdr:to>
      <xdr:col>17</xdr:col>
      <xdr:colOff>242455</xdr:colOff>
      <xdr:row>39</xdr:row>
      <xdr:rowOff>17319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8970819" y="5818910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235324</xdr:colOff>
      <xdr:row>8</xdr:row>
      <xdr:rowOff>100853</xdr:rowOff>
    </xdr:from>
    <xdr:to>
      <xdr:col>20</xdr:col>
      <xdr:colOff>22412</xdr:colOff>
      <xdr:row>53</xdr:row>
      <xdr:rowOff>18796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432715-52DF-42E3-C5E2-6A7755E7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648" y="1501588"/>
          <a:ext cx="10074088" cy="69776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3" t="s">
        <v>1134</v>
      </c>
      <c r="C4" s="533"/>
      <c r="D4" s="533"/>
      <c r="E4" s="533"/>
      <c r="F4" s="533"/>
      <c r="G4" s="533"/>
      <c r="H4" s="53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4" t="s">
        <v>0</v>
      </c>
      <c r="C7" s="534" t="s">
        <v>1</v>
      </c>
      <c r="D7" s="535" t="s">
        <v>42</v>
      </c>
      <c r="E7" s="535" t="s">
        <v>43</v>
      </c>
      <c r="F7" s="535" t="s">
        <v>1135</v>
      </c>
      <c r="G7" s="536" t="s">
        <v>41</v>
      </c>
      <c r="H7" s="532" t="s">
        <v>1042</v>
      </c>
      <c r="I7" s="532" t="s">
        <v>1137</v>
      </c>
      <c r="J7" s="532" t="s">
        <v>1026</v>
      </c>
      <c r="K7" s="526" t="s">
        <v>1024</v>
      </c>
      <c r="L7" s="527"/>
    </row>
    <row r="8" spans="1:12" ht="15" customHeight="1">
      <c r="B8" s="534"/>
      <c r="C8" s="534"/>
      <c r="D8" s="535"/>
      <c r="E8" s="535"/>
      <c r="F8" s="535"/>
      <c r="G8" s="536"/>
      <c r="H8" s="532"/>
      <c r="I8" s="532"/>
      <c r="J8" s="532"/>
      <c r="K8" s="528"/>
      <c r="L8" s="529"/>
    </row>
    <row r="9" spans="1:12" ht="15" customHeight="1">
      <c r="B9" s="534"/>
      <c r="C9" s="534"/>
      <c r="D9" s="535"/>
      <c r="E9" s="535"/>
      <c r="F9" s="535"/>
      <c r="G9" s="536"/>
      <c r="H9" s="532"/>
      <c r="I9" s="532"/>
      <c r="J9" s="532"/>
      <c r="K9" s="530"/>
      <c r="L9" s="53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147 kVA MCCB 225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18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425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53300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1 x 95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44</v>
      </c>
      <c r="G21" s="41">
        <f ca="1">IF(ISERROR(OFFSET('HARGA SATUAN'!$I$6,MATCH(C21,'HARGA SATUAN'!$C$7:$C$1492,0),0)),"",OFFSET('HARGA SATUAN'!$I$6,MATCH(C21,'HARGA SATUAN'!$C$7:$C$1492,0),0))</f>
        <v>140200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SUMIFS(RAB!$F$14:$F$186,RAB!$C$14:$C$186,C714)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SUMIFS(RAB!$F$14:$F$186,RAB!$C$14:$C$186,C715)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SUMIFS(RAB!$F$14:$F$186,RAB!$C$14:$C$186,C716)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SUMIFS(RAB!$F$14:$F$186,RAB!$C$14:$C$186,C717)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SUMIFS(RAB!$F$14:$F$186,RAB!$C$14:$C$186,C718)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SUMIFS(RAB!$F$14:$F$186,RAB!$C$14:$C$186,C719)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SUMIFS(RAB!$F$14:$F$186,RAB!$C$14:$C$186,C720)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SUMIFS(RAB!$F$14:$F$186,RAB!$C$14:$C$186,C721)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SUMIFS(RAB!$F$14:$F$186,RAB!$C$14:$C$186,C722)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SUMIFS(RAB!$F$14:$F$186,RAB!$C$14:$C$186,C723)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SUMIFS(RAB!$F$14:$F$186,RAB!$C$14:$C$186,C724)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SUMIFS(RAB!$F$14:$F$186,RAB!$C$14:$C$186,C725)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SUMIFS(RAB!$F$14:$F$186,RAB!$C$14:$C$186,C726)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SUMIFS(RAB!$F$14:$F$186,RAB!$C$14:$C$186,C727)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SUMIFS(RAB!$F$14:$F$186,RAB!$C$14:$C$186,C728)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SUMIFS(RAB!$F$14:$F$186,RAB!$C$14:$C$186,C729)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SUMIFS(RAB!$F$14:$F$186,RAB!$C$14:$C$186,C730)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SUMIFS(RAB!$F$14:$F$186,RAB!$C$14:$C$186,C731)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SUMIFS(RAB!$F$14:$F$186,RAB!$C$14:$C$186,C732)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SUMIFS(RAB!$F$14:$F$186,RAB!$C$14:$C$186,C733)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SUMIFS(RAB!$F$14:$F$186,RAB!$C$14:$C$186,C734)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SUMIFS(RAB!$F$14:$F$186,RAB!$C$14:$C$186,C735)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SUMIFS(RAB!$F$14:$F$186,RAB!$C$14:$C$186,C736)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SUMIFS(RAB!$F$14:$F$186,RAB!$C$14:$C$186,C737)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SUMIFS(RAB!$F$14:$F$186,RAB!$C$14:$C$186,C738)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SUMIFS(RAB!$F$14:$F$186,RAB!$C$14:$C$186,C739)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SUMIFS(RAB!$F$14:$F$186,RAB!$C$14:$C$186,C740)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SUMIFS(RAB!$F$14:$F$186,RAB!$C$14:$C$186,C741)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SUMIFS(RAB!$F$14:$F$186,RAB!$C$14:$C$186,C742)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SUMIFS(RAB!$F$14:$F$186,RAB!$C$14:$C$186,C743)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SUMIFS(RAB!$F$14:$F$186,RAB!$C$14:$C$186,C744)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SUMIFS(RAB!$F$14:$F$186,RAB!$C$14:$C$186,C745)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SUMIFS(RAB!$F$14:$F$186,RAB!$C$14:$C$186,C746)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SUMIFS(RAB!$F$14:$F$186,RAB!$C$14:$C$186,C747)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SUMIFS(RAB!$F$14:$F$186,RAB!$C$14:$C$186,C748)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SUMIFS(RAB!$F$14:$F$186,RAB!$C$14:$C$186,C749)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SUMIFS(RAB!$F$14:$F$186,RAB!$C$14:$C$186,C750)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SUMIFS(RAB!$F$14:$F$186,RAB!$C$14:$C$186,C751)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SUMIFS(RAB!$F$14:$F$186,RAB!$C$14:$C$186,C752)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SUMIFS(RAB!$F$14:$F$186,RAB!$C$14:$C$186,C753)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SUMIFS(RAB!$F$14:$F$186,RAB!$C$14:$C$186,C754)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SUMIFS(RAB!$F$14:$F$186,RAB!$C$14:$C$186,C755)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SUMIFS(RAB!$F$14:$F$186,RAB!$C$14:$C$186,C756)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SUMIFS(RAB!$F$14:$F$186,RAB!$C$14:$C$186,C757)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SUMIFS(RAB!$F$14:$F$186,RAB!$C$14:$C$186,C758)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SUMIFS(RAB!$F$14:$F$186,RAB!$C$14:$C$186,C759)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SUMIFS(RAB!$F$14:$F$186,RAB!$C$14:$C$186,C760)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SUMIFS(RAB!$F$14:$F$186,RAB!$C$14:$C$186,C761)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SUMIFS(RAB!$F$14:$F$186,RAB!$C$14:$C$186,C762)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SUMIFS(RAB!$F$14:$F$186,RAB!$C$14:$C$186,C763)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SUMIFS(RAB!$F$14:$F$186,RAB!$C$14:$C$186,C764)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SUMIFS(RAB!$F$14:$F$186,RAB!$C$14:$C$186,C765)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SUMIFS(RAB!$F$14:$F$186,RAB!$C$14:$C$186,C766)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SUMIFS(RAB!$F$14:$F$186,RAB!$C$14:$C$186,C767)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SUMIFS(RAB!$F$14:$F$186,RAB!$C$14:$C$186,C768)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SUMIFS(RAB!$F$14:$F$186,RAB!$C$14:$C$186,C769)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SUMIFS(RAB!$F$14:$F$186,RAB!$C$14:$C$186,C770)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SUMIFS(RAB!$F$14:$F$186,RAB!$C$14:$C$186,C771)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SUMIFS(RAB!$F$14:$F$186,RAB!$C$14:$C$186,C772)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SUMIFS(RAB!$F$14:$F$186,RAB!$C$14:$C$186,C773)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SUMIFS(RAB!$F$14:$F$186,RAB!$C$14:$C$186,C774)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SUMIFS(RAB!$F$14:$F$186,RAB!$C$14:$C$186,C775)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SUMIFS(RAB!$F$14:$F$186,RAB!$C$14:$C$186,C776)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SUMIFS(RAB!$F$14:$F$186,RAB!$C$14:$C$186,C777)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SUMIFS(RAB!$F$14:$F$186,RAB!$C$14:$C$186,C778)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SUMIFS(RAB!$F$14:$F$186,RAB!$C$14:$C$186,C779)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SUMIFS(RAB!$F$14:$F$186,RAB!$C$14:$C$186,C780)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SUMIFS(RAB!$F$14:$F$186,RAB!$C$14:$C$186,C781)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SUMIFS(RAB!$F$14:$F$186,RAB!$C$14:$C$186,C782)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SUMIFS(RAB!$F$14:$F$186,RAB!$C$14:$C$186,C783)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SUMIFS(RAB!$F$14:$F$186,RAB!$C$14:$C$186,C784)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SUMIFS(RAB!$F$14:$F$186,RAB!$C$14:$C$186,C785)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SUMIFS(RAB!$F$14:$F$186,RAB!$C$14:$C$186,C786)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SUMIFS(RAB!$F$14:$F$186,RAB!$C$14:$C$186,C787)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SUMIFS(RAB!$F$14:$F$186,RAB!$C$14:$C$186,C788)</f>
        <v>1</v>
      </c>
      <c r="E788" s="26">
        <f t="shared" ca="1" si="34"/>
        <v>1</v>
      </c>
      <c r="F788" s="26">
        <f ca="1">IF(D788=0,0,SUM($E$713:E788))</f>
        <v>2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SUMIFS(RAB!$F$14:$F$186,RAB!$C$14:$C$186,C789)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SUMIFS(RAB!$F$14:$F$186,RAB!$C$14:$C$186,C790)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SUMIFS(RAB!$F$14:$F$186,RAB!$C$14:$C$186,C791)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SUMIFS(RAB!$F$14:$F$186,RAB!$C$14:$C$186,C792)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SUMIFS(RAB!$F$14:$F$186,RAB!$C$14:$C$186,C793)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SUMIFS(RAB!$F$14:$F$186,RAB!$C$14:$C$186,C794)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SUMIFS(RAB!$F$14:$F$186,RAB!$C$14:$C$186,C795)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SUMIFS(RAB!$F$14:$F$186,RAB!$C$14:$C$186,C796)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SUMIFS(RAB!$F$14:$F$186,RAB!$C$14:$C$186,C797)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SUMIFS(RAB!$F$14:$F$186,RAB!$C$14:$C$186,C798)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SUMIFS(RAB!$F$14:$F$186,RAB!$C$14:$C$186,C799)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SUMIFS(RAB!$F$14:$F$186,RAB!$C$14:$C$186,C800)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SUMIFS(RAB!$F$14:$F$186,RAB!$C$14:$C$186,C801)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SUMIFS(RAB!$F$14:$F$186,RAB!$C$14:$C$186,C802)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SUMIFS(RAB!$F$14:$F$186,RAB!$C$14:$C$186,C803)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SUMIFS(RAB!$F$14:$F$186,RAB!$C$14:$C$186,C804)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SUMIFS(RAB!$F$14:$F$186,RAB!$C$14:$C$186,C805)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SUMIFS(RAB!$F$14:$F$186,RAB!$C$14:$C$186,C806)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SUMIFS(RAB!$F$14:$F$186,RAB!$C$14:$C$186,C807)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SUMIFS(RAB!$F$14:$F$186,RAB!$C$14:$C$186,C808)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SUMIFS(RAB!$F$14:$F$186,RAB!$C$14:$C$186,C809)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SUMIFS(RAB!$F$14:$F$186,RAB!$C$14:$C$186,C810)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SUMIFS(RAB!$F$14:$F$186,RAB!$C$14:$C$186,C811)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SUMIFS(RAB!$F$14:$F$186,RAB!$C$14:$C$186,C812)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SUMIFS(RAB!$F$14:$F$186,RAB!$C$14:$C$186,C813)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SUMIFS(RAB!$F$14:$F$186,RAB!$C$14:$C$186,C814)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SUMIFS(RAB!$F$14:$F$186,RAB!$C$14:$C$186,C815)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SUMIFS(RAB!$F$14:$F$186,RAB!$C$14:$C$186,C816)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SUMIFS(RAB!$F$14:$F$186,RAB!$C$14:$C$186,C817)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SUMIFS(RAB!$F$14:$F$186,RAB!$C$14:$C$186,C818)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SUMIFS(RAB!$F$14:$F$186,RAB!$C$14:$C$186,C819)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SUMIFS(RAB!$F$14:$F$186,RAB!$C$14:$C$186,C820)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SUMIFS(RAB!$F$14:$F$186,RAB!$C$14:$C$186,C821)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SUMIFS(RAB!$F$14:$F$186,RAB!$C$14:$C$186,C822)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SUMIFS(RAB!$F$14:$F$186,RAB!$C$14:$C$186,C823)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SUMIFS(RAB!$F$14:$F$186,RAB!$C$14:$C$186,C824)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SUMIFS(RAB!$F$14:$F$186,RAB!$C$14:$C$186,C825)</f>
        <v>9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SUMIFS(RAB!$F$14:$F$186,RAB!$C$14:$C$186,C826)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SUMIFS(RAB!$F$14:$F$186,RAB!$C$14:$C$186,C827)</f>
        <v>18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SUMIFS(RAB!$F$14:$F$186,RAB!$C$14:$C$186,C828)</f>
        <v>425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SUMIFS(RAB!$F$14:$F$186,RAB!$C$14:$C$186,C829)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SUMIFS(RAB!$F$14:$F$186,RAB!$C$14:$C$186,C830)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SUMIFS(RAB!$F$14:$F$186,RAB!$C$14:$C$186,C831)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SUMIFS(RAB!$F$14:$F$186,RAB!$C$14:$C$186,C832)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SUMIFS(RAB!$F$14:$F$186,RAB!$C$14:$C$186,C833)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SUMIFS(RAB!$F$14:$F$186,RAB!$C$14:$C$186,C834)</f>
        <v>3</v>
      </c>
      <c r="E834" s="26">
        <f t="shared" ca="1" si="34"/>
        <v>1</v>
      </c>
      <c r="F834" s="26">
        <f ca="1">IF(D834=0,0,SUM($E$713:E834))</f>
        <v>9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SUMIFS(RAB!$F$14:$F$186,RAB!$C$14:$C$186,C835)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SUMIFS(RAB!$F$14:$F$186,RAB!$C$14:$C$186,C836)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SUMIFS(RAB!$F$14:$F$186,RAB!$C$14:$C$186,C837)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SUMIFS(RAB!$F$14:$F$186,RAB!$C$14:$C$186,C838)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SUMIFS(RAB!$F$14:$F$186,RAB!$C$14:$C$186,C839)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SUMIFS(RAB!$F$14:$F$186,RAB!$C$14:$C$186,C840)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SUMIFS(RAB!$F$14:$F$186,RAB!$C$14:$C$186,C841)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SUMIFS(RAB!$F$14:$F$186,RAB!$C$14:$C$186,C842)</f>
        <v>44</v>
      </c>
      <c r="E842" s="26">
        <f t="shared" ca="1" si="34"/>
        <v>1</v>
      </c>
      <c r="F842" s="26">
        <f ca="1">IF(D842=0,0,SUM($E$713:E842))</f>
        <v>10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SUMIFS(RAB!$F$14:$F$186,RAB!$C$14:$C$186,C843)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SUMIFS(RAB!$F$14:$F$186,RAB!$C$14:$C$186,C844)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SUMIFS(RAB!$F$14:$F$186,RAB!$C$14:$C$186,C845)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SUMIFS(RAB!$F$14:$F$186,RAB!$C$14:$C$186,C846)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SUMIFS(RAB!$F$14:$F$186,RAB!$C$14:$C$186,C847)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SUMIFS(RAB!$F$14:$F$186,RAB!$C$14:$C$186,C848)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SUMIFS(RAB!$F$14:$F$186,RAB!$C$14:$C$186,C849)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SUMIFS(RAB!$F$14:$F$186,RAB!$C$14:$C$186,C850)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SUMIFS(RAB!$F$14:$F$186,RAB!$C$14:$C$186,C851)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SUMIFS(RAB!$F$14:$F$186,RAB!$C$14:$C$186,C852)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SUMIFS(RAB!$F$14:$F$186,RAB!$C$14:$C$186,C853)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SUMIFS(RAB!$F$14:$F$186,RAB!$C$14:$C$186,C854)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SUMIFS(RAB!$F$14:$F$186,RAB!$C$14:$C$186,C855)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SUMIFS(RAB!$F$14:$F$186,RAB!$C$14:$C$186,C856)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SUMIFS(RAB!$F$14:$F$186,RAB!$C$14:$C$186,C857)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SUMIFS(RAB!$F$14:$F$186,RAB!$C$14:$C$186,C858)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SUMIFS(RAB!$F$14:$F$186,RAB!$C$14:$C$186,C859)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SUMIFS(RAB!$F$14:$F$186,RAB!$C$14:$C$186,C860)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SUMIFS(RAB!$F$14:$F$186,RAB!$C$14:$C$186,C861)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SUMIFS(RAB!$F$14:$F$186,RAB!$C$14:$C$186,C862)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SUMIFS(RAB!$F$14:$F$186,RAB!$C$14:$C$186,C863)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SUMIFS(RAB!$F$14:$F$186,RAB!$C$14:$C$186,C864)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SUMIFS(RAB!$F$14:$F$186,RAB!$C$14:$C$186,C865)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SUMIFS(RAB!$F$14:$F$186,RAB!$C$14:$C$186,C866)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SUMIFS(RAB!$F$14:$F$186,RAB!$C$14:$C$186,C867)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SUMIFS(RAB!$F$14:$F$186,RAB!$C$14:$C$186,C868)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SUMIFS(RAB!$F$14:$F$186,RAB!$C$14:$C$186,C869)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SUMIFS(RAB!$F$14:$F$186,RAB!$C$14:$C$186,C870)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SUMIFS(RAB!$F$14:$F$186,RAB!$C$14:$C$186,C871)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SUMIFS(RAB!$F$14:$F$186,RAB!$C$14:$C$186,C872)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SUMIFS(RAB!$F$14:$F$186,RAB!$C$14:$C$186,C873)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SUMIFS(RAB!$F$14:$F$186,RAB!$C$14:$C$186,C874)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SUMIFS(RAB!$F$14:$F$186,RAB!$C$14:$C$186,C875)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SUMIFS(RAB!$F$14:$F$186,RAB!$C$14:$C$186,C876)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SUMIFS(RAB!$F$14:$F$186,RAB!$C$14:$C$186,C877)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SUMIFS(RAB!$F$14:$F$186,RAB!$C$14:$C$186,C878)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SUMIFS(RAB!$F$14:$F$186,RAB!$C$14:$C$186,C879)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SUMIFS(RAB!$F$14:$F$186,RAB!$C$14:$C$186,C880)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SUMIFS(RAB!$F$14:$F$186,RAB!$C$14:$C$186,C881)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SUMIFS(RAB!$F$14:$F$186,RAB!$C$14:$C$186,C882)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SUMIFS(RAB!$F$14:$F$186,RAB!$C$14:$C$186,C883)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SUMIFS(RAB!$F$14:$F$186,RAB!$C$14:$C$186,C884)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SUMIFS(RAB!$F$14:$F$186,RAB!$C$14:$C$186,C885)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SUMIFS(RAB!$F$14:$F$186,RAB!$C$14:$C$186,C886)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SUMIFS(RAB!$F$14:$F$186,RAB!$C$14:$C$186,C887)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SUMIFS(RAB!$F$14:$F$186,RAB!$C$14:$C$186,C888)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SUMIFS(RAB!$F$14:$F$186,RAB!$C$14:$C$186,C889)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SUMIFS(RAB!$F$14:$F$186,RAB!$C$14:$C$186,C890)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SUMIFS(RAB!$F$14:$F$186,RAB!$C$14:$C$186,C891)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SUMIFS(RAB!$F$14:$F$186,RAB!$C$14:$C$186,C892)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SUMIFS(RAB!$F$14:$F$186,RAB!$C$14:$C$186,C893)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SUMIFS(RAB!$F$14:$F$186,RAB!$C$14:$C$186,C894)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SUMIFS(RAB!$F$14:$F$186,RAB!$C$14:$C$186,C895)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SUMIFS(RAB!$F$14:$F$186,RAB!$C$14:$C$186,C896)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SUMIFS(RAB!$F$14:$F$186,RAB!$C$14:$C$186,C897)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SUMIFS(RAB!$F$14:$F$186,RAB!$C$14:$C$186,C898)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SUMIFS(RAB!$F$14:$F$186,RAB!$C$14:$C$186,C899)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SUMIFS(RAB!$F$14:$F$186,RAB!$C$14:$C$186,C900)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SUMIFS(RAB!$F$14:$F$186,RAB!$C$14:$C$186,C901)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SUMIFS(RAB!$F$14:$F$186,RAB!$C$14:$C$186,C902)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SUMIFS(RAB!$F$14:$F$186,RAB!$C$14:$C$186,C903)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SUMIFS(RAB!$F$14:$F$186,RAB!$C$14:$C$186,C904)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SUMIFS(RAB!$F$14:$F$186,RAB!$C$14:$C$186,C905)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SUMIFS(RAB!$F$14:$F$186,RAB!$C$14:$C$186,C906)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SUMIFS(RAB!$F$14:$F$186,RAB!$C$14:$C$186,C907)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SUMIFS(RAB!$F$14:$F$186,RAB!$C$14:$C$186,C908)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SUMIFS(RAB!$F$14:$F$186,RAB!$C$14:$C$186,C909)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SUMIFS(RAB!$F$14:$F$186,RAB!$C$14:$C$186,C910)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SUMIFS(RAB!$F$14:$F$186,RAB!$C$14:$C$186,C911)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SUMIFS(RAB!$F$14:$F$186,RAB!$C$14:$C$186,C912)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SUMIFS(RAB!$F$14:$F$186,RAB!$C$14:$C$186,C913)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SUMIFS(RAB!$F$14:$F$186,RAB!$C$14:$C$186,C914)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SUMIFS(RAB!$F$14:$F$186,RAB!$C$14:$C$186,C915)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SUMIFS(RAB!$F$14:$F$186,RAB!$C$14:$C$186,C916)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SUMIFS(RAB!$F$14:$F$186,RAB!$C$14:$C$186,C917)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SUMIFS(RAB!$F$14:$F$186,RAB!$C$14:$C$186,C918)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SUMIFS(RAB!$F$14:$F$186,RAB!$C$14:$C$186,C919)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SUMIFS(RAB!$F$14:$F$186,RAB!$C$14:$C$186,C920)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SUMIFS(RAB!$F$14:$F$186,RAB!$C$14:$C$186,C921)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SUMIFS(RAB!$F$14:$F$186,RAB!$C$14:$C$186,C922)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SUMIFS(RAB!$F$14:$F$186,RAB!$C$14:$C$186,C923)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SUMIFS(RAB!$F$14:$F$186,RAB!$C$14:$C$186,C924)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SUMIFS(RAB!$F$14:$F$186,RAB!$C$14:$C$186,C925)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SUMIFS(RAB!$F$14:$F$186,RAB!$C$14:$C$186,C926)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SUMIFS(RAB!$F$14:$F$186,RAB!$C$14:$C$186,C927)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SUMIFS(RAB!$F$14:$F$186,RAB!$C$14:$C$186,C928)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SUMIFS(RAB!$F$14:$F$186,RAB!$C$14:$C$186,C929)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SUMIFS(RAB!$F$14:$F$186,RAB!$C$14:$C$186,C930)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SUMIFS(RAB!$F$14:$F$186,RAB!$C$14:$C$186,C931)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SUMIFS(RAB!$F$14:$F$186,RAB!$C$14:$C$186,C932)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SUMIFS(RAB!$F$14:$F$186,RAB!$C$14:$C$186,C933)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SUMIFS(RAB!$F$14:$F$186,RAB!$C$14:$C$186,C934)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SUMIFS(RAB!$F$14:$F$186,RAB!$C$14:$C$186,C935)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SUMIFS(RAB!$F$14:$F$186,RAB!$C$14:$C$186,C936)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SUMIFS(RAB!$F$14:$F$186,RAB!$C$14:$C$186,C937)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SUMIFS(RAB!$F$14:$F$186,RAB!$C$14:$C$186,C938)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SUMIFS(RAB!$F$14:$F$186,RAB!$C$14:$C$186,C939)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SUMIFS(RAB!$F$14:$F$186,RAB!$C$14:$C$186,C940)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SUMIFS(RAB!$F$14:$F$186,RAB!$C$14:$C$186,C941)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SUMIFS(RAB!$F$14:$F$186,RAB!$C$14:$C$186,C942)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SUMIFS(RAB!$F$14:$F$186,RAB!$C$14:$C$186,C943)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SUMIFS(RAB!$F$14:$F$186,RAB!$C$14:$C$186,C944)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SUMIFS(RAB!$F$14:$F$186,RAB!$C$14:$C$186,C945)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SUMIFS(RAB!$F$14:$F$186,RAB!$C$14:$C$186,C946)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SUMIFS(RAB!$F$14:$F$186,RAB!$C$14:$C$186,C947)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SUMIFS(RAB!$F$14:$F$186,RAB!$C$14:$C$186,C948)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SUMIFS(RAB!$F$14:$F$186,RAB!$C$14:$C$186,C949)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SUMIFS(RAB!$F$14:$F$186,RAB!$C$14:$C$186,C950)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SUMIFS(RAB!$F$14:$F$186,RAB!$C$14:$C$186,C951)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SUMIFS(RAB!$F$14:$F$186,RAB!$C$14:$C$186,C952)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SUMIFS(RAB!$F$14:$F$186,RAB!$C$14:$C$186,C953)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SUMIFS(RAB!$F$14:$F$186,RAB!$C$14:$C$186,C954)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SUMIFS(RAB!$F$14:$F$186,RAB!$C$14:$C$186,C955)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SUMIFS(RAB!$F$14:$F$186,RAB!$C$14:$C$186,C956)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SUMIFS(RAB!$F$14:$F$186,RAB!$C$14:$C$186,C957)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SUMIFS(RAB!$F$14:$F$186,RAB!$C$14:$C$186,C958)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SUMIFS(RAB!$F$14:$F$186,RAB!$C$14:$C$186,C959)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SUMIFS(RAB!$F$14:$F$186,RAB!$C$14:$C$186,C960)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SUMIFS(RAB!$F$14:$F$186,RAB!$C$14:$C$186,C961)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SUMIFS(RAB!$F$14:$F$186,RAB!$C$14:$C$186,C962)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SUMIFS(RAB!$F$14:$F$186,RAB!$C$14:$C$186,C963)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SUMIFS(RAB!$F$14:$F$186,RAB!$C$14:$C$186,C964)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SUMIFS(RAB!$F$14:$F$186,RAB!$C$14:$C$186,C965)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SUMIFS(RAB!$F$14:$F$186,RAB!$C$14:$C$186,C966)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SUMIFS(RAB!$F$14:$F$186,RAB!$C$14:$C$186,C967)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SUMIFS(RAB!$F$14:$F$186,RAB!$C$14:$C$186,C968)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SUMIFS(RAB!$F$14:$F$186,RAB!$C$14:$C$186,C969)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SUMIFS(RAB!$F$14:$F$186,RAB!$C$14:$C$186,C970)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SUMIFS(RAB!$F$14:$F$186,RAB!$C$14:$C$186,C971)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SUMIFS(RAB!$F$14:$F$186,RAB!$C$14:$C$186,C972)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SUMIFS(RAB!$F$14:$F$186,RAB!$C$14:$C$186,C973)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SUMIFS(RAB!$F$14:$F$186,RAB!$C$14:$C$186,C974)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SUMIFS(RAB!$F$14:$F$186,RAB!$C$14:$C$186,C975)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SUMIFS(RAB!$F$14:$F$186,RAB!$C$14:$C$186,C976)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SUMIFS(RAB!$F$14:$F$186,RAB!$C$14:$C$186,C977)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SUMIFS(RAB!$F$14:$F$186,RAB!$C$14:$C$186,C978)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SUMIFS(RAB!$F$14:$F$186,RAB!$C$14:$C$186,C979)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SUMIFS(RAB!$F$14:$F$186,RAB!$C$14:$C$186,C980)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SUMIFS(RAB!$F$14:$F$186,RAB!$C$14:$C$186,C981)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SUMIFS(RAB!$F$14:$F$186,RAB!$C$14:$C$186,C982)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SUMIFS(RAB!$F$14:$F$186,RAB!$C$14:$C$186,C983)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SUMIFS(RAB!$F$14:$F$186,RAB!$C$14:$C$186,C984)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SUMIFS(RAB!$F$14:$F$186,RAB!$C$14:$C$186,C985)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SUMIFS(RAB!$F$14:$F$186,RAB!$C$14:$C$186,C986)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SUMIFS(RAB!$F$14:$F$186,RAB!$C$14:$C$186,C987)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SUMIFS(RAB!$F$14:$F$186,RAB!$C$14:$C$186,C988)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SUMIFS(RAB!$F$14:$F$186,RAB!$C$14:$C$186,C989)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SUMIFS(RAB!$F$14:$F$186,RAB!$C$14:$C$186,C990)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SUMIFS(RAB!$F$14:$F$186,RAB!$C$14:$C$186,C991)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SUMIFS(RAB!$F$14:$F$186,RAB!$C$14:$C$186,C992)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SUMIFS(RAB!$F$14:$F$186,RAB!$C$14:$C$186,C993)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SUMIFS(RAB!$F$14:$F$186,RAB!$C$14:$C$186,C994)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SUMIFS(RAB!$F$14:$F$186,RAB!$C$14:$C$186,C995)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SUMIFS(RAB!$F$14:$F$186,RAB!$C$14:$C$186,C996)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SUMIFS(RAB!$F$14:$F$186,RAB!$C$14:$C$186,C997)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SUMIFS(RAB!$F$14:$F$186,RAB!$C$14:$C$186,C998)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SUMIFS(RAB!$F$14:$F$186,RAB!$C$14:$C$186,C999)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SUMIFS(RAB!$F$14:$F$186,RAB!$C$14:$C$186,C1000)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SUMIFS(RAB!$F$14:$F$186,RAB!$C$14:$C$186,C1001)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SUMIFS(RAB!$F$14:$F$186,RAB!$C$14:$C$186,C1002)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SUMIFS(RAB!$F$14:$F$186,RAB!$C$14:$C$186,C1003)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SUMIFS(RAB!$F$14:$F$186,RAB!$C$14:$C$186,C1004)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SUMIFS(RAB!$F$14:$F$186,RAB!$C$14:$C$186,C1005)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SUMIFS(RAB!$F$14:$F$186,RAB!$C$14:$C$186,C1006)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SUMIFS(RAB!$F$14:$F$186,RAB!$C$14:$C$186,C1007)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SUMIFS(RAB!$F$14:$F$186,RAB!$C$14:$C$186,C1008)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SUMIFS(RAB!$F$14:$F$186,RAB!$C$14:$C$186,C1009)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SUMIFS(RAB!$F$14:$F$186,RAB!$C$14:$C$186,C1010)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SUMIFS(RAB!$F$14:$F$186,RAB!$C$14:$C$186,C1011)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SUMIFS(RAB!$F$14:$F$186,RAB!$C$14:$C$186,C1012)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SUMIFS(RAB!$F$14:$F$186,RAB!$C$14:$C$186,C1013)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SUMIFS(RAB!$F$14:$F$186,RAB!$C$14:$C$186,C1014)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SUMIFS(RAB!$F$14:$F$186,RAB!$C$14:$C$186,C1015)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SUMIFS(RAB!$F$14:$F$186,RAB!$C$14:$C$186,C1016)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SUMIFS(RAB!$F$14:$F$186,RAB!$C$14:$C$186,C1017)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SUMIFS(RAB!$F$14:$F$186,RAB!$C$14:$C$186,C1018)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SUMIFS(RAB!$F$14:$F$186,RAB!$C$14:$C$186,C1019)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SUMIFS(RAB!$F$14:$F$186,RAB!$C$14:$C$186,C1020)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SUMIFS(RAB!$F$14:$F$186,RAB!$C$14:$C$186,C1021)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SUMIFS(RAB!$F$14:$F$186,RAB!$C$14:$C$186,C1022)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SUMIFS(RAB!$F$14:$F$186,RAB!$C$14:$C$186,C1023)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SUMIFS(RAB!$F$14:$F$186,RAB!$C$14:$C$186,C1024)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SUMIFS(RAB!$F$14:$F$186,RAB!$C$14:$C$186,C1025)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SUMIFS(RAB!$F$14:$F$186,RAB!$C$14:$C$186,C1026)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SUMIFS(RAB!$F$14:$F$186,RAB!$C$14:$C$186,C1027)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SUMIFS(RAB!$F$14:$F$186,RAB!$C$14:$C$186,C1028)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SUMIFS(RAB!$F$14:$F$186,RAB!$C$14:$C$186,C1029)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SUMIFS(RAB!$F$14:$F$186,RAB!$C$14:$C$186,C1030)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SUMIFS(RAB!$F$14:$F$186,RAB!$C$14:$C$186,C1031)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SUMIFS(RAB!$F$14:$F$186,RAB!$C$14:$C$186,C1032)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SUMIFS(RAB!$F$14:$F$186,RAB!$C$14:$C$186,C1033)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SUMIFS(RAB!$F$14:$F$186,RAB!$C$14:$C$186,C1034)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SUMIFS(RAB!$F$14:$F$186,RAB!$C$14:$C$186,C1035)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SUMIFS(RAB!$F$14:$F$186,RAB!$C$14:$C$186,C1036)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SUMIFS(RAB!$F$14:$F$186,RAB!$C$14:$C$186,C1037)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SUMIFS(RAB!$F$14:$F$186,RAB!$C$14:$C$186,C1038)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SUMIFS(RAB!$F$14:$F$186,RAB!$C$14:$C$186,C1039)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SUMIFS(RAB!$F$14:$F$186,RAB!$C$14:$C$186,C1040)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SUMIFS(RAB!$F$14:$F$186,RAB!$C$14:$C$186,C1041)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SUMIFS(RAB!$F$14:$F$186,RAB!$C$14:$C$186,C1042)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SUMIFS(RAB!$F$14:$F$186,RAB!$C$14:$C$186,C1043)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SUMIFS(RAB!$F$14:$F$186,RAB!$C$14:$C$186,C1044)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SUMIFS(RAB!$F$14:$F$186,RAB!$C$14:$C$186,C1045)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SUMIFS(RAB!$F$14:$F$186,RAB!$C$14:$C$186,C1046)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SUMIFS(RAB!$F$14:$F$186,RAB!$C$14:$C$186,C1047)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SUMIFS(RAB!$F$14:$F$186,RAB!$C$14:$C$186,C1048)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SUMIFS(RAB!$F$14:$F$186,RAB!$C$14:$C$186,C1049)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SUMIFS(RAB!$F$14:$F$186,RAB!$C$14:$C$186,C1050)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SUMIFS(RAB!$F$14:$F$186,RAB!$C$14:$C$186,C1051)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SUMIFS(RAB!$F$14:$F$186,RAB!$C$14:$C$186,C1052)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SUMIFS(RAB!$F$14:$F$186,RAB!$C$14:$C$186,C1053)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SUMIFS(RAB!$F$14:$F$186,RAB!$C$14:$C$186,C1054)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SUMIFS(RAB!$F$14:$F$186,RAB!$C$14:$C$186,C1055)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SUMIFS(RAB!$F$14:$F$186,RAB!$C$14:$C$186,C1056)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SUMIFS(RAB!$F$14:$F$186,RAB!$C$14:$C$186,C1057)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SUMIFS(RAB!$F$14:$F$186,RAB!$C$14:$C$186,C1058)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SUMIFS(RAB!$F$14:$F$186,RAB!$C$14:$C$186,C1059)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SUMIFS(RAB!$F$14:$F$186,RAB!$C$14:$C$186,C1060)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SUMIFS(RAB!$F$14:$F$186,RAB!$C$14:$C$186,C1061)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SUMIFS(RAB!$F$14:$F$186,RAB!$C$14:$C$186,C1062)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SUMIFS(RAB!$F$14:$F$186,RAB!$C$14:$C$186,C1063)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SUMIFS(RAB!$F$14:$F$186,RAB!$C$14:$C$186,C1064)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SUMIFS(RAB!$F$14:$F$186,RAB!$C$14:$C$186,C1065)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SUMIFS(RAB!$F$14:$F$186,RAB!$C$14:$C$186,C1066)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SUMIFS(RAB!$F$14:$F$186,RAB!$C$14:$C$186,C1067)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SUMIFS(RAB!$F$14:$F$186,RAB!$C$14:$C$186,C1068)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SUMIFS(RAB!$F$14:$F$186,RAB!$C$14:$C$186,C1069)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SUMIFS(RAB!$F$14:$F$186,RAB!$C$14:$C$186,C1070)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SUMIFS(RAB!$F$14:$F$186,RAB!$C$14:$C$186,C1071)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SUMIFS(RAB!$F$14:$F$186,RAB!$C$14:$C$186,C1072)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SUMIFS(RAB!$F$14:$F$186,RAB!$C$14:$C$186,C1073)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SUMIFS(RAB!$F$14:$F$186,RAB!$C$14:$C$186,C1074)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SUMIFS(RAB!$F$14:$F$186,RAB!$C$14:$C$186,C1075)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SUMIFS(RAB!$F$14:$F$186,RAB!$C$14:$C$186,C1076)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SUMIFS(RAB!$F$14:$F$186,RAB!$C$14:$C$186,C1077)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SUMIFS(RAB!$F$14:$F$186,RAB!$C$14:$C$186,C1078)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SUMIFS(RAB!$F$14:$F$186,RAB!$C$14:$C$186,C1079)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SUMIFS(RAB!$F$14:$F$186,RAB!$C$14:$C$186,C1080)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SUMIFS(RAB!$F$14:$F$186,RAB!$C$14:$C$186,C1081)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SUMIFS(RAB!$F$14:$F$186,RAB!$C$14:$C$186,C1082)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SUMIFS(RAB!$F$14:$F$186,RAB!$C$14:$C$186,C1083)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SUMIFS(RAB!$F$14:$F$186,RAB!$C$14:$C$186,C1084)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SUMIFS(RAB!$F$14:$F$186,RAB!$C$14:$C$186,C1085)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SUMIFS(RAB!$F$14:$F$186,RAB!$C$14:$C$186,C1086)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SUMIFS(RAB!$F$14:$F$186,RAB!$C$14:$C$186,C1087)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SUMIFS(RAB!$F$14:$F$186,RAB!$C$14:$C$186,C1088)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SUMIFS(RAB!$F$14:$F$186,RAB!$C$14:$C$186,C1089)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SUMIFS(RAB!$F$14:$F$186,RAB!$C$14:$C$186,C1090)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SUMIFS(RAB!$F$14:$F$186,RAB!$C$14:$C$186,C1091)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SUMIFS(RAB!$F$14:$F$186,RAB!$C$14:$C$186,C1092)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SUMIFS(RAB!$F$14:$F$186,RAB!$C$14:$C$186,C1093)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SUMIFS(RAB!$F$14:$F$186,RAB!$C$14:$C$186,C1094)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SUMIFS(RAB!$F$14:$F$186,RAB!$C$14:$C$186,C1095)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SUMIFS(RAB!$F$14:$F$186,RAB!$C$14:$C$186,C1096)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SUMIFS(RAB!$F$14:$F$186,RAB!$C$14:$C$186,C1097)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SUMIFS(RAB!$F$14:$F$186,RAB!$C$14:$C$186,C1098)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SUMIFS(RAB!$F$14:$F$186,RAB!$C$14:$C$186,C1099)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SUMIFS(RAB!$F$14:$F$186,RAB!$C$14:$C$186,C1100)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SUMIFS(RAB!$F$14:$F$186,RAB!$C$14:$C$186,C1101)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SUMIFS(RAB!$F$14:$F$186,RAB!$C$14:$C$186,C1102)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SUMIFS(RAB!$F$14:$F$186,RAB!$C$14:$C$186,C1103)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SUMIFS(RAB!$F$14:$F$186,RAB!$C$14:$C$186,C1104)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SUMIFS(RAB!$F$14:$F$186,RAB!$C$14:$C$186,C1105)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SUMIFS(RAB!$F$14:$F$186,RAB!$C$14:$C$186,C1106)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SUMIFS(RAB!$F$14:$F$186,RAB!$C$14:$C$186,C1107)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SUMIFS(RAB!$F$14:$F$186,RAB!$C$14:$C$186,C1108)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SUMIFS(RAB!$F$14:$F$186,RAB!$C$14:$C$186,C1109)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SUMIFS(RAB!$F$14:$F$186,RAB!$C$14:$C$186,C1110)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SUMIFS(RAB!$F$14:$F$186,RAB!$C$14:$C$186,C1111)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SUMIFS(RAB!$F$14:$F$186,RAB!$C$14:$C$186,C1112)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SUMIFS(RAB!$F$14:$F$186,RAB!$C$14:$C$186,C1113)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SUMIFS(RAB!$F$14:$F$186,RAB!$C$14:$C$186,C1114)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SUMIFS(RAB!$F$14:$F$186,RAB!$C$14:$C$186,C1115)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SUMIFS(RAB!$F$14:$F$186,RAB!$C$14:$C$186,C1116)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SUMIFS(RAB!$F$14:$F$186,RAB!$C$14:$C$186,C1117)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SUMIFS(RAB!$F$14:$F$186,RAB!$C$14:$C$186,C1118)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SUMIFS(RAB!$F$14:$F$186,RAB!$C$14:$C$186,C1119)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SUMIFS(RAB!$F$14:$F$186,RAB!$C$14:$C$186,C1120)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SUMIFS(RAB!$F$14:$F$186,RAB!$C$14:$C$186,C1121)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SUMIFS(RAB!$F$14:$F$186,RAB!$C$14:$C$186,C1122)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SUMIFS(RAB!$F$14:$F$186,RAB!$C$14:$C$186,C1123)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SUMIFS(RAB!$F$14:$F$186,RAB!$C$14:$C$186,C1124)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SUMIFS(RAB!$F$14:$F$186,RAB!$C$14:$C$186,C1125)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SUMIFS(RAB!$F$14:$F$186,RAB!$C$14:$C$186,C1126)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SUMIFS(RAB!$F$14:$F$186,RAB!$C$14:$C$186,C1127)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SUMIFS(RAB!$F$14:$F$186,RAB!$C$14:$C$186,C1128)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SUMIFS(RAB!$F$14:$F$186,RAB!$C$14:$C$186,C1129)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SUMIFS(RAB!$F$14:$F$186,RAB!$C$14:$C$186,C1130)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SUMIFS(RAB!$F$14:$F$186,RAB!$C$14:$C$186,C1131)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SUMIFS(RAB!$F$14:$F$186,RAB!$C$14:$C$186,C1132)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SUMIFS(RAB!$F$14:$F$186,RAB!$C$14:$C$186,C1133)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SUMIFS(RAB!$F$14:$F$186,RAB!$C$14:$C$186,C1134)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SUMIFS(RAB!$F$14:$F$186,RAB!$C$14:$C$186,C1135)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SUMIFS(RAB!$F$14:$F$186,RAB!$C$14:$C$186,C1136)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SUMIFS(RAB!$F$14:$F$186,RAB!$C$14:$C$186,C1137)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SUMIFS(RAB!$F$14:$F$186,RAB!$C$14:$C$186,C1138)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SUMIFS(RAB!$F$14:$F$186,RAB!$C$14:$C$186,C1139)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SUMIFS(RAB!$F$14:$F$186,RAB!$C$14:$C$186,C1140)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SUMIFS(RAB!$F$14:$F$186,RAB!$C$14:$C$186,C1141)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SUMIFS(RAB!$F$14:$F$186,RAB!$C$14:$C$186,C1142)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SUMIFS(RAB!$F$14:$F$186,RAB!$C$14:$C$186,C1143)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SUMIFS(RAB!$F$14:$F$186,RAB!$C$14:$C$186,C1144)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SUMIFS(RAB!$F$14:$F$186,RAB!$C$14:$C$186,C1145)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SUMIFS(RAB!$F$14:$F$186,RAB!$C$14:$C$186,C1146)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SUMIFS(RAB!$F$14:$F$186,RAB!$C$14:$C$186,C1147)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SUMIFS(RAB!$F$14:$F$186,RAB!$C$14:$C$186,C1148)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SUMIFS(RAB!$F$14:$F$186,RAB!$C$14:$C$186,C1149)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SUMIFS(RAB!$F$14:$F$186,RAB!$C$14:$C$186,C1150)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SUMIFS(RAB!$F$14:$F$186,RAB!$C$14:$C$186,C1151)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SUMIFS(RAB!$F$14:$F$186,RAB!$C$14:$C$186,C1152)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SUMIFS(RAB!$F$14:$F$186,RAB!$C$14:$C$186,C1153)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SUMIFS(RAB!$F$14:$F$186,RAB!$C$14:$C$186,C1154)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SUMIFS(RAB!$F$14:$F$186,RAB!$C$14:$C$186,C1155)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SUMIFS(RAB!$F$14:$F$186,RAB!$C$14:$C$186,C1156)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SUMIFS(RAB!$F$14:$F$186,RAB!$C$14:$C$186,C1157)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SUMIFS(RAB!$F$14:$F$186,RAB!$C$14:$C$186,C1158)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SUMIFS(RAB!$F$14:$F$186,RAB!$C$14:$C$186,C1159)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SUMIFS(RAB!$F$14:$F$186,RAB!$C$14:$C$186,C1160)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SUMIFS(RAB!$F$14:$F$186,RAB!$C$14:$C$186,C1161)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SUMIFS(RAB!$F$14:$F$186,RAB!$C$14:$C$186,C1162)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SUMIFS(RAB!$F$14:$F$186,RAB!$C$14:$C$186,C1163)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SUMIFS(RAB!$F$14:$F$186,RAB!$C$14:$C$186,C1164)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SUMIFS(RAB!$F$14:$F$186,RAB!$C$14:$C$186,C1165)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SUMIFS(RAB!$F$14:$F$186,RAB!$C$14:$C$186,C1166)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SUMIFS(RAB!$F$14:$F$186,RAB!$C$14:$C$186,C1167)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SUMIFS(RAB!$F$14:$F$186,RAB!$C$14:$C$186,C1168)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SUMIFS(RAB!$F$14:$F$186,RAB!$C$14:$C$186,C1169)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SUMIFS(RAB!$F$14:$F$186,RAB!$C$14:$C$186,C1170)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SUMIFS(RAB!$F$14:$F$186,RAB!$C$14:$C$186,C1171)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SUMIFS(RAB!$F$14:$F$186,RAB!$C$14:$C$186,C1172)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SUMIFS(RAB!$F$14:$F$186,RAB!$C$14:$C$186,C1173)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SUMIFS(RAB!$F$14:$F$186,RAB!$C$14:$C$186,C1174)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SUMIFS(RAB!$F$14:$F$186,RAB!$C$14:$C$186,C1175)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SUMIFS(RAB!$F$14:$F$186,RAB!$C$14:$C$186,C1176)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SUMIFS(RAB!$F$14:$F$186,RAB!$C$14:$C$186,C1177)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SUMIFS(RAB!$F$14:$F$186,RAB!$C$14:$C$186,C1178)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SUMIFS(RAB!$F$14:$F$186,RAB!$C$14:$C$186,C1179)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SUMIFS(RAB!$F$14:$F$186,RAB!$C$14:$C$186,C1180)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SUMIFS(RAB!$F$14:$F$186,RAB!$C$14:$C$186,C1181)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SUMIFS(RAB!$F$14:$F$186,RAB!$C$14:$C$186,C1182)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SUMIFS(RAB!$F$14:$F$186,RAB!$C$14:$C$186,C1183)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SUMIFS(RAB!$F$14:$F$186,RAB!$C$14:$C$186,C1184)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SUMIFS(RAB!$F$14:$F$186,RAB!$C$14:$C$186,C1185)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SUMIFS(RAB!$F$14:$F$186,RAB!$C$14:$C$186,C1186)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SUMIFS(RAB!$F$14:$F$186,RAB!$C$14:$C$186,C1187)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SUMIFS(RAB!$F$14:$F$186,RAB!$C$14:$C$186,C1188)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SUMIFS(RAB!$F$14:$F$186,RAB!$C$14:$C$186,C1189)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SUMIFS(RAB!$F$14:$F$186,RAB!$C$14:$C$186,C1190)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SUMIFS(RAB!$F$14:$F$186,RAB!$C$14:$C$186,C1191)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SUMIFS(RAB!$F$14:$F$186,RAB!$C$14:$C$186,C1192)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SUMIFS(RAB!$F$14:$F$186,RAB!$C$14:$C$186,C1193)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SUMIFS(RAB!$F$14:$F$186,RAB!$C$14:$C$186,C1194)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SUMIFS(RAB!$F$14:$F$186,RAB!$C$14:$C$186,C1195)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SUMIFS(RAB!$F$14:$F$186,RAB!$C$14:$C$186,C1196)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SUMIFS(RAB!$F$14:$F$186,RAB!$C$14:$C$186,C1197)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SUMIFS(RAB!$F$14:$F$186,RAB!$C$14:$C$186,C1198)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SUMIFS(RAB!$F$14:$F$186,RAB!$C$14:$C$186,C1199)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SUMIFS(RAB!$F$14:$F$186,RAB!$C$14:$C$186,C1200)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SUMIFS(RAB!$F$14:$F$186,RAB!$C$14:$C$186,C1201)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SUMIFS(RAB!$F$14:$F$186,RAB!$C$14:$C$186,C1202)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SUMIFS(RAB!$F$14:$F$186,RAB!$C$14:$C$186,C1203)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SUMIFS(RAB!$F$14:$F$186,RAB!$C$14:$C$186,C1204)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SUMIFS(RAB!$F$14:$F$186,RAB!$C$14:$C$186,C1205)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SUMIFS(RAB!$F$14:$F$186,RAB!$C$14:$C$186,C1206)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SUMIFS(RAB!$F$14:$F$186,RAB!$C$14:$C$186,C1207)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SUMIFS(RAB!$F$14:$F$186,RAB!$C$14:$C$186,C1208)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SUMIFS(RAB!$F$14:$F$186,RAB!$C$14:$C$186,C1209)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SUMIFS(RAB!$F$14:$F$186,RAB!$C$14:$C$186,C1210)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SUMIFS(RAB!$F$14:$F$186,RAB!$C$14:$C$186,C1211)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SUMIFS(RAB!$F$14:$F$186,RAB!$C$14:$C$186,C1212)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SUMIFS(RAB!$F$14:$F$186,RAB!$C$14:$C$186,C1213)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SUMIFS(RAB!$F$14:$F$186,RAB!$C$14:$C$186,C1214)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SUMIFS(RAB!$F$14:$F$186,RAB!$C$14:$C$186,C1215)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SUMIFS(RAB!$F$14:$F$186,RAB!$C$14:$C$186,C1216)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SUMIFS(RAB!$F$14:$F$186,RAB!$C$14:$C$186,C1217)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SUMIFS(RAB!$F$14:$F$186,RAB!$C$14:$C$186,C1218)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SUMIFS(RAB!$F$14:$F$186,RAB!$C$14:$C$186,C1219)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SUMIFS(RAB!$F$14:$F$186,RAB!$C$14:$C$186,C1220)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SUMIFS(RAB!$F$14:$F$186,RAB!$C$14:$C$186,C1221)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SUMIFS(RAB!$F$14:$F$186,RAB!$C$14:$C$186,C1222)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SUMIFS(RAB!$F$14:$F$186,RAB!$C$14:$C$186,C1223)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SUMIFS(RAB!$F$14:$F$186,RAB!$C$14:$C$186,C1224)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SUMIFS(RAB!$F$14:$F$186,RAB!$C$14:$C$186,C1225)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SUMIFS(RAB!$F$14:$F$186,RAB!$C$14:$C$186,C1226)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SUMIFS(RAB!$F$14:$F$186,RAB!$C$14:$C$186,C1227)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SUMIFS(RAB!$F$14:$F$186,RAB!$C$14:$C$186,C1228)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SUMIFS(RAB!$F$14:$F$186,RAB!$C$14:$C$186,C1229)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SUMIFS(RAB!$F$14:$F$186,RAB!$C$14:$C$186,C1230)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SUMIFS(RAB!$F$14:$F$186,RAB!$C$14:$C$186,C1231)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SUMIFS(RAB!$F$14:$F$186,RAB!$C$14:$C$186,C1232)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SUMIFS(RAB!$F$14:$F$186,RAB!$C$14:$C$186,C1233)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SUMIFS(RAB!$F$14:$F$186,RAB!$C$14:$C$186,C1234)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SUMIFS(RAB!$F$14:$F$186,RAB!$C$14:$C$186,C1235)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SUMIFS(RAB!$F$14:$F$186,RAB!$C$14:$C$186,C1236)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SUMIFS(RAB!$F$14:$F$186,RAB!$C$14:$C$186,C1237)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SUMIFS(RAB!$F$14:$F$186,RAB!$C$14:$C$186,C1238)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SUMIFS(RAB!$F$14:$F$186,RAB!$C$14:$C$186,C1239)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SUMIFS(RAB!$F$14:$F$186,RAB!$C$14:$C$186,C1240)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SUMIFS(RAB!$F$14:$F$186,RAB!$C$14:$C$186,C1241)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SUMIFS(RAB!$F$14:$F$186,RAB!$C$14:$C$186,C1242)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SUMIFS(RAB!$F$14:$F$186,RAB!$C$14:$C$186,C1243)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SUMIFS(RAB!$F$14:$F$186,RAB!$C$14:$C$186,C1244)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SUMIFS(RAB!$F$14:$F$186,RAB!$C$14:$C$186,C1245)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SUMIFS(RAB!$F$14:$F$186,RAB!$C$14:$C$186,C1246)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SUMIFS(RAB!$F$14:$F$186,RAB!$C$14:$C$186,C1247)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SUMIFS(RAB!$F$14:$F$186,RAB!$C$14:$C$186,C1248)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SUMIFS(RAB!$F$14:$F$186,RAB!$C$14:$C$186,C1249)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SUMIFS(RAB!$F$14:$F$186,RAB!$C$14:$C$186,C1250)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SUMIFS(RAB!$F$14:$F$186,RAB!$C$14:$C$186,C1251)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SUMIFS(RAB!$F$14:$F$186,RAB!$C$14:$C$186,C1252)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SUMIFS(RAB!$F$14:$F$186,RAB!$C$14:$C$186,C1253)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SUMIFS(RAB!$F$14:$F$186,RAB!$C$14:$C$186,C1254)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SUMIFS(RAB!$F$14:$F$186,RAB!$C$14:$C$186,C1255)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SUMIFS(RAB!$F$14:$F$186,RAB!$C$14:$C$186,C1256)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SUMIFS(RAB!$F$14:$F$186,RAB!$C$14:$C$186,C1257)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SUMIFS(RAB!$F$14:$F$186,RAB!$C$14:$C$186,C1258)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SUMIFS(RAB!$F$14:$F$186,RAB!$C$14:$C$186,C1259)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SUMIFS(RAB!$F$14:$F$186,RAB!$C$14:$C$186,C1260)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SUMIFS(RAB!$F$14:$F$186,RAB!$C$14:$C$186,C1261)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SUMIFS(RAB!$F$14:$F$186,RAB!$C$14:$C$186,C1262)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SUMIFS(RAB!$F$14:$F$186,RAB!$C$14:$C$186,C1263)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SUMIFS(RAB!$F$14:$F$186,RAB!$C$14:$C$186,C1264)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SUMIFS(RAB!$F$14:$F$186,RAB!$C$14:$C$186,C1265)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SUMIFS(RAB!$F$14:$F$186,RAB!$C$14:$C$186,C1266)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SUMIFS(RAB!$F$14:$F$186,RAB!$C$14:$C$186,C1267)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SUMIFS(RAB!$F$14:$F$186,RAB!$C$14:$C$186,C1268)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SUMIFS(RAB!$F$14:$F$186,RAB!$C$14:$C$186,C1269)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SUMIFS(RAB!$F$14:$F$186,RAB!$C$14:$C$186,C1270)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SUMIFS(RAB!$F$14:$F$186,RAB!$C$14:$C$186,C1271)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SUMIFS(RAB!$F$14:$F$186,RAB!$C$14:$C$186,C1272)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SUMIFS(RAB!$F$14:$F$186,RAB!$C$14:$C$186,C1273)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SUMIFS(RAB!$F$14:$F$186,RAB!$C$14:$C$186,C1274)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SUMIFS(RAB!$F$14:$F$186,RAB!$C$14:$C$186,C1275)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SUMIFS(RAB!$F$14:$F$186,RAB!$C$14:$C$186,C1276)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SUMIFS(RAB!$F$14:$F$186,RAB!$C$14:$C$186,C1277)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SUMIFS(RAB!$F$14:$F$186,RAB!$C$14:$C$186,C1278)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SUMIFS(RAB!$F$14:$F$186,RAB!$C$14:$C$186,C1279)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SUMIFS(RAB!$F$14:$F$186,RAB!$C$14:$C$186,C1280)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SUMIFS(RAB!$F$14:$F$186,RAB!$C$14:$C$186,C1281)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SUMIFS(RAB!$F$14:$F$186,RAB!$C$14:$C$186,C1282)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SUMIFS(RAB!$F$14:$F$186,RAB!$C$14:$C$186,C1283)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SUMIFS(RAB!$F$14:$F$186,RAB!$C$14:$C$186,C1284)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SUMIFS(RAB!$F$14:$F$186,RAB!$C$14:$C$186,C1285)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SUMIFS(RAB!$F$14:$F$186,RAB!$C$14:$C$186,C1286)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SUMIFS(RAB!$F$14:$F$186,RAB!$C$14:$C$186,C1287)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SUMIFS(RAB!$F$14:$F$186,RAB!$C$14:$C$186,C1288)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SUMIFS(RAB!$F$14:$F$186,RAB!$C$14:$C$186,C1289)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SUMIFS(RAB!$F$14:$F$186,RAB!$C$14:$C$186,C1290)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SUMIFS(RAB!$F$14:$F$186,RAB!$C$14:$C$186,C1291)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SUMIFS(RAB!$F$14:$F$186,RAB!$C$14:$C$186,C1292)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SUMIFS(RAB!$F$14:$F$186,RAB!$C$14:$C$186,C1293)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SUMIFS(RAB!$F$14:$F$186,RAB!$C$14:$C$186,C1294)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SUMIFS(RAB!$F$14:$F$186,RAB!$C$14:$C$186,C1295)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SUMIFS(RAB!$F$14:$F$186,RAB!$C$14:$C$186,C1296)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SUMIFS(RAB!$F$14:$F$186,RAB!$C$14:$C$186,C1297)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SUMIFS(RAB!$F$14:$F$186,RAB!$C$14:$C$186,C1298)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SUMIFS(RAB!$F$14:$F$186,RAB!$C$14:$C$186,C1299)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SUMIFS(RAB!$F$14:$F$186,RAB!$C$14:$C$186,C1300)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SUMIFS(RAB!$F$14:$F$186,RAB!$C$14:$C$186,C1301)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SUMIFS(RAB!$F$14:$F$186,RAB!$C$14:$C$186,C1302)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SUMIFS(RAB!$F$14:$F$186,RAB!$C$14:$C$186,C1303)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SUMIFS(RAB!$F$14:$F$186,RAB!$C$14:$C$186,C1304)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SUMIFS(RAB!$F$14:$F$186,RAB!$C$14:$C$186,C1305)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SUMIFS(RAB!$F$14:$F$186,RAB!$C$14:$C$186,C1306)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SUMIFS(RAB!$F$14:$F$186,RAB!$C$14:$C$186,C1307)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SUMIFS(RAB!$F$14:$F$186,RAB!$C$14:$C$186,C1308)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SUMIFS(RAB!$F$14:$F$186,RAB!$C$14:$C$186,C1309)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SUMIFS(RAB!$F$14:$F$186,RAB!$C$14:$C$186,C1310)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SUMIFS(RAB!$F$14:$F$186,RAB!$C$14:$C$186,C1311)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SUMIFS(RAB!$F$14:$F$186,RAB!$C$14:$C$186,C1312)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SUMIFS(RAB!$F$14:$F$186,RAB!$C$14:$C$186,C1313)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SUMIFS(RAB!$F$14:$F$186,RAB!$C$14:$C$186,C1314)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SUMIFS(RAB!$F$14:$F$186,RAB!$C$14:$C$186,C1315)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SUMIFS(RAB!$F$14:$F$186,RAB!$C$14:$C$186,C1316)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SUMIFS(RAB!$F$14:$F$186,RAB!$C$14:$C$186,C1317)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SUMIFS(RAB!$F$14:$F$186,RAB!$C$14:$C$186,C1318)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SUMIFS(RAB!$F$14:$F$186,RAB!$C$14:$C$186,C1319)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SUMIFS(RAB!$F$14:$F$186,RAB!$C$14:$C$186,C1320)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3" t="s">
        <v>1127</v>
      </c>
      <c r="C4" s="553"/>
      <c r="D4" s="553"/>
      <c r="E4" s="553"/>
      <c r="F4" s="553"/>
      <c r="G4" s="553"/>
      <c r="H4" s="553"/>
      <c r="I4" s="553"/>
      <c r="J4" s="553"/>
      <c r="K4" s="55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AGR MUSTAIN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WONOSALAM KEC.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4" t="s">
        <v>0</v>
      </c>
      <c r="C11" s="556" t="s">
        <v>1</v>
      </c>
      <c r="D11" s="559" t="s">
        <v>42</v>
      </c>
      <c r="E11" s="559" t="s">
        <v>43</v>
      </c>
      <c r="F11" s="559" t="s">
        <v>2</v>
      </c>
      <c r="G11" s="560" t="s">
        <v>41</v>
      </c>
      <c r="H11" s="559" t="s">
        <v>3</v>
      </c>
      <c r="I11" s="559"/>
      <c r="J11" s="559"/>
      <c r="K11" s="563"/>
      <c r="M11" s="33"/>
      <c r="N11" s="33"/>
      <c r="O11" s="33"/>
      <c r="P11" s="33"/>
      <c r="R11" s="34"/>
      <c r="S11" s="74"/>
      <c r="T11" s="74"/>
    </row>
    <row r="12" spans="1:21" ht="15" customHeight="1">
      <c r="B12" s="555"/>
      <c r="C12" s="557"/>
      <c r="D12" s="549"/>
      <c r="E12" s="549"/>
      <c r="F12" s="549"/>
      <c r="G12" s="561"/>
      <c r="H12" s="551" t="s">
        <v>46</v>
      </c>
      <c r="I12" s="551" t="s">
        <v>5</v>
      </c>
      <c r="J12" s="549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5"/>
      <c r="C13" s="558"/>
      <c r="D13" s="549"/>
      <c r="E13" s="549"/>
      <c r="F13" s="549"/>
      <c r="G13" s="562"/>
      <c r="H13" s="552"/>
      <c r="I13" s="552"/>
      <c r="J13" s="549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11600000</v>
      </c>
      <c r="J16" s="42">
        <f t="shared" ca="1" si="3"/>
        <v>0</v>
      </c>
      <c r="K16" s="43">
        <f t="shared" ca="1" si="0"/>
        <v>11600000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7" t="s">
        <v>1008</v>
      </c>
      <c r="D38" s="547"/>
      <c r="E38" s="547"/>
      <c r="F38" s="547"/>
      <c r="G38" s="77" t="s">
        <v>9</v>
      </c>
      <c r="H38" s="55">
        <f ca="1">SUM(H14:H37)</f>
        <v>0</v>
      </c>
      <c r="I38" s="55">
        <f ca="1">SUM(I14:I37)</f>
        <v>23748800</v>
      </c>
      <c r="J38" s="55">
        <f ca="1">SUM(J14:J37)</f>
        <v>0</v>
      </c>
      <c r="K38" s="55">
        <f ca="1">SUM(K14:K37)</f>
        <v>23748800</v>
      </c>
      <c r="L38" s="44"/>
      <c r="R38" s="99"/>
      <c r="S38" s="99"/>
      <c r="T38" s="99"/>
    </row>
    <row r="39" spans="1:20" s="36" customFormat="1">
      <c r="A39" s="30"/>
      <c r="B39" s="56"/>
      <c r="C39" s="548" t="s">
        <v>462</v>
      </c>
      <c r="D39" s="548"/>
      <c r="E39" s="548"/>
      <c r="F39" s="548"/>
      <c r="G39" s="59" t="s">
        <v>9</v>
      </c>
      <c r="H39" s="60">
        <f ca="1">H38*0.1</f>
        <v>0</v>
      </c>
      <c r="I39" s="60">
        <f ca="1">I38*0.1</f>
        <v>2374880</v>
      </c>
      <c r="J39" s="60">
        <f ca="1">J38*0.1</f>
        <v>0</v>
      </c>
      <c r="K39" s="60">
        <f ca="1">K38*0.1</f>
        <v>2374880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7" t="s">
        <v>463</v>
      </c>
      <c r="D40" s="537"/>
      <c r="E40" s="537"/>
      <c r="F40" s="537"/>
      <c r="G40" s="61" t="s">
        <v>9</v>
      </c>
      <c r="H40" s="78">
        <f ca="1">SUM(H38:H39)</f>
        <v>0</v>
      </c>
      <c r="I40" s="78">
        <f ca="1">SUM(I38:I39)</f>
        <v>26123680</v>
      </c>
      <c r="J40" s="61">
        <f ca="1">SUM(J38:J39)</f>
        <v>0</v>
      </c>
      <c r="K40" s="61">
        <f ca="1">SUM(K38:K39)</f>
        <v>26123680</v>
      </c>
      <c r="L40" s="44"/>
      <c r="R40" s="99"/>
      <c r="S40" s="99"/>
      <c r="T40" s="99"/>
    </row>
    <row r="41" spans="1:20" s="36" customFormat="1">
      <c r="A41" s="30"/>
      <c r="B41" s="540" t="e">
        <f ca="1">"Terbilang : ( "&amp;L42&amp;" Rupiah )"</f>
        <v>#NAME?</v>
      </c>
      <c r="C41" s="541"/>
      <c r="D41" s="541"/>
      <c r="E41" s="541"/>
      <c r="F41" s="541"/>
      <c r="G41" s="541"/>
      <c r="H41" s="541"/>
      <c r="I41" s="541"/>
      <c r="J41" s="541"/>
      <c r="K41" s="542"/>
      <c r="L41" s="44"/>
      <c r="R41" s="58"/>
      <c r="S41" s="58"/>
      <c r="T41" s="58"/>
    </row>
    <row r="42" spans="1:20" s="36" customFormat="1">
      <c r="A42" s="30"/>
      <c r="B42" s="543"/>
      <c r="C42" s="544"/>
      <c r="D42" s="544"/>
      <c r="E42" s="544"/>
      <c r="F42" s="544"/>
      <c r="G42" s="544"/>
      <c r="H42" s="544"/>
      <c r="I42" s="544"/>
      <c r="J42" s="544"/>
      <c r="K42" s="54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8"/>
      <c r="I45" s="538"/>
      <c r="J45" s="539"/>
      <c r="K45" s="53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8"/>
      <c r="I46" s="538"/>
      <c r="J46" s="539"/>
      <c r="K46" s="53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8"/>
      <c r="I47" s="538"/>
      <c r="J47" s="539"/>
      <c r="K47" s="53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8"/>
      <c r="I52" s="538"/>
      <c r="J52" s="539"/>
      <c r="K52" s="53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SUMIFS(RAB!$F$14:$F$186,RAB!$C$14:$C$186,'REKAP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SUMIFS(RAB!$F$14:$F$186,RAB!$C$14:$C$186,'REKAP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SUMIFS(RAB!$F$14:$F$186,RAB!$C$14:$C$186,'REKAP TIANG'!C59)</f>
        <v>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SUMIFS(RAB!$F$14:$F$186,RAB!$C$14:$C$186,'REKAP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SUMIFS(RAB!$F$14:$F$186,RAB!$C$14:$C$186,'REKAP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SUMIFS(RAB!$F$14:$F$186,RAB!$C$14:$C$186,'REKAP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SUMIFS(RAB!$F$14:$F$186,RAB!$C$14:$C$186,'REKAP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SUMIFS(RAB!$F$14:$F$186,RAB!$C$14:$C$186,'REKAP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SUMIFS(RAB!$F$14:$F$186,RAB!$C$14:$C$186,'REKAP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SUMIFS(RAB!$F$14:$F$186,RAB!$C$14:$C$186,'REKAP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SUMIFS(RAB!$F$14:$F$186,RAB!$C$14:$C$186,'REKAP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SUMIFS(RAB!$F$14:$F$186,RAB!$C$14:$C$186,'REKAP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SUMIFS(RAB!$F$14:$F$186,RAB!$C$14:$C$186,'REKAP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SUMIFS(RAB!$F$14:$F$186,RAB!$C$14:$C$186,'REKAP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SUMIFS(RAB!$F$14:$F$186,RAB!$C$14:$C$186,'REKAP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SUMIFS(RAB!$F$14:$F$186,RAB!$C$14:$C$186,'REKAP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SUMIFS(RAB!$F$14:$F$186,RAB!$C$14:$C$186,'REKAP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SUMIFS(RAB!$F$14:$F$186,RAB!$C$14:$C$186,'REKAP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SUMIFS(RAB!$F$14:$F$186,RAB!$C$14:$C$186,'REKAP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SUMIFS(RAB!$F$14:$F$186,RAB!$C$14:$C$186,'REKAP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3" t="s">
        <v>1034</v>
      </c>
      <c r="C4" s="553"/>
      <c r="D4" s="553"/>
      <c r="E4" s="553"/>
      <c r="F4" s="553"/>
      <c r="G4" s="553"/>
      <c r="H4" s="553"/>
      <c r="I4" s="553"/>
      <c r="J4" s="553"/>
      <c r="K4" s="55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AGR MUSTAIN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WONOSALAM KEC.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4" t="s">
        <v>0</v>
      </c>
      <c r="C11" s="556" t="s">
        <v>1</v>
      </c>
      <c r="D11" s="559" t="s">
        <v>42</v>
      </c>
      <c r="E11" s="559" t="s">
        <v>43</v>
      </c>
      <c r="F11" s="559" t="s">
        <v>2</v>
      </c>
      <c r="G11" s="560" t="s">
        <v>41</v>
      </c>
      <c r="H11" s="559" t="s">
        <v>3</v>
      </c>
      <c r="I11" s="559"/>
      <c r="J11" s="559"/>
      <c r="K11" s="563"/>
      <c r="M11" s="33"/>
      <c r="N11" s="33"/>
      <c r="O11" s="33"/>
      <c r="P11" s="33"/>
      <c r="R11" s="34"/>
      <c r="S11" s="74"/>
      <c r="T11" s="74"/>
    </row>
    <row r="12" spans="1:21" ht="15" customHeight="1">
      <c r="B12" s="555"/>
      <c r="C12" s="557"/>
      <c r="D12" s="549"/>
      <c r="E12" s="549"/>
      <c r="F12" s="549"/>
      <c r="G12" s="561"/>
      <c r="H12" s="551" t="s">
        <v>46</v>
      </c>
      <c r="I12" s="551" t="s">
        <v>5</v>
      </c>
      <c r="J12" s="549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5"/>
      <c r="C13" s="558"/>
      <c r="D13" s="549"/>
      <c r="E13" s="549"/>
      <c r="F13" s="549"/>
      <c r="G13" s="562"/>
      <c r="H13" s="552"/>
      <c r="I13" s="552"/>
      <c r="J13" s="549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147 kVA MCCB 225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1592100</v>
      </c>
      <c r="I21" s="42">
        <f t="shared" ca="1" si="2"/>
        <v>0</v>
      </c>
      <c r="J21" s="42">
        <f t="shared" ca="1" si="3"/>
        <v>0</v>
      </c>
      <c r="K21" s="43">
        <f t="shared" ca="1" si="0"/>
        <v>1592100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18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3702600</v>
      </c>
      <c r="I22" s="42">
        <f t="shared" ca="1" si="2"/>
        <v>0</v>
      </c>
      <c r="J22" s="42">
        <f t="shared" ca="1" si="3"/>
        <v>0</v>
      </c>
      <c r="K22" s="43">
        <f t="shared" ca="1" si="0"/>
        <v>3702600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425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6035000</v>
      </c>
      <c r="I23" s="42">
        <f t="shared" ca="1" si="2"/>
        <v>0</v>
      </c>
      <c r="J23" s="42">
        <f t="shared" ca="1" si="3"/>
        <v>0</v>
      </c>
      <c r="K23" s="43">
        <f t="shared" ca="1" si="0"/>
        <v>6035000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2 x 70 + N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53300</v>
      </c>
      <c r="H24" s="42">
        <f t="shared" ca="1" si="1"/>
        <v>159900</v>
      </c>
      <c r="I24" s="42">
        <f t="shared" ca="1" si="2"/>
        <v>0</v>
      </c>
      <c r="J24" s="42">
        <f t="shared" ca="1" si="3"/>
        <v>0</v>
      </c>
      <c r="K24" s="43">
        <f t="shared" ca="1" si="0"/>
        <v>159900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1 x 95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44</v>
      </c>
      <c r="G25" s="41">
        <f ca="1">IF(ISERROR(OFFSET('HARGA SATUAN'!$I$6,MATCH(C25,'HARGA SATUAN'!$C$7:$C$1492,0),0)),"",OFFSET('HARGA SATUAN'!$I$6,MATCH(C25,'HARGA SATUAN'!$C$7:$C$1492,0),0))</f>
        <v>140200</v>
      </c>
      <c r="H25" s="42">
        <f t="shared" ca="1" si="1"/>
        <v>6168800</v>
      </c>
      <c r="I25" s="42">
        <f t="shared" ca="1" si="2"/>
        <v>0</v>
      </c>
      <c r="J25" s="42">
        <f t="shared" ca="1" si="3"/>
        <v>0</v>
      </c>
      <c r="K25" s="43">
        <f t="shared" ca="1" si="0"/>
        <v>6168800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7" t="s">
        <v>1008</v>
      </c>
      <c r="D168" s="547"/>
      <c r="E168" s="547"/>
      <c r="F168" s="547"/>
      <c r="G168" s="77" t="s">
        <v>9</v>
      </c>
      <c r="H168" s="55">
        <f ca="1">SUM(H14:H167)</f>
        <v>116535350</v>
      </c>
      <c r="I168" s="55">
        <f ca="1">SUM(I14:I167)</f>
        <v>0</v>
      </c>
      <c r="J168" s="55">
        <f ca="1">SUM(J14:J167)</f>
        <v>0</v>
      </c>
      <c r="K168" s="55">
        <f ca="1">SUM(K14:K167)</f>
        <v>116535350</v>
      </c>
      <c r="L168" s="44"/>
      <c r="R168" s="99"/>
      <c r="S168" s="99"/>
      <c r="T168" s="99"/>
    </row>
    <row r="169" spans="1:20" s="36" customFormat="1">
      <c r="A169" s="30"/>
      <c r="B169" s="56"/>
      <c r="C169" s="548" t="s">
        <v>462</v>
      </c>
      <c r="D169" s="548"/>
      <c r="E169" s="548"/>
      <c r="F169" s="548"/>
      <c r="G169" s="59" t="s">
        <v>9</v>
      </c>
      <c r="H169" s="60">
        <f ca="1">H168*0.1</f>
        <v>11653535</v>
      </c>
      <c r="I169" s="60">
        <f ca="1">I168*0.1</f>
        <v>0</v>
      </c>
      <c r="J169" s="60">
        <f ca="1">J168*0.1</f>
        <v>0</v>
      </c>
      <c r="K169" s="60">
        <f ca="1">K168*0.1</f>
        <v>11653535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7" t="s">
        <v>463</v>
      </c>
      <c r="D170" s="537"/>
      <c r="E170" s="537"/>
      <c r="F170" s="537"/>
      <c r="G170" s="61" t="s">
        <v>9</v>
      </c>
      <c r="H170" s="78">
        <f ca="1">SUM(H168:H169)</f>
        <v>128188885</v>
      </c>
      <c r="I170" s="78">
        <f ca="1">SUM(I168:I169)</f>
        <v>0</v>
      </c>
      <c r="J170" s="61">
        <f ca="1">SUM(J168:J169)</f>
        <v>0</v>
      </c>
      <c r="K170" s="61">
        <f ca="1">SUM(K168:K169)</f>
        <v>128188885</v>
      </c>
      <c r="L170" s="44"/>
      <c r="R170" s="99"/>
      <c r="S170" s="99"/>
      <c r="T170" s="99"/>
    </row>
    <row r="171" spans="1:20" s="36" customFormat="1">
      <c r="A171" s="30"/>
      <c r="B171" s="540" t="e">
        <f ca="1">"Terbilang : ( "&amp;L172&amp;" Rupiah )"</f>
        <v>#NAME?</v>
      </c>
      <c r="C171" s="541"/>
      <c r="D171" s="541"/>
      <c r="E171" s="541"/>
      <c r="F171" s="541"/>
      <c r="G171" s="541"/>
      <c r="H171" s="541"/>
      <c r="I171" s="541"/>
      <c r="J171" s="541"/>
      <c r="K171" s="542"/>
      <c r="L171" s="44"/>
      <c r="R171" s="58"/>
      <c r="S171" s="58"/>
      <c r="T171" s="58"/>
    </row>
    <row r="172" spans="1:20" s="36" customFormat="1">
      <c r="A172" s="30"/>
      <c r="B172" s="543"/>
      <c r="C172" s="544"/>
      <c r="D172" s="544"/>
      <c r="E172" s="544"/>
      <c r="F172" s="544"/>
      <c r="G172" s="544"/>
      <c r="H172" s="544"/>
      <c r="I172" s="544"/>
      <c r="J172" s="544"/>
      <c r="K172" s="54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8"/>
      <c r="I175" s="538"/>
      <c r="J175" s="539"/>
      <c r="K175" s="53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8"/>
      <c r="I176" s="538"/>
      <c r="J176" s="539"/>
      <c r="K176" s="53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8"/>
      <c r="I177" s="538"/>
      <c r="J177" s="539"/>
      <c r="K177" s="53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8"/>
      <c r="I182" s="538"/>
      <c r="J182" s="539"/>
      <c r="K182" s="53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SUMIFS(RAB!$F$14:$F$186,RAB!$C$14:$C$186,C224)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SUMIFS(RAB!$F$14:$F$186,RAB!$C$14:$C$186,C225)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SUMIFS(RAB!$F$14:$F$186,RAB!$C$14:$C$186,C226)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SUMIFS(RAB!$F$14:$F$186,RAB!$C$14:$C$186,C227)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SUMIFS(RAB!$F$14:$F$186,RAB!$C$14:$C$186,C228)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SUMIFS(RAB!$F$14:$F$186,RAB!$C$14:$C$186,C229)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SUMIFS(RAB!$F$14:$F$186,RAB!$C$14:$C$186,C230)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SUMIFS(RAB!$F$14:$F$186,RAB!$C$14:$C$186,C231)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SUMIFS(RAB!$F$14:$F$186,RAB!$C$14:$C$186,C232)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SUMIFS(RAB!$F$14:$F$186,RAB!$C$14:$C$186,C233)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SUMIFS(RAB!$F$14:$F$186,RAB!$C$14:$C$186,C234)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SUMIFS(RAB!$F$14:$F$186,RAB!$C$14:$C$186,C235)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SUMIFS(RAB!$F$14:$F$186,RAB!$C$14:$C$186,C236)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SUMIFS(RAB!$F$14:$F$186,RAB!$C$14:$C$186,C237)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SUMIFS(RAB!$F$14:$F$186,RAB!$C$14:$C$186,C238)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SUMIFS(RAB!$F$14:$F$186,RAB!$C$14:$C$186,C239)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SUMIFS(RAB!$F$14:$F$186,RAB!$C$14:$C$186,C240)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SUMIFS(RAB!$F$14:$F$186,RAB!$C$14:$C$186,C241)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SUMIFS(RAB!$F$14:$F$186,RAB!$C$14:$C$186,C242)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SUMIFS(RAB!$F$14:$F$186,RAB!$C$14:$C$186,C243)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SUMIFS(RAB!$F$14:$F$186,RAB!$C$14:$C$186,C244)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SUMIFS(RAB!$F$14:$F$186,RAB!$C$14:$C$186,C245)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SUMIFS(RAB!$F$14:$F$186,RAB!$C$14:$C$186,C246)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SUMIFS(RAB!$F$14:$F$186,RAB!$C$14:$C$186,C247)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SUMIFS(RAB!$F$14:$F$186,RAB!$C$14:$C$186,C248)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SUMIFS(RAB!$F$14:$F$186,RAB!$C$14:$C$186,C249)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SUMIFS(RAB!$F$14:$F$186,RAB!$C$14:$C$186,C250)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SUMIFS(RAB!$F$14:$F$186,RAB!$C$14:$C$186,C251)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SUMIFS(RAB!$F$14:$F$186,RAB!$C$14:$C$186,C252)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SUMIFS(RAB!$F$14:$F$186,RAB!$C$14:$C$186,C253)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SUMIFS(RAB!$F$14:$F$186,RAB!$C$14:$C$186,C254)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SUMIFS(RAB!$F$14:$F$186,RAB!$C$14:$C$186,C255)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SUMIFS(RAB!$F$14:$F$186,RAB!$C$14:$C$186,C256)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SUMIFS(RAB!$F$14:$F$186,RAB!$C$14:$C$186,C257)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SUMIFS(RAB!$F$14:$F$186,RAB!$C$14:$C$186,C258)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SUMIFS(RAB!$F$14:$F$186,RAB!$C$14:$C$186,C259)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SUMIFS(RAB!$F$14:$F$186,RAB!$C$14:$C$186,C260)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SUMIFS(RAB!$F$14:$F$186,RAB!$C$14:$C$186,C261)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SUMIFS(RAB!$F$14:$F$186,RAB!$C$14:$C$186,C262)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SUMIFS(RAB!$F$14:$F$186,RAB!$C$14:$C$186,C263)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SUMIFS(RAB!$F$14:$F$186,RAB!$C$14:$C$186,C264)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SUMIFS(RAB!$F$14:$F$186,RAB!$C$14:$C$186,C265)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SUMIFS(RAB!$F$14:$F$186,RAB!$C$14:$C$186,C266)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SUMIFS(RAB!$F$14:$F$186,RAB!$C$14:$C$186,C267)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SUMIFS(RAB!$F$14:$F$186,RAB!$C$14:$C$186,C268)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SUMIFS(RAB!$F$14:$F$186,RAB!$C$14:$C$186,C269)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SUMIFS(RAB!$F$14:$F$186,RAB!$C$14:$C$186,C270)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SUMIFS(RAB!$F$14:$F$186,RAB!$C$14:$C$186,C271)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SUMIFS(RAB!$F$14:$F$186,RAB!$C$14:$C$186,C272)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SUMIFS(RAB!$F$14:$F$186,RAB!$C$14:$C$186,C273)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SUMIFS(RAB!$F$14:$F$186,RAB!$C$14:$C$186,C274)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SUMIFS(RAB!$F$14:$F$186,RAB!$C$14:$C$186,C275)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SUMIFS(RAB!$F$14:$F$186,RAB!$C$14:$C$186,C276)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SUMIFS(RAB!$F$14:$F$186,RAB!$C$14:$C$186,C277)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SUMIFS(RAB!$F$14:$F$186,RAB!$C$14:$C$186,C278)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SUMIFS(RAB!$F$14:$F$186,RAB!$C$14:$C$186,C279)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SUMIFS(RAB!$F$14:$F$186,RAB!$C$14:$C$186,C280)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SUMIFS(RAB!$F$14:$F$186,RAB!$C$14:$C$186,C281)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SUMIFS(RAB!$F$14:$F$186,RAB!$C$14:$C$186,C282)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SUMIFS(RAB!$F$14:$F$186,RAB!$C$14:$C$186,C283)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SUMIFS(RAB!$F$14:$F$186,RAB!$C$14:$C$186,C284)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SUMIFS(RAB!$F$14:$F$186,RAB!$C$14:$C$186,C285)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SUMIFS(RAB!$F$14:$F$186,RAB!$C$14:$C$186,C286)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SUMIFS(RAB!$F$14:$F$186,RAB!$C$14:$C$186,C287)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SUMIFS(RAB!$F$14:$F$186,RAB!$C$14:$C$186,C288)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SUMIFS(RAB!$F$14:$F$186,RAB!$C$14:$C$186,C289)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SUMIFS(RAB!$F$14:$F$186,RAB!$C$14:$C$186,C290)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SUMIFS(RAB!$F$14:$F$186,RAB!$C$14:$C$186,C291)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SUMIFS(RAB!$F$14:$F$186,RAB!$C$14:$C$186,C292)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SUMIFS(RAB!$F$14:$F$186,RAB!$C$14:$C$186,C293)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SUMIFS(RAB!$F$14:$F$186,RAB!$C$14:$C$186,C294)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SUMIFS(RAB!$F$14:$F$186,RAB!$C$14:$C$186,C295)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SUMIFS(RAB!$F$14:$F$186,RAB!$C$14:$C$186,C296)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SUMIFS(RAB!$F$14:$F$186,RAB!$C$14:$C$186,C297)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SUMIFS(RAB!$F$14:$F$186,RAB!$C$14:$C$186,C298)</f>
        <v>1</v>
      </c>
      <c r="E298" s="24">
        <f t="shared" ca="1" si="22"/>
        <v>1</v>
      </c>
      <c r="F298" s="24">
        <f ca="1">IF(D298=0,0,SUM($E$223:E298))</f>
        <v>2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SUMIFS(RAB!$F$14:$F$186,RAB!$C$14:$C$186,C299)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SUMIFS(RAB!$F$14:$F$186,RAB!$C$14:$C$186,C300)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SUMIFS(RAB!$F$14:$F$186,RAB!$C$14:$C$186,C301)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SUMIFS(RAB!$F$14:$F$186,RAB!$C$14:$C$186,C302)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SUMIFS(RAB!$F$14:$F$186,RAB!$C$14:$C$186,C303)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SUMIFS(RAB!$F$14:$F$186,RAB!$C$14:$C$186,C304)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SUMIFS(RAB!$F$14:$F$186,RAB!$C$14:$C$186,C305)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SUMIFS(RAB!$F$14:$F$186,RAB!$C$14:$C$186,C306)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SUMIFS(RAB!$F$14:$F$186,RAB!$C$14:$C$186,C307)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SUMIFS(RAB!$F$14:$F$186,RAB!$C$14:$C$186,C308)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SUMIFS(RAB!$F$14:$F$186,RAB!$C$14:$C$186,C309)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SUMIFS(RAB!$F$14:$F$186,RAB!$C$14:$C$186,C310)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SUMIFS(RAB!$F$14:$F$186,RAB!$C$14:$C$186,C311)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SUMIFS(RAB!$F$14:$F$186,RAB!$C$14:$C$186,C312)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SUMIFS(RAB!$F$14:$F$186,RAB!$C$14:$C$186,C313)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SUMIFS(RAB!$F$14:$F$186,RAB!$C$14:$C$186,C314)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SUMIFS(RAB!$F$14:$F$186,RAB!$C$14:$C$186,C315)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SUMIFS(RAB!$F$14:$F$186,RAB!$C$14:$C$186,C316)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SUMIFS(RAB!$F$14:$F$186,RAB!$C$14:$C$186,C317)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SUMIFS(RAB!$F$14:$F$186,RAB!$C$14:$C$186,C318)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SUMIFS(RAB!$F$14:$F$186,RAB!$C$14:$C$186,C319)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SUMIFS(RAB!$F$14:$F$186,RAB!$C$14:$C$186,C320)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SUMIFS(RAB!$F$14:$F$186,RAB!$C$14:$C$186,C321)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SUMIFS(RAB!$F$14:$F$186,RAB!$C$14:$C$186,C322)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SUMIFS(RAB!$F$14:$F$186,RAB!$C$14:$C$186,C323)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SUMIFS(RAB!$F$14:$F$186,RAB!$C$14:$C$186,C324)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SUMIFS(RAB!$F$14:$F$186,RAB!$C$14:$C$186,C325)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SUMIFS(RAB!$F$14:$F$186,RAB!$C$14:$C$186,C326)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SUMIFS(RAB!$F$14:$F$186,RAB!$C$14:$C$186,C327)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SUMIFS(RAB!$F$14:$F$186,RAB!$C$14:$C$186,C328)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SUMIFS(RAB!$F$14:$F$186,RAB!$C$14:$C$186,C329)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SUMIFS(RAB!$F$14:$F$186,RAB!$C$14:$C$186,C330)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SUMIFS(RAB!$F$14:$F$186,RAB!$C$14:$C$186,C331)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SUMIFS(RAB!$F$14:$F$186,RAB!$C$14:$C$186,C332)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SUMIFS(RAB!$F$14:$F$186,RAB!$C$14:$C$186,C333)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SUMIFS(RAB!$F$14:$F$186,RAB!$C$14:$C$186,C334)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SUMIFS(RAB!$F$14:$F$186,RAB!$C$14:$C$186,C335)</f>
        <v>9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SUMIFS(RAB!$F$14:$F$186,RAB!$C$14:$C$186,C336)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SUMIFS(RAB!$F$14:$F$186,RAB!$C$14:$C$186,C337)</f>
        <v>18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SUMIFS(RAB!$F$14:$F$186,RAB!$C$14:$C$186,C338)</f>
        <v>425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SUMIFS(RAB!$F$14:$F$186,RAB!$C$14:$C$186,C339)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SUMIFS(RAB!$F$14:$F$186,RAB!$C$14:$C$186,C340)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SUMIFS(RAB!$F$14:$F$186,RAB!$C$14:$C$186,C341)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SUMIFS(RAB!$F$14:$F$186,RAB!$C$14:$C$186,C342)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SUMIFS(RAB!$F$14:$F$186,RAB!$C$14:$C$186,C343)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SUMIFS(RAB!$F$14:$F$186,RAB!$C$14:$C$186,C344)</f>
        <v>3</v>
      </c>
      <c r="E344" s="24">
        <f t="shared" ca="1" si="22"/>
        <v>1</v>
      </c>
      <c r="F344" s="24">
        <f ca="1">IF(D344=0,0,SUM($E$223:E344))</f>
        <v>9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SUMIFS(RAB!$F$14:$F$186,RAB!$C$14:$C$186,C345)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SUMIFS(RAB!$F$14:$F$186,RAB!$C$14:$C$186,C346)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SUMIFS(RAB!$F$14:$F$186,RAB!$C$14:$C$186,C347)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SUMIFS(RAB!$F$14:$F$186,RAB!$C$14:$C$186,C348)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SUMIFS(RAB!$F$14:$F$186,RAB!$C$14:$C$186,C349)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SUMIFS(RAB!$F$14:$F$186,RAB!$C$14:$C$186,C350)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SUMIFS(RAB!$F$14:$F$186,RAB!$C$14:$C$186,C351)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SUMIFS(RAB!$F$14:$F$186,RAB!$C$14:$C$186,C352)</f>
        <v>44</v>
      </c>
      <c r="E352" s="24">
        <f t="shared" ca="1" si="22"/>
        <v>1</v>
      </c>
      <c r="F352" s="24">
        <f ca="1">IF(D352=0,0,SUM($E$223:E352))</f>
        <v>10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SUMIFS(RAB!$F$14:$F$186,RAB!$C$14:$C$186,C353)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SUMIFS(RAB!$F$14:$F$186,RAB!$C$14:$C$186,C354)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SUMIFS(RAB!$F$14:$F$186,RAB!$C$14:$C$186,C355)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SUMIFS(RAB!$F$14:$F$186,RAB!$C$14:$C$186,C356)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SUMIFS(RAB!$F$14:$F$186,RAB!$C$14:$C$186,C357)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SUMIFS(RAB!$F$14:$F$186,RAB!$C$14:$C$186,C358)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SUMIFS(RAB!$F$14:$F$186,RAB!$C$14:$C$186,C359)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SUMIFS(RAB!$F$14:$F$186,RAB!$C$14:$C$186,C360)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SUMIFS(RAB!$F$14:$F$186,RAB!$C$14:$C$186,C361)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SUMIFS(RAB!$F$14:$F$186,RAB!$C$14:$C$186,C362)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SUMIFS(RAB!$F$14:$F$186,RAB!$C$14:$C$186,C363)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SUMIFS(RAB!$F$14:$F$186,RAB!$C$14:$C$186,C364)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SUMIFS(RAB!$F$14:$F$186,RAB!$C$14:$C$186,C365)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SUMIFS(RAB!$F$14:$F$186,RAB!$C$14:$C$186,C366)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SUMIFS(RAB!$F$14:$F$186,RAB!$C$14:$C$186,C367)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SUMIFS(RAB!$F$14:$F$186,RAB!$C$14:$C$186,C368)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SUMIFS(RAB!$F$14:$F$186,RAB!$C$14:$C$186,C369)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SUMIFS(RAB!$F$14:$F$186,RAB!$C$14:$C$186,C370)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SUMIFS(RAB!$F$14:$F$186,RAB!$C$14:$C$186,C371)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SUMIFS(RAB!$F$14:$F$186,RAB!$C$14:$C$186,C372)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SUMIFS(RAB!$F$14:$F$186,RAB!$C$14:$C$186,C373)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6" activePane="bottomRight" state="frozen"/>
      <selection activeCell="D209" sqref="D209"/>
      <selection pane="topRight" activeCell="D209" sqref="D209"/>
      <selection pane="bottomLeft" activeCell="D209" sqref="D209"/>
      <selection pane="bottomRight" activeCell="C244" sqref="C24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5" t="s">
        <v>41</v>
      </c>
      <c r="C2" s="56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6" t="s">
        <v>23</v>
      </c>
      <c r="C4" s="567" t="s">
        <v>1012</v>
      </c>
      <c r="D4" s="567" t="s">
        <v>42</v>
      </c>
      <c r="E4" s="566" t="s">
        <v>43</v>
      </c>
      <c r="F4" s="108" t="s">
        <v>1612</v>
      </c>
      <c r="G4" s="108" t="s">
        <v>1611</v>
      </c>
      <c r="H4" s="56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6"/>
      <c r="C5" s="567"/>
      <c r="D5" s="567"/>
      <c r="E5" s="566"/>
      <c r="F5" s="93"/>
      <c r="G5" s="93"/>
      <c r="H5" s="564"/>
      <c r="I5" s="193" t="s">
        <v>1611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1555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1556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1557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1558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1559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1560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1561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1562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1563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1564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1565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1566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1567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1568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1569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1570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1571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1572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1573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1574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1575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1576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1577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1578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1579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1580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1581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1582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1583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1584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1585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1586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1587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1588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1589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1590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1591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1592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1593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1594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1595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1596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1597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1598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1599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1600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1601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1602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1603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1604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1605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1606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1607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1608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1609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1610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2">
        <v>2740</v>
      </c>
      <c r="G1433" s="49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0" priority="138" operator="equal">
      <formula>0</formula>
    </cfRule>
  </conditionalFormatting>
  <conditionalFormatting sqref="B8:C135">
    <cfRule type="cellIs" dxfId="39" priority="51" operator="equal">
      <formula>0</formula>
    </cfRule>
  </conditionalFormatting>
  <conditionalFormatting sqref="B150:G1493">
    <cfRule type="cellIs" dxfId="38" priority="1" operator="equal">
      <formula>0</formula>
    </cfRule>
  </conditionalFormatting>
  <conditionalFormatting sqref="C143:G149">
    <cfRule type="cellIs" dxfId="37" priority="5" operator="equal">
      <formula>0</formula>
    </cfRule>
  </conditionalFormatting>
  <conditionalFormatting sqref="D9:G142">
    <cfRule type="cellIs" dxfId="36" priority="11" operator="equal">
      <formula>0</formula>
    </cfRule>
  </conditionalFormatting>
  <conditionalFormatting sqref="D1:IV5 A1:C7 D6:K6 H1455:IV1457 H1458:XFD1485 H1486:H1493 I1486:XFD1494 A1494:H1494 A1495:XFD65536">
    <cfRule type="cellIs" dxfId="35" priority="163" operator="equal">
      <formula>0</formula>
    </cfRule>
  </conditionalFormatting>
  <conditionalFormatting sqref="D7:IV8 C136:C142 B136:B149">
    <cfRule type="cellIs" dxfId="34" priority="62" operator="equal">
      <formula>0</formula>
    </cfRule>
  </conditionalFormatting>
  <conditionalFormatting sqref="H9:H1418">
    <cfRule type="cellIs" dxfId="33" priority="129" operator="equal">
      <formula>0</formula>
    </cfRule>
  </conditionalFormatting>
  <conditionalFormatting sqref="H1419:I1454">
    <cfRule type="cellIs" dxfId="32" priority="128" operator="equal">
      <formula>0</formula>
    </cfRule>
  </conditionalFormatting>
  <conditionalFormatting sqref="I108:I1418">
    <cfRule type="cellIs" dxfId="31" priority="125" operator="equal">
      <formula>0</formula>
    </cfRule>
  </conditionalFormatting>
  <conditionalFormatting sqref="J108:IV1454">
    <cfRule type="cellIs" dxfId="30" priority="139" operator="equal">
      <formula>0</formula>
    </cfRule>
  </conditionalFormatting>
  <conditionalFormatting sqref="M6:IV6">
    <cfRule type="cellIs" dxfId="2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K14" sqref="K14:L1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2" t="s">
        <v>1454</v>
      </c>
      <c r="C2" s="572"/>
      <c r="D2" s="572"/>
      <c r="E2" s="57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7" t="s">
        <v>1535</v>
      </c>
      <c r="C4" s="578"/>
      <c r="D4" s="578"/>
      <c r="E4" s="579"/>
      <c r="F4" s="446"/>
      <c r="G4" s="446"/>
      <c r="H4" s="447"/>
      <c r="I4" s="604" t="s">
        <v>1536</v>
      </c>
      <c r="J4" s="605"/>
      <c r="K4" s="605"/>
      <c r="L4" s="606"/>
    </row>
    <row r="5" spans="1:12" ht="34.5" customHeight="1">
      <c r="A5" s="204"/>
      <c r="B5" s="449" t="s">
        <v>1379</v>
      </c>
      <c r="C5" s="277" t="s">
        <v>9</v>
      </c>
      <c r="D5" s="573" t="str">
        <f>DATA!D14</f>
        <v>AGR MUSTAIN</v>
      </c>
      <c r="E5" s="574"/>
      <c r="F5" s="208"/>
      <c r="G5" s="208"/>
      <c r="I5" s="450" t="s">
        <v>1379</v>
      </c>
      <c r="J5" s="277" t="s">
        <v>9</v>
      </c>
      <c r="K5" s="607" t="str">
        <f>D5</f>
        <v>AGR MUSTAIN</v>
      </c>
      <c r="L5" s="608"/>
    </row>
    <row r="6" spans="1:12" ht="31.5" customHeight="1">
      <c r="A6" s="204"/>
      <c r="B6" s="449" t="s">
        <v>1532</v>
      </c>
      <c r="C6" s="277" t="s">
        <v>9</v>
      </c>
      <c r="D6" s="582">
        <f>DATA!D17*1000</f>
        <v>0</v>
      </c>
      <c r="E6" s="583"/>
      <c r="F6" s="208"/>
      <c r="G6" s="208"/>
      <c r="I6" s="450" t="s">
        <v>1533</v>
      </c>
      <c r="J6" s="277" t="s">
        <v>9</v>
      </c>
      <c r="K6" s="609">
        <f>DATA!D20*1000</f>
        <v>147000</v>
      </c>
      <c r="L6" s="610"/>
    </row>
    <row r="7" spans="1:12" ht="30.75" customHeight="1">
      <c r="A7" s="204"/>
      <c r="B7" s="449" t="s">
        <v>1441</v>
      </c>
      <c r="C7" s="277" t="s">
        <v>9</v>
      </c>
      <c r="D7" s="580">
        <f>DATA!D18</f>
        <v>1</v>
      </c>
      <c r="E7" s="581"/>
      <c r="F7" s="448" t="s">
        <v>1453</v>
      </c>
      <c r="I7" s="450" t="s">
        <v>1441</v>
      </c>
      <c r="J7" s="277" t="s">
        <v>9</v>
      </c>
      <c r="K7" s="611">
        <f>DATA!D21</f>
        <v>3</v>
      </c>
      <c r="L7" s="612"/>
    </row>
    <row r="8" spans="1:12" ht="51" customHeight="1">
      <c r="A8" s="204"/>
      <c r="B8" s="449" t="s">
        <v>1442</v>
      </c>
      <c r="C8" s="277" t="s">
        <v>9</v>
      </c>
      <c r="D8" s="580">
        <f>DATA!D19</f>
        <v>220</v>
      </c>
      <c r="E8" s="581"/>
      <c r="F8" s="448" t="s">
        <v>1453</v>
      </c>
      <c r="G8" s="443">
        <v>220</v>
      </c>
      <c r="I8" s="450" t="s">
        <v>1442</v>
      </c>
      <c r="J8" s="277" t="s">
        <v>9</v>
      </c>
      <c r="K8" s="611">
        <f>DATA!D22</f>
        <v>380</v>
      </c>
      <c r="L8" s="612"/>
    </row>
    <row r="9" spans="1:12" ht="30" customHeight="1" thickBot="1">
      <c r="A9" s="204"/>
      <c r="B9" s="455" t="s">
        <v>1544</v>
      </c>
      <c r="C9" s="445" t="s">
        <v>9</v>
      </c>
      <c r="D9" s="575">
        <f>IF(D7=1,D6/(380/3^0.5),(D6/(380*3^0.5)))</f>
        <v>0</v>
      </c>
      <c r="E9" s="576"/>
      <c r="F9" s="207"/>
      <c r="G9" s="444">
        <v>380</v>
      </c>
      <c r="I9" s="456" t="s">
        <v>1544</v>
      </c>
      <c r="J9" s="445" t="s">
        <v>9</v>
      </c>
      <c r="K9" s="613">
        <f>IF(K7=1,K6/(380/3^0.5),(K6/(380*3^0.5)))</f>
        <v>223.34339360756579</v>
      </c>
      <c r="L9" s="614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584" t="s">
        <v>1647</v>
      </c>
      <c r="E12" s="585"/>
      <c r="F12" s="208"/>
      <c r="G12" s="208"/>
      <c r="I12" s="472" t="s">
        <v>1537</v>
      </c>
      <c r="J12" s="473" t="s">
        <v>9</v>
      </c>
      <c r="K12" s="584" t="s">
        <v>1647</v>
      </c>
      <c r="L12" s="585"/>
    </row>
    <row r="13" spans="1:12" ht="31.5" customHeight="1">
      <c r="A13" s="204"/>
      <c r="B13" s="480" t="s">
        <v>1380</v>
      </c>
      <c r="C13" s="460" t="s">
        <v>9</v>
      </c>
      <c r="D13" s="588"/>
      <c r="E13" s="589"/>
      <c r="F13" s="208"/>
      <c r="G13" s="208"/>
      <c r="I13" s="474" t="s">
        <v>1380</v>
      </c>
      <c r="J13" s="460" t="s">
        <v>9</v>
      </c>
      <c r="K13" s="588" t="s">
        <v>1648</v>
      </c>
      <c r="L13" s="589"/>
    </row>
    <row r="14" spans="1:12" ht="30.75" customHeight="1">
      <c r="A14" s="204"/>
      <c r="B14" s="480" t="s">
        <v>1538</v>
      </c>
      <c r="C14" s="460" t="s">
        <v>9</v>
      </c>
      <c r="D14" s="596"/>
      <c r="E14" s="597"/>
      <c r="F14" s="448" t="s">
        <v>1453</v>
      </c>
      <c r="G14" s="452">
        <v>50</v>
      </c>
      <c r="I14" s="474" t="s">
        <v>1538</v>
      </c>
      <c r="J14" s="460" t="s">
        <v>9</v>
      </c>
      <c r="K14" s="598"/>
      <c r="L14" s="599"/>
    </row>
    <row r="15" spans="1:12" ht="57" customHeight="1">
      <c r="A15" s="204"/>
      <c r="B15" s="480" t="s">
        <v>1441</v>
      </c>
      <c r="C15" s="460" t="s">
        <v>9</v>
      </c>
      <c r="D15" s="466">
        <v>3</v>
      </c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3</v>
      </c>
      <c r="L15" s="475"/>
    </row>
    <row r="16" spans="1:12" ht="44.25" customHeight="1">
      <c r="A16" s="204"/>
      <c r="B16" s="480" t="s">
        <v>1548</v>
      </c>
      <c r="C16" s="460"/>
      <c r="D16" s="600">
        <v>300</v>
      </c>
      <c r="E16" s="601"/>
      <c r="F16" s="448"/>
      <c r="G16" s="452">
        <v>160</v>
      </c>
      <c r="I16" s="474" t="s">
        <v>1540</v>
      </c>
      <c r="J16" s="460" t="s">
        <v>9</v>
      </c>
      <c r="K16" s="602">
        <f>K9</f>
        <v>223.34339360756579</v>
      </c>
      <c r="L16" s="603"/>
    </row>
    <row r="17" spans="1:12" ht="34.5" customHeight="1">
      <c r="A17" s="204"/>
      <c r="B17" s="480" t="s">
        <v>1541</v>
      </c>
      <c r="C17" s="460" t="s">
        <v>9</v>
      </c>
      <c r="D17" s="590">
        <f>IF(D15=1,D14/(20/3^0.5),(D14/(20*3^0.5)))</f>
        <v>0</v>
      </c>
      <c r="E17" s="591"/>
      <c r="F17" s="448" t="s">
        <v>1453</v>
      </c>
      <c r="G17" s="453">
        <v>200</v>
      </c>
      <c r="I17" s="474" t="s">
        <v>1541</v>
      </c>
      <c r="J17" s="460" t="s">
        <v>9</v>
      </c>
      <c r="K17" s="594">
        <f>IF(K15=1,K14/(20/3^0.5),(K14/(20*3^0.5)))</f>
        <v>0</v>
      </c>
      <c r="L17" s="595"/>
    </row>
    <row r="18" spans="1:12" ht="34.5" customHeight="1">
      <c r="A18" s="204"/>
      <c r="B18" s="480" t="s">
        <v>1542</v>
      </c>
      <c r="C18" s="460" t="s">
        <v>9</v>
      </c>
      <c r="D18" s="590">
        <f>IF(D15=1,D14/(380/3^0.5),(D14/(380*3^0.5)))*1000</f>
        <v>0</v>
      </c>
      <c r="E18" s="591"/>
      <c r="F18" s="448" t="s">
        <v>1453</v>
      </c>
      <c r="G18" s="453">
        <v>250</v>
      </c>
      <c r="I18" s="474" t="s">
        <v>1542</v>
      </c>
      <c r="J18" s="460" t="s">
        <v>9</v>
      </c>
      <c r="K18" s="594">
        <f>IF(K15=1,K14/(380/3^0.5),(K14/(380*3^0.5)))*1000</f>
        <v>0</v>
      </c>
      <c r="L18" s="595"/>
    </row>
    <row r="19" spans="1:12" ht="30" customHeight="1">
      <c r="A19" s="204"/>
      <c r="B19" s="481" t="s">
        <v>1534</v>
      </c>
      <c r="C19" s="459" t="s">
        <v>9</v>
      </c>
      <c r="D19" s="590">
        <f>IF(D15=1,D14/(380/3^0.5),(D14/(380*3^0.5)))</f>
        <v>0</v>
      </c>
      <c r="E19" s="591"/>
      <c r="F19" s="207"/>
      <c r="G19" s="444"/>
      <c r="I19" s="476" t="s">
        <v>1534</v>
      </c>
      <c r="J19" s="459" t="s">
        <v>9</v>
      </c>
      <c r="K19" s="594">
        <f>IF(K15=1,K14/(380/3^0.5),(K14/(380*3^0.5)))</f>
        <v>0</v>
      </c>
      <c r="L19" s="595"/>
    </row>
    <row r="20" spans="1:12" ht="30" customHeight="1" thickBot="1">
      <c r="A20" s="204"/>
      <c r="B20" s="482" t="s">
        <v>1543</v>
      </c>
      <c r="C20" s="478" t="s">
        <v>9</v>
      </c>
      <c r="D20" s="586" t="e">
        <f>D16/D18</f>
        <v>#DIV/0!</v>
      </c>
      <c r="E20" s="587"/>
      <c r="F20" s="207"/>
      <c r="G20" s="444"/>
      <c r="I20" s="477" t="s">
        <v>1534</v>
      </c>
      <c r="J20" s="478" t="s">
        <v>9</v>
      </c>
      <c r="K20" s="592" t="e">
        <f>K16/K18</f>
        <v>#DIV/0!</v>
      </c>
      <c r="L20" s="593"/>
    </row>
    <row r="21" spans="1:12" ht="9.75" customHeight="1">
      <c r="A21" s="204"/>
      <c r="B21" s="467" t="s">
        <v>1543</v>
      </c>
      <c r="C21" s="468" t="s">
        <v>9</v>
      </c>
      <c r="D21" s="571">
        <v>1</v>
      </c>
      <c r="E21" s="571"/>
      <c r="F21" s="469"/>
      <c r="G21" s="470"/>
      <c r="H21" s="471"/>
      <c r="I21" s="467" t="s">
        <v>1534</v>
      </c>
      <c r="J21" s="468" t="s">
        <v>9</v>
      </c>
      <c r="K21" s="571">
        <v>1</v>
      </c>
      <c r="L21" s="571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68"/>
      <c r="C24" s="569"/>
      <c r="D24" s="569"/>
      <c r="E24" s="570"/>
      <c r="I24" s="568"/>
      <c r="J24" s="569"/>
      <c r="K24" s="569"/>
      <c r="L24" s="570"/>
    </row>
    <row r="26" spans="1:12">
      <c r="D26" s="462"/>
    </row>
    <row r="27" spans="1:12">
      <c r="D27" s="4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3" sqref="D23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5"/>
      <c r="C1" s="615"/>
      <c r="D1" s="61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5">
        <v>1084.1250458865841</v>
      </c>
      <c r="F5" s="490" t="s">
        <v>1614</v>
      </c>
      <c r="K5" s="48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147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113925000</v>
      </c>
    </row>
    <row r="10" spans="2:11" ht="20.100000000000001" customHeight="1">
      <c r="B10" s="291" t="s">
        <v>1446</v>
      </c>
      <c r="C10" s="292" t="s">
        <v>9</v>
      </c>
      <c r="D10" s="298">
        <f ca="1">RAB!K192</f>
        <v>195071407.20205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3901428.1440409999</v>
      </c>
    </row>
    <row r="12" spans="2:11" ht="9" customHeight="1">
      <c r="B12" s="616"/>
      <c r="C12" s="616"/>
      <c r="D12" s="616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1649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1620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147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775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H14" sqref="H14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7" t="s">
        <v>1357</v>
      </c>
      <c r="C3" s="617"/>
      <c r="D3" s="617"/>
      <c r="E3" s="617"/>
      <c r="F3" s="305" t="str">
        <f>DATA!D14</f>
        <v>AGR MUSTAIN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8" t="s">
        <v>1349</v>
      </c>
      <c r="C5" s="618" t="s">
        <v>1358</v>
      </c>
      <c r="D5" s="619" t="s">
        <v>1359</v>
      </c>
      <c r="E5" s="619" t="s">
        <v>1360</v>
      </c>
      <c r="F5" s="618" t="s">
        <v>1361</v>
      </c>
      <c r="G5" s="618"/>
      <c r="H5" s="618"/>
      <c r="I5" s="618"/>
      <c r="J5" s="618"/>
      <c r="K5" s="618" t="s">
        <v>1362</v>
      </c>
      <c r="L5" s="618"/>
      <c r="M5" s="307"/>
      <c r="N5" s="622" t="s">
        <v>1363</v>
      </c>
      <c r="O5" s="619" t="s">
        <v>1364</v>
      </c>
      <c r="P5" s="619" t="s">
        <v>1365</v>
      </c>
      <c r="Q5" s="619" t="s">
        <v>1366</v>
      </c>
      <c r="R5" s="308"/>
      <c r="S5" s="309"/>
      <c r="T5" s="620" t="s">
        <v>1367</v>
      </c>
      <c r="U5" s="310"/>
    </row>
    <row r="6" spans="1:21" ht="20.100000000000001" customHeight="1">
      <c r="B6" s="618"/>
      <c r="C6" s="618"/>
      <c r="D6" s="618"/>
      <c r="E6" s="61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3"/>
      <c r="O6" s="618"/>
      <c r="P6" s="618"/>
      <c r="Q6" s="618"/>
      <c r="R6" s="308"/>
      <c r="S6" s="309"/>
      <c r="T6" s="618"/>
      <c r="U6" s="312"/>
    </row>
    <row r="7" spans="1:21" ht="20.100000000000001" customHeight="1">
      <c r="A7" s="313">
        <v>0</v>
      </c>
      <c r="B7" s="314">
        <v>2023</v>
      </c>
      <c r="C7" s="483">
        <f>DATA!D8*DATA!D26*8</f>
        <v>47040</v>
      </c>
      <c r="D7" s="316">
        <f>C7*4/24</f>
        <v>7840</v>
      </c>
      <c r="E7" s="316">
        <f>C7-D7</f>
        <v>39200</v>
      </c>
      <c r="F7" s="317">
        <f ca="1">DATA!D10/1000000</f>
        <v>195.07140720205001</v>
      </c>
      <c r="G7" s="318">
        <f ca="1">DATA!$D$11/1000000</f>
        <v>3.9014281440410001</v>
      </c>
      <c r="H7" s="318">
        <f>C7*DATA!$D$5/1000000</f>
        <v>50.997242158504918</v>
      </c>
      <c r="I7" s="318">
        <f>(C7*DATA!$D$5*DATA!$D$7)/1000000</f>
        <v>1.1474379485663606</v>
      </c>
      <c r="J7" s="316">
        <f ca="1">SUM(F7:I7)</f>
        <v>251.1175154531623</v>
      </c>
      <c r="K7" s="319">
        <f>DATA!D9/1000000</f>
        <v>113.925</v>
      </c>
      <c r="L7" s="316">
        <f>((D7*DATA!$D$23)/1000000)+((E7*DATA!$D$24)/1000000)</f>
        <v>67.958687999999995</v>
      </c>
      <c r="M7" s="316">
        <f>K7+L7</f>
        <v>181.88368800000001</v>
      </c>
      <c r="N7" s="316">
        <f ca="1">M7-J7</f>
        <v>-69.233827453162291</v>
      </c>
      <c r="O7" s="314">
        <v>1</v>
      </c>
      <c r="P7" s="316">
        <f ca="1">O7*N7</f>
        <v>-69.233827453162291</v>
      </c>
      <c r="Q7" s="316">
        <f ca="1">P7</f>
        <v>-69.233827453162291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70560</v>
      </c>
      <c r="D8" s="316">
        <f>C8*4/24</f>
        <v>11760</v>
      </c>
      <c r="E8" s="316">
        <f t="shared" ref="E8:E32" si="0">C8-D8</f>
        <v>58800</v>
      </c>
      <c r="F8" s="314"/>
      <c r="G8" s="318">
        <f ca="1">DATA!$D$11/1000000</f>
        <v>3.9014281440410001</v>
      </c>
      <c r="H8" s="318">
        <f>C8*DATA!$D$5/1000000</f>
        <v>76.495863237757376</v>
      </c>
      <c r="I8" s="318">
        <f>(C8*DATA!$D$5*DATA!$D$7)/1000000</f>
        <v>1.7211569228495409</v>
      </c>
      <c r="J8" s="316">
        <f t="shared" ref="J8:J32" ca="1" si="1">SUM(F8:I8)</f>
        <v>82.118448304647927</v>
      </c>
      <c r="K8" s="321"/>
      <c r="L8" s="316">
        <f>((D8*DATA!$D$23)/1000000)+((E8*DATA!$D$24)/1000000)</f>
        <v>101.93803199999999</v>
      </c>
      <c r="M8" s="316">
        <f t="shared" ref="M8:M32" si="2">K8+L8</f>
        <v>101.93803199999999</v>
      </c>
      <c r="N8" s="316">
        <f ca="1">M8-J8</f>
        <v>19.819583695352065</v>
      </c>
      <c r="O8" s="315">
        <f>1/(1+'[93]Asumsi I'!$C$3)^(KKF!A8)</f>
        <v>0.89285714285714279</v>
      </c>
      <c r="P8" s="316">
        <f ca="1">O8*N8</f>
        <v>17.696056870850057</v>
      </c>
      <c r="Q8" s="316">
        <f ca="1">Q7+P8</f>
        <v>-51.537770582312234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70560</v>
      </c>
      <c r="D9" s="316">
        <f t="shared" ref="D9:D32" si="5">C9*4/24</f>
        <v>11760</v>
      </c>
      <c r="E9" s="316">
        <f t="shared" si="0"/>
        <v>58800</v>
      </c>
      <c r="F9" s="314"/>
      <c r="G9" s="318">
        <f ca="1">DATA!$D$11/1000000</f>
        <v>3.9014281440410001</v>
      </c>
      <c r="H9" s="318">
        <f>C9*DATA!$D$5/1000000</f>
        <v>76.495863237757376</v>
      </c>
      <c r="I9" s="318">
        <f>(C9*DATA!$D$5*DATA!$D$7)/1000000</f>
        <v>1.7211569228495409</v>
      </c>
      <c r="J9" s="316">
        <f t="shared" ca="1" si="1"/>
        <v>82.118448304647927</v>
      </c>
      <c r="K9" s="316"/>
      <c r="L9" s="316">
        <f>((D9*DATA!$D$23)/1000000)+((E9*DATA!$D$24)/1000000)</f>
        <v>101.93803199999999</v>
      </c>
      <c r="M9" s="316">
        <f t="shared" si="2"/>
        <v>101.93803199999999</v>
      </c>
      <c r="N9" s="316">
        <f t="shared" ref="N9:N32" ca="1" si="6">M9-J9</f>
        <v>19.819583695352065</v>
      </c>
      <c r="O9" s="322">
        <f>1/(1+'[93]Asumsi I'!$C$3)^(KKF!A9)</f>
        <v>0.79719387755102034</v>
      </c>
      <c r="P9" s="316">
        <f t="shared" ref="P9:P32" ca="1" si="7">O9*N9</f>
        <v>15.800050777544694</v>
      </c>
      <c r="Q9" s="316">
        <f ca="1">Q8+P9</f>
        <v>-35.737719804767536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70560</v>
      </c>
      <c r="D10" s="316">
        <f t="shared" si="5"/>
        <v>11760</v>
      </c>
      <c r="E10" s="316">
        <f t="shared" si="0"/>
        <v>58800</v>
      </c>
      <c r="F10" s="314"/>
      <c r="G10" s="318">
        <f ca="1">DATA!$D$11/1000000</f>
        <v>3.9014281440410001</v>
      </c>
      <c r="H10" s="318">
        <f>C10*DATA!$D$5/1000000</f>
        <v>76.495863237757376</v>
      </c>
      <c r="I10" s="318">
        <f>(C10*DATA!$D$5*DATA!$D$7)/1000000</f>
        <v>1.7211569228495409</v>
      </c>
      <c r="J10" s="316">
        <f t="shared" ca="1" si="1"/>
        <v>82.118448304647927</v>
      </c>
      <c r="K10" s="314"/>
      <c r="L10" s="316">
        <f>((D10*DATA!$D$23)/1000000)+((E10*DATA!$D$24)/1000000)</f>
        <v>101.93803199999999</v>
      </c>
      <c r="M10" s="316">
        <f t="shared" si="2"/>
        <v>101.93803199999999</v>
      </c>
      <c r="N10" s="316">
        <f t="shared" ca="1" si="6"/>
        <v>19.819583695352065</v>
      </c>
      <c r="O10" s="315">
        <f>1/(1+'[93]Asumsi I'!$C$3)^(KKF!A10)</f>
        <v>0.71178024781341087</v>
      </c>
      <c r="P10" s="316">
        <f t="shared" ca="1" si="7"/>
        <v>14.107188194236331</v>
      </c>
      <c r="Q10" s="316">
        <f t="shared" ref="Q10:Q30" ca="1" si="9">Q9+P10</f>
        <v>-21.630531610531207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70560</v>
      </c>
      <c r="D11" s="316">
        <f t="shared" si="5"/>
        <v>11760</v>
      </c>
      <c r="E11" s="316">
        <f t="shared" si="0"/>
        <v>58800</v>
      </c>
      <c r="F11" s="314"/>
      <c r="G11" s="318">
        <f ca="1">DATA!$D$11/1000000</f>
        <v>3.9014281440410001</v>
      </c>
      <c r="H11" s="318">
        <f>C11*DATA!$D$5/1000000</f>
        <v>76.495863237757376</v>
      </c>
      <c r="I11" s="318">
        <f>(C11*DATA!$D$5*DATA!$D$7)/1000000</f>
        <v>1.7211569228495409</v>
      </c>
      <c r="J11" s="316">
        <f t="shared" ca="1" si="1"/>
        <v>82.118448304647927</v>
      </c>
      <c r="K11" s="314"/>
      <c r="L11" s="316">
        <f>((D11*DATA!$D$23)/1000000)+((E11*DATA!$D$24)/1000000)</f>
        <v>101.93803199999999</v>
      </c>
      <c r="M11" s="316">
        <f t="shared" si="2"/>
        <v>101.93803199999999</v>
      </c>
      <c r="N11" s="316">
        <f t="shared" ca="1" si="6"/>
        <v>19.819583695352065</v>
      </c>
      <c r="O11" s="315">
        <f>1/(1+'[93]Asumsi I'!$C$3)^(KKF!A11)</f>
        <v>0.63551807840483121</v>
      </c>
      <c r="P11" s="316">
        <f t="shared" ca="1" si="7"/>
        <v>12.595703744853868</v>
      </c>
      <c r="Q11" s="316">
        <f t="shared" ca="1" si="9"/>
        <v>-9.0348278656773395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70560</v>
      </c>
      <c r="D12" s="316">
        <f t="shared" si="5"/>
        <v>11760</v>
      </c>
      <c r="E12" s="316">
        <f t="shared" si="0"/>
        <v>58800</v>
      </c>
      <c r="F12" s="314"/>
      <c r="G12" s="318">
        <f ca="1">DATA!$D$11/1000000</f>
        <v>3.9014281440410001</v>
      </c>
      <c r="H12" s="318">
        <f>C12*DATA!$D$5/1000000</f>
        <v>76.495863237757376</v>
      </c>
      <c r="I12" s="318">
        <f>(C12*DATA!$D$5*DATA!$D$7)/1000000</f>
        <v>1.7211569228495409</v>
      </c>
      <c r="J12" s="316">
        <f t="shared" ca="1" si="1"/>
        <v>82.118448304647927</v>
      </c>
      <c r="K12" s="314"/>
      <c r="L12" s="316">
        <f>((D12*DATA!$D$23)/1000000)+((E12*DATA!$D$24)/1000000)</f>
        <v>101.93803199999999</v>
      </c>
      <c r="M12" s="316">
        <f t="shared" si="2"/>
        <v>101.93803199999999</v>
      </c>
      <c r="N12" s="316">
        <f t="shared" ca="1" si="6"/>
        <v>19.819583695352065</v>
      </c>
      <c r="O12" s="315">
        <f>1/(1+'[93]Asumsi I'!$C$3)^(KKF!A12)</f>
        <v>0.56742685571859919</v>
      </c>
      <c r="P12" s="316">
        <f t="shared" ca="1" si="7"/>
        <v>11.246164057905238</v>
      </c>
      <c r="Q12" s="316">
        <f t="shared" ca="1" si="9"/>
        <v>2.2113361922278987</v>
      </c>
      <c r="S12" s="304" t="str">
        <f t="shared" ca="1" si="3"/>
        <v/>
      </c>
      <c r="T12" s="320">
        <f t="shared" ca="1" si="10"/>
        <v>4.8884267083396669</v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70560</v>
      </c>
      <c r="D13" s="316">
        <f t="shared" si="5"/>
        <v>11760</v>
      </c>
      <c r="E13" s="316">
        <f t="shared" si="0"/>
        <v>58800</v>
      </c>
      <c r="F13" s="314"/>
      <c r="G13" s="318">
        <f ca="1">DATA!$D$11/1000000</f>
        <v>3.9014281440410001</v>
      </c>
      <c r="H13" s="318">
        <f>C13*DATA!$D$5/1000000</f>
        <v>76.495863237757376</v>
      </c>
      <c r="I13" s="318">
        <f>(C13*DATA!$D$5*DATA!$D$7)/1000000</f>
        <v>1.7211569228495409</v>
      </c>
      <c r="J13" s="316">
        <f t="shared" ca="1" si="1"/>
        <v>82.118448304647927</v>
      </c>
      <c r="K13" s="314"/>
      <c r="L13" s="316">
        <f>((D13*DATA!$D$23)/1000000)+((E13*DATA!$D$24)/1000000)</f>
        <v>101.93803199999999</v>
      </c>
      <c r="M13" s="316">
        <f t="shared" si="2"/>
        <v>101.93803199999999</v>
      </c>
      <c r="N13" s="316">
        <f t="shared" ca="1" si="6"/>
        <v>19.819583695352065</v>
      </c>
      <c r="O13" s="315">
        <f>1/(1+'[93]Asumsi I'!$C$3)^(KKF!A13)</f>
        <v>0.50663112117732068</v>
      </c>
      <c r="P13" s="316">
        <f t="shared" ca="1" si="7"/>
        <v>10.041217908843961</v>
      </c>
      <c r="Q13" s="316">
        <f t="shared" ca="1" si="9"/>
        <v>12.25255410107186</v>
      </c>
      <c r="S13" s="304" t="str">
        <f t="shared" ca="1" si="3"/>
        <v/>
      </c>
      <c r="T13" s="320">
        <f t="shared" ca="1" si="10"/>
        <v>5.3817955871623457</v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70560</v>
      </c>
      <c r="D14" s="316">
        <f t="shared" si="5"/>
        <v>11760</v>
      </c>
      <c r="E14" s="316">
        <f t="shared" si="0"/>
        <v>58800</v>
      </c>
      <c r="F14" s="314"/>
      <c r="G14" s="318">
        <f ca="1">DATA!$D$11/1000000</f>
        <v>3.9014281440410001</v>
      </c>
      <c r="H14" s="318">
        <f>C14*DATA!$D$5/1000000</f>
        <v>76.495863237757376</v>
      </c>
      <c r="I14" s="318">
        <f>(C14*DATA!$D$5*DATA!$D$7)/1000000</f>
        <v>1.7211569228495409</v>
      </c>
      <c r="J14" s="316">
        <f t="shared" ca="1" si="1"/>
        <v>82.118448304647927</v>
      </c>
      <c r="K14" s="314"/>
      <c r="L14" s="316">
        <f>((D14*DATA!$D$23)/1000000)+((E14*DATA!$D$24)/1000000)</f>
        <v>101.93803199999999</v>
      </c>
      <c r="M14" s="316">
        <f t="shared" si="2"/>
        <v>101.93803199999999</v>
      </c>
      <c r="N14" s="316">
        <f t="shared" ca="1" si="6"/>
        <v>19.819583695352065</v>
      </c>
      <c r="O14" s="315">
        <f>1/(1+'[93]Asumsi I'!$C$3)^(KKF!A14)</f>
        <v>0.45234921533689343</v>
      </c>
      <c r="P14" s="316">
        <f t="shared" ca="1" si="7"/>
        <v>8.9653731328963939</v>
      </c>
      <c r="Q14" s="316">
        <f t="shared" ca="1" si="9"/>
        <v>21.217927233968254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70560</v>
      </c>
      <c r="D15" s="316">
        <f t="shared" si="5"/>
        <v>11760</v>
      </c>
      <c r="E15" s="316">
        <f t="shared" si="0"/>
        <v>58800</v>
      </c>
      <c r="F15" s="314"/>
      <c r="G15" s="318">
        <f ca="1">DATA!$D$11/1000000</f>
        <v>3.9014281440410001</v>
      </c>
      <c r="H15" s="318">
        <f>C15*DATA!$D$5/1000000</f>
        <v>76.495863237757376</v>
      </c>
      <c r="I15" s="318">
        <f>(C15*DATA!$D$5*DATA!$D$7)/1000000</f>
        <v>1.7211569228495409</v>
      </c>
      <c r="J15" s="316">
        <f t="shared" ca="1" si="1"/>
        <v>82.118448304647927</v>
      </c>
      <c r="K15" s="314"/>
      <c r="L15" s="316">
        <f>((D15*DATA!$D$23)/1000000)+((E15*DATA!$D$24)/1000000)</f>
        <v>101.93803199999999</v>
      </c>
      <c r="M15" s="316">
        <f t="shared" si="2"/>
        <v>101.93803199999999</v>
      </c>
      <c r="N15" s="316">
        <f t="shared" ca="1" si="6"/>
        <v>19.819583695352065</v>
      </c>
      <c r="O15" s="315">
        <f>1/(1+'[93]Asumsi I'!$C$3)^(KKF!A15)</f>
        <v>0.4038832279793691</v>
      </c>
      <c r="P15" s="316">
        <f t="shared" ca="1" si="7"/>
        <v>8.0047974400860653</v>
      </c>
      <c r="Q15" s="316">
        <f t="shared" ca="1" si="9"/>
        <v>29.222724674054319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70560</v>
      </c>
      <c r="D16" s="316">
        <f t="shared" si="5"/>
        <v>11760</v>
      </c>
      <c r="E16" s="316">
        <f t="shared" si="0"/>
        <v>58800</v>
      </c>
      <c r="F16" s="314"/>
      <c r="G16" s="318">
        <f ca="1">DATA!$D$11/1000000</f>
        <v>3.9014281440410001</v>
      </c>
      <c r="H16" s="318">
        <f>C16*DATA!$D$5/1000000</f>
        <v>76.495863237757376</v>
      </c>
      <c r="I16" s="318">
        <f>(C16*DATA!$D$5*DATA!$D$7)/1000000</f>
        <v>1.7211569228495409</v>
      </c>
      <c r="J16" s="316">
        <f t="shared" ca="1" si="1"/>
        <v>82.118448304647927</v>
      </c>
      <c r="K16" s="314"/>
      <c r="L16" s="316">
        <f>((D16*DATA!$D$23)/1000000)+((E16*DATA!$D$24)/1000000)</f>
        <v>101.93803199999999</v>
      </c>
      <c r="M16" s="316">
        <f t="shared" si="2"/>
        <v>101.93803199999999</v>
      </c>
      <c r="N16" s="316">
        <f t="shared" ca="1" si="6"/>
        <v>19.819583695352065</v>
      </c>
      <c r="O16" s="315">
        <f>1/(1+'[93]Asumsi I'!$C$3)^(KKF!A16)</f>
        <v>0.36061002498157957</v>
      </c>
      <c r="P16" s="316">
        <f t="shared" ca="1" si="7"/>
        <v>7.1471405715054157</v>
      </c>
      <c r="Q16" s="316">
        <f t="shared" ca="1" si="9"/>
        <v>36.369865245559737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70560</v>
      </c>
      <c r="D17" s="316">
        <f t="shared" si="5"/>
        <v>11760</v>
      </c>
      <c r="E17" s="316">
        <f t="shared" si="0"/>
        <v>58800</v>
      </c>
      <c r="F17" s="314"/>
      <c r="G17" s="318">
        <f ca="1">DATA!$D$11/1000000</f>
        <v>3.9014281440410001</v>
      </c>
      <c r="H17" s="318">
        <f>C17*DATA!$D$5/1000000</f>
        <v>76.495863237757376</v>
      </c>
      <c r="I17" s="318">
        <f>(C17*DATA!$D$5*DATA!$D$7)/1000000</f>
        <v>1.7211569228495409</v>
      </c>
      <c r="J17" s="316">
        <f t="shared" ca="1" si="1"/>
        <v>82.118448304647927</v>
      </c>
      <c r="K17" s="314"/>
      <c r="L17" s="316">
        <f>((D17*DATA!$D$23)/1000000)+((E17*DATA!$D$24)/1000000)</f>
        <v>101.93803199999999</v>
      </c>
      <c r="M17" s="316">
        <f t="shared" si="2"/>
        <v>101.93803199999999</v>
      </c>
      <c r="N17" s="316">
        <f t="shared" ca="1" si="6"/>
        <v>19.819583695352065</v>
      </c>
      <c r="O17" s="315">
        <f>1/(1+'[93]Asumsi I'!$C$3)^(KKF!A17)</f>
        <v>0.32197323659069599</v>
      </c>
      <c r="P17" s="316">
        <f t="shared" ca="1" si="7"/>
        <v>6.381375510272691</v>
      </c>
      <c r="Q17" s="316">
        <f t="shared" ca="1" si="9"/>
        <v>42.751240755832427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70560</v>
      </c>
      <c r="D18" s="316">
        <f t="shared" si="5"/>
        <v>11760</v>
      </c>
      <c r="E18" s="316">
        <f t="shared" si="0"/>
        <v>58800</v>
      </c>
      <c r="F18" s="314"/>
      <c r="G18" s="318">
        <f ca="1">DATA!$D$11/1000000</f>
        <v>3.9014281440410001</v>
      </c>
      <c r="H18" s="318">
        <f>C18*DATA!$D$5/1000000</f>
        <v>76.495863237757376</v>
      </c>
      <c r="I18" s="318">
        <f>(C18*DATA!$D$5*DATA!$D$7)/1000000</f>
        <v>1.7211569228495409</v>
      </c>
      <c r="J18" s="316">
        <f t="shared" ca="1" si="1"/>
        <v>82.118448304647927</v>
      </c>
      <c r="K18" s="314"/>
      <c r="L18" s="316">
        <f>((D18*DATA!$D$23)/1000000)+((E18*DATA!$D$24)/1000000)</f>
        <v>101.93803199999999</v>
      </c>
      <c r="M18" s="316">
        <f t="shared" si="2"/>
        <v>101.93803199999999</v>
      </c>
      <c r="N18" s="316">
        <f t="shared" ca="1" si="6"/>
        <v>19.819583695352065</v>
      </c>
      <c r="O18" s="315">
        <f>1/(1+'[93]Asumsi I'!$C$3)^(KKF!A18)</f>
        <v>0.28747610409883567</v>
      </c>
      <c r="P18" s="316">
        <f t="shared" ca="1" si="7"/>
        <v>5.6976567056006164</v>
      </c>
      <c r="Q18" s="316">
        <f t="shared" ca="1" si="9"/>
        <v>48.448897461433042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70560</v>
      </c>
      <c r="D19" s="316">
        <f t="shared" si="5"/>
        <v>11760</v>
      </c>
      <c r="E19" s="316">
        <f t="shared" si="0"/>
        <v>58800</v>
      </c>
      <c r="F19" s="314"/>
      <c r="G19" s="318">
        <f ca="1">DATA!$D$11/1000000</f>
        <v>3.9014281440410001</v>
      </c>
      <c r="H19" s="318">
        <f>C19*DATA!$D$5/1000000</f>
        <v>76.495863237757376</v>
      </c>
      <c r="I19" s="318">
        <f>(C19*DATA!$D$5*DATA!$D$7)/1000000</f>
        <v>1.7211569228495409</v>
      </c>
      <c r="J19" s="316">
        <f t="shared" ca="1" si="1"/>
        <v>82.118448304647927</v>
      </c>
      <c r="K19" s="314"/>
      <c r="L19" s="316">
        <f>((D19*DATA!$D$23)/1000000)+((E19*DATA!$D$24)/1000000)</f>
        <v>101.93803199999999</v>
      </c>
      <c r="M19" s="316">
        <f t="shared" si="2"/>
        <v>101.93803199999999</v>
      </c>
      <c r="N19" s="316">
        <f t="shared" ca="1" si="6"/>
        <v>19.819583695352065</v>
      </c>
      <c r="O19" s="315">
        <f>1/(1+'[93]Asumsi I'!$C$3)^(KKF!A19)</f>
        <v>0.25667509294538904</v>
      </c>
      <c r="P19" s="316">
        <f t="shared" ca="1" si="7"/>
        <v>5.0871934871434084</v>
      </c>
      <c r="Q19" s="316">
        <f t="shared" ca="1" si="9"/>
        <v>53.536090948576451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70560</v>
      </c>
      <c r="D20" s="316">
        <f t="shared" si="5"/>
        <v>11760</v>
      </c>
      <c r="E20" s="316">
        <f t="shared" si="0"/>
        <v>58800</v>
      </c>
      <c r="F20" s="314"/>
      <c r="G20" s="318">
        <f ca="1">DATA!$D$11/1000000</f>
        <v>3.9014281440410001</v>
      </c>
      <c r="H20" s="318">
        <f>C20*DATA!$D$5/1000000</f>
        <v>76.495863237757376</v>
      </c>
      <c r="I20" s="318">
        <f>(C20*DATA!$D$5*DATA!$D$7)/1000000</f>
        <v>1.7211569228495409</v>
      </c>
      <c r="J20" s="316">
        <f t="shared" ca="1" si="1"/>
        <v>82.118448304647927</v>
      </c>
      <c r="K20" s="314"/>
      <c r="L20" s="316">
        <f>((D20*DATA!$D$23)/1000000)+((E20*DATA!$D$24)/1000000)</f>
        <v>101.93803199999999</v>
      </c>
      <c r="M20" s="316">
        <f t="shared" si="2"/>
        <v>101.93803199999999</v>
      </c>
      <c r="N20" s="316">
        <f t="shared" ca="1" si="6"/>
        <v>19.819583695352065</v>
      </c>
      <c r="O20" s="315">
        <f>1/(1+'[93]Asumsi I'!$C$3)^(KKF!A20)</f>
        <v>0.22917419012981158</v>
      </c>
      <c r="P20" s="316">
        <f t="shared" ca="1" si="7"/>
        <v>4.5421370420923282</v>
      </c>
      <c r="Q20" s="316">
        <f t="shared" ca="1" si="9"/>
        <v>58.078227990668779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70560</v>
      </c>
      <c r="D21" s="316">
        <f t="shared" si="5"/>
        <v>11760</v>
      </c>
      <c r="E21" s="316">
        <f t="shared" si="0"/>
        <v>58800</v>
      </c>
      <c r="F21" s="314"/>
      <c r="G21" s="318">
        <f ca="1">DATA!$D$11/1000000</f>
        <v>3.9014281440410001</v>
      </c>
      <c r="H21" s="318">
        <f>C21*DATA!$D$5/1000000</f>
        <v>76.495863237757376</v>
      </c>
      <c r="I21" s="318">
        <f>(C21*DATA!$D$5*DATA!$D$7)/1000000</f>
        <v>1.7211569228495409</v>
      </c>
      <c r="J21" s="316">
        <f t="shared" ca="1" si="1"/>
        <v>82.118448304647927</v>
      </c>
      <c r="K21" s="314"/>
      <c r="L21" s="316">
        <f>((D21*DATA!$D$23)/1000000)+((E21*DATA!$D$24)/1000000)</f>
        <v>101.93803199999999</v>
      </c>
      <c r="M21" s="316">
        <f t="shared" si="2"/>
        <v>101.93803199999999</v>
      </c>
      <c r="N21" s="316">
        <f t="shared" ca="1" si="6"/>
        <v>19.819583695352065</v>
      </c>
      <c r="O21" s="315">
        <f>1/(1+'[93]Asumsi I'!$C$3)^(KKF!A21)</f>
        <v>0.20461981261590317</v>
      </c>
      <c r="P21" s="316">
        <f t="shared" ca="1" si="7"/>
        <v>4.0554795018681498</v>
      </c>
      <c r="Q21" s="316">
        <f t="shared" ca="1" si="9"/>
        <v>62.133707492536928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70560</v>
      </c>
      <c r="D22" s="316">
        <f t="shared" si="5"/>
        <v>11760</v>
      </c>
      <c r="E22" s="316">
        <f t="shared" si="0"/>
        <v>58800</v>
      </c>
      <c r="F22" s="314"/>
      <c r="G22" s="318">
        <f ca="1">DATA!$D$11/1000000</f>
        <v>3.9014281440410001</v>
      </c>
      <c r="H22" s="318">
        <f>C22*DATA!$D$5/1000000</f>
        <v>76.495863237757376</v>
      </c>
      <c r="I22" s="318">
        <f>(C22*DATA!$D$5*DATA!$D$7)/1000000</f>
        <v>1.7211569228495409</v>
      </c>
      <c r="J22" s="316">
        <f t="shared" ca="1" si="1"/>
        <v>82.118448304647927</v>
      </c>
      <c r="K22" s="314"/>
      <c r="L22" s="316">
        <f>((D22*DATA!$D$23)/1000000)+((E22*DATA!$D$24)/1000000)</f>
        <v>101.93803199999999</v>
      </c>
      <c r="M22" s="316">
        <f t="shared" si="2"/>
        <v>101.93803199999999</v>
      </c>
      <c r="N22" s="316">
        <f t="shared" ca="1" si="6"/>
        <v>19.819583695352065</v>
      </c>
      <c r="O22" s="315">
        <f>1/(1+'[93]Asumsi I'!$C$3)^(KKF!A22)</f>
        <v>0.18269626126419927</v>
      </c>
      <c r="P22" s="316">
        <f t="shared" ca="1" si="7"/>
        <v>3.620963840953705</v>
      </c>
      <c r="Q22" s="316">
        <f t="shared" ca="1" si="9"/>
        <v>65.754671333490634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70560</v>
      </c>
      <c r="D23" s="316">
        <f t="shared" si="5"/>
        <v>11760</v>
      </c>
      <c r="E23" s="316">
        <f t="shared" si="0"/>
        <v>58800</v>
      </c>
      <c r="F23" s="314"/>
      <c r="G23" s="318">
        <f ca="1">DATA!$D$11/1000000</f>
        <v>3.9014281440410001</v>
      </c>
      <c r="H23" s="318">
        <f>C23*DATA!$D$5/1000000</f>
        <v>76.495863237757376</v>
      </c>
      <c r="I23" s="318">
        <f>(C23*DATA!$D$5*DATA!$D$7)/1000000</f>
        <v>1.7211569228495409</v>
      </c>
      <c r="J23" s="316">
        <f t="shared" ca="1" si="1"/>
        <v>82.118448304647927</v>
      </c>
      <c r="K23" s="314"/>
      <c r="L23" s="316">
        <f>((D23*DATA!$D$23)/1000000)+((E23*DATA!$D$24)/1000000)</f>
        <v>101.93803199999999</v>
      </c>
      <c r="M23" s="316">
        <f t="shared" si="2"/>
        <v>101.93803199999999</v>
      </c>
      <c r="N23" s="316">
        <f t="shared" ca="1" si="6"/>
        <v>19.819583695352065</v>
      </c>
      <c r="O23" s="315">
        <f>1/(1+'[93]Asumsi I'!$C$3)^(KKF!A23)</f>
        <v>0.16312166184303503</v>
      </c>
      <c r="P23" s="316">
        <f t="shared" ca="1" si="7"/>
        <v>3.2330034294229502</v>
      </c>
      <c r="Q23" s="316">
        <f t="shared" ca="1" si="9"/>
        <v>68.987674762913585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70560</v>
      </c>
      <c r="D24" s="316">
        <f t="shared" si="5"/>
        <v>11760</v>
      </c>
      <c r="E24" s="316">
        <f t="shared" si="0"/>
        <v>58800</v>
      </c>
      <c r="F24" s="314"/>
      <c r="G24" s="318">
        <f ca="1">DATA!$D$11/1000000</f>
        <v>3.9014281440410001</v>
      </c>
      <c r="H24" s="318">
        <f>C24*DATA!$D$5/1000000</f>
        <v>76.495863237757376</v>
      </c>
      <c r="I24" s="318">
        <f>(C24*DATA!$D$5*DATA!$D$7)/1000000</f>
        <v>1.7211569228495409</v>
      </c>
      <c r="J24" s="316">
        <f t="shared" ca="1" si="1"/>
        <v>82.118448304647927</v>
      </c>
      <c r="K24" s="314"/>
      <c r="L24" s="316">
        <f>((D24*DATA!$D$23)/1000000)+((E24*DATA!$D$24)/1000000)</f>
        <v>101.93803199999999</v>
      </c>
      <c r="M24" s="316">
        <f t="shared" si="2"/>
        <v>101.93803199999999</v>
      </c>
      <c r="N24" s="316">
        <f t="shared" ca="1" si="6"/>
        <v>19.819583695352065</v>
      </c>
      <c r="O24" s="315">
        <f>1/(1+'[93]Asumsi I'!$C$3)^(KKF!A24)</f>
        <v>0.14564434093128129</v>
      </c>
      <c r="P24" s="316">
        <f t="shared" ca="1" si="7"/>
        <v>2.88661020484192</v>
      </c>
      <c r="Q24" s="316">
        <f t="shared" ca="1" si="9"/>
        <v>71.8742849677555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70560</v>
      </c>
      <c r="D25" s="316">
        <f t="shared" si="5"/>
        <v>11760</v>
      </c>
      <c r="E25" s="316">
        <f t="shared" si="0"/>
        <v>58800</v>
      </c>
      <c r="F25" s="314"/>
      <c r="G25" s="318">
        <f ca="1">DATA!$D$11/1000000</f>
        <v>3.9014281440410001</v>
      </c>
      <c r="H25" s="318">
        <f>C25*DATA!$D$5/1000000</f>
        <v>76.495863237757376</v>
      </c>
      <c r="I25" s="318">
        <f>(C25*DATA!$D$5*DATA!$D$7)/1000000</f>
        <v>1.7211569228495409</v>
      </c>
      <c r="J25" s="316">
        <f t="shared" ca="1" si="1"/>
        <v>82.118448304647927</v>
      </c>
      <c r="K25" s="314"/>
      <c r="L25" s="316">
        <f>((D25*DATA!$D$23)/1000000)+((E25*DATA!$D$24)/1000000)</f>
        <v>101.93803199999999</v>
      </c>
      <c r="M25" s="316">
        <f t="shared" si="2"/>
        <v>101.93803199999999</v>
      </c>
      <c r="N25" s="316">
        <f t="shared" ca="1" si="6"/>
        <v>19.819583695352065</v>
      </c>
      <c r="O25" s="315">
        <f>1/(1+'[93]Asumsi I'!$C$3)^(KKF!A25)</f>
        <v>0.13003959011721541</v>
      </c>
      <c r="P25" s="316">
        <f t="shared" ca="1" si="7"/>
        <v>2.577330540037428</v>
      </c>
      <c r="Q25" s="316">
        <f t="shared" ca="1" si="9"/>
        <v>74.451615507792923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70560</v>
      </c>
      <c r="D26" s="316">
        <f t="shared" si="5"/>
        <v>11760</v>
      </c>
      <c r="E26" s="316">
        <f t="shared" si="0"/>
        <v>58800</v>
      </c>
      <c r="F26" s="314"/>
      <c r="G26" s="318">
        <f ca="1">DATA!$D$11/1000000</f>
        <v>3.9014281440410001</v>
      </c>
      <c r="H26" s="318">
        <f>C26*DATA!$D$5/1000000</f>
        <v>76.495863237757376</v>
      </c>
      <c r="I26" s="318">
        <f>(C26*DATA!$D$5*DATA!$D$7)/1000000</f>
        <v>1.7211569228495409</v>
      </c>
      <c r="J26" s="316">
        <f t="shared" ca="1" si="1"/>
        <v>82.118448304647927</v>
      </c>
      <c r="K26" s="314"/>
      <c r="L26" s="316">
        <f>((D26*DATA!$D$23)/1000000)+((E26*DATA!$D$24)/1000000)</f>
        <v>101.93803199999999</v>
      </c>
      <c r="M26" s="316">
        <f t="shared" si="2"/>
        <v>101.93803199999999</v>
      </c>
      <c r="N26" s="316">
        <f t="shared" ca="1" si="6"/>
        <v>19.819583695352065</v>
      </c>
      <c r="O26" s="315">
        <f>1/(1+'[93]Asumsi I'!$C$3)^(KKF!A26)</f>
        <v>0.1161067768903709</v>
      </c>
      <c r="P26" s="316">
        <f t="shared" ca="1" si="7"/>
        <v>2.3011879821762751</v>
      </c>
      <c r="Q26" s="316">
        <f t="shared" ca="1" si="9"/>
        <v>76.752803489969196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70560</v>
      </c>
      <c r="D27" s="316">
        <f t="shared" si="5"/>
        <v>11760</v>
      </c>
      <c r="E27" s="316">
        <f t="shared" si="0"/>
        <v>58800</v>
      </c>
      <c r="F27" s="314"/>
      <c r="G27" s="318">
        <f ca="1">DATA!$D$11/1000000</f>
        <v>3.9014281440410001</v>
      </c>
      <c r="H27" s="318">
        <f>C27*DATA!$D$5/1000000</f>
        <v>76.495863237757376</v>
      </c>
      <c r="I27" s="318">
        <f>(C27*DATA!$D$5*DATA!$D$7)/1000000</f>
        <v>1.7211569228495409</v>
      </c>
      <c r="J27" s="316">
        <f t="shared" ca="1" si="1"/>
        <v>82.118448304647927</v>
      </c>
      <c r="K27" s="314"/>
      <c r="L27" s="316">
        <f>((D27*DATA!$D$23)/1000000)+((E27*DATA!$D$24)/1000000)</f>
        <v>101.93803199999999</v>
      </c>
      <c r="M27" s="316">
        <f t="shared" si="2"/>
        <v>101.93803199999999</v>
      </c>
      <c r="N27" s="316">
        <f t="shared" ca="1" si="6"/>
        <v>19.819583695352065</v>
      </c>
      <c r="O27" s="315">
        <f>1/(1+'[93]Asumsi I'!$C$3)^(KKF!A27)</f>
        <v>0.1036667650806883</v>
      </c>
      <c r="P27" s="316">
        <f t="shared" ca="1" si="7"/>
        <v>2.0546321269431025</v>
      </c>
      <c r="Q27" s="316">
        <f t="shared" ca="1" si="9"/>
        <v>78.807435616912301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70560</v>
      </c>
      <c r="D28" s="316">
        <f t="shared" si="5"/>
        <v>11760</v>
      </c>
      <c r="E28" s="316">
        <f t="shared" si="0"/>
        <v>58800</v>
      </c>
      <c r="F28" s="314"/>
      <c r="G28" s="318">
        <f ca="1">DATA!$D$11/1000000</f>
        <v>3.9014281440410001</v>
      </c>
      <c r="H28" s="318">
        <f>C28*DATA!$D$5/1000000</f>
        <v>76.495863237757376</v>
      </c>
      <c r="I28" s="318">
        <f>(C28*DATA!$D$5*DATA!$D$7)/1000000</f>
        <v>1.7211569228495409</v>
      </c>
      <c r="J28" s="316">
        <f t="shared" ca="1" si="1"/>
        <v>82.118448304647927</v>
      </c>
      <c r="K28" s="314"/>
      <c r="L28" s="316">
        <f>((D28*DATA!$D$23)/1000000)+((E28*DATA!$D$24)/1000000)</f>
        <v>101.93803199999999</v>
      </c>
      <c r="M28" s="316">
        <f t="shared" si="2"/>
        <v>101.93803199999999</v>
      </c>
      <c r="N28" s="316">
        <f t="shared" ca="1" si="6"/>
        <v>19.819583695352065</v>
      </c>
      <c r="O28" s="315">
        <f>1/(1+'[93]Asumsi I'!$C$3)^(KKF!A28)</f>
        <v>9.2559611679185971E-2</v>
      </c>
      <c r="P28" s="316">
        <f t="shared" ca="1" si="7"/>
        <v>1.8344929704849129</v>
      </c>
      <c r="Q28" s="316">
        <f t="shared" ca="1" si="9"/>
        <v>80.641928587397217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70560</v>
      </c>
      <c r="D29" s="316">
        <f t="shared" si="5"/>
        <v>11760</v>
      </c>
      <c r="E29" s="316">
        <f t="shared" si="0"/>
        <v>58800</v>
      </c>
      <c r="F29" s="314"/>
      <c r="G29" s="318">
        <f ca="1">DATA!$D$11/1000000</f>
        <v>3.9014281440410001</v>
      </c>
      <c r="H29" s="318">
        <f>C29*DATA!$D$5/1000000</f>
        <v>76.495863237757376</v>
      </c>
      <c r="I29" s="318">
        <f>(C29*DATA!$D$5*DATA!$D$7)/1000000</f>
        <v>1.7211569228495409</v>
      </c>
      <c r="J29" s="316">
        <f t="shared" ca="1" si="1"/>
        <v>82.118448304647927</v>
      </c>
      <c r="K29" s="314"/>
      <c r="L29" s="316">
        <f>((D29*DATA!$D$23)/1000000)+((E29*DATA!$D$24)/1000000)</f>
        <v>101.93803199999999</v>
      </c>
      <c r="M29" s="316">
        <f t="shared" si="2"/>
        <v>101.93803199999999</v>
      </c>
      <c r="N29" s="316">
        <f t="shared" ca="1" si="6"/>
        <v>19.819583695352065</v>
      </c>
      <c r="O29" s="315">
        <f>1/(1+'[93]Asumsi I'!$C$3)^(KKF!A29)</f>
        <v>8.2642510427844609E-2</v>
      </c>
      <c r="P29" s="316">
        <f t="shared" ca="1" si="7"/>
        <v>1.6379401522186721</v>
      </c>
      <c r="Q29" s="316">
        <f t="shared" ca="1" si="9"/>
        <v>82.279868739615893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70560</v>
      </c>
      <c r="D30" s="316">
        <f t="shared" si="5"/>
        <v>11760</v>
      </c>
      <c r="E30" s="316">
        <f t="shared" si="0"/>
        <v>58800</v>
      </c>
      <c r="F30" s="314"/>
      <c r="G30" s="318">
        <f ca="1">DATA!$D$11/1000000</f>
        <v>3.9014281440410001</v>
      </c>
      <c r="H30" s="318">
        <f>C30*DATA!$D$5/1000000</f>
        <v>76.495863237757376</v>
      </c>
      <c r="I30" s="318">
        <f>(C30*DATA!$D$5*DATA!$D$7)/1000000</f>
        <v>1.7211569228495409</v>
      </c>
      <c r="J30" s="316">
        <f t="shared" ca="1" si="1"/>
        <v>82.118448304647927</v>
      </c>
      <c r="K30" s="314"/>
      <c r="L30" s="316">
        <f>((D30*DATA!$D$23)/1000000)+((E30*DATA!$D$24)/1000000)</f>
        <v>101.93803199999999</v>
      </c>
      <c r="M30" s="316">
        <f t="shared" si="2"/>
        <v>101.93803199999999</v>
      </c>
      <c r="N30" s="316">
        <f t="shared" ca="1" si="6"/>
        <v>19.819583695352065</v>
      </c>
      <c r="O30" s="315">
        <f>1/(1+'[93]Asumsi I'!$C$3)^(KKF!A30)</f>
        <v>7.3787955739146982E-2</v>
      </c>
      <c r="P30" s="316">
        <f t="shared" ca="1" si="7"/>
        <v>1.4624465644809574</v>
      </c>
      <c r="Q30" s="316">
        <f t="shared" ca="1" si="9"/>
        <v>83.742315304096849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70560</v>
      </c>
      <c r="D31" s="316">
        <f t="shared" si="5"/>
        <v>11760</v>
      </c>
      <c r="E31" s="316">
        <f t="shared" si="0"/>
        <v>58800</v>
      </c>
      <c r="F31" s="314"/>
      <c r="G31" s="318">
        <f ca="1">DATA!$D$11/1000000</f>
        <v>3.9014281440410001</v>
      </c>
      <c r="H31" s="318">
        <f>C31*DATA!$D$5/1000000</f>
        <v>76.495863237757376</v>
      </c>
      <c r="I31" s="318">
        <f>(C31*DATA!$D$5*DATA!$D$7)/1000000</f>
        <v>1.7211569228495409</v>
      </c>
      <c r="J31" s="316">
        <f t="shared" ca="1" si="1"/>
        <v>82.118448304647927</v>
      </c>
      <c r="K31" s="314"/>
      <c r="L31" s="316">
        <f>((D31*DATA!$D$23)/1000000)+((E31*DATA!$D$24)/1000000)</f>
        <v>101.93803199999999</v>
      </c>
      <c r="M31" s="316">
        <f t="shared" si="2"/>
        <v>101.93803199999999</v>
      </c>
      <c r="N31" s="316">
        <f t="shared" ca="1" si="6"/>
        <v>19.819583695352065</v>
      </c>
      <c r="O31" s="315">
        <f>1/(1+'[93]Asumsi I'!$C$3)^(KKF!A31)</f>
        <v>6.5882103338524081E-2</v>
      </c>
      <c r="P31" s="316">
        <f t="shared" ca="1" si="7"/>
        <v>1.3057558611437117</v>
      </c>
      <c r="Q31" s="316">
        <f ca="1">Q30+P31</f>
        <v>85.048071165240557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70560</v>
      </c>
      <c r="D32" s="316">
        <f t="shared" si="5"/>
        <v>11760</v>
      </c>
      <c r="E32" s="316">
        <f t="shared" si="0"/>
        <v>58800</v>
      </c>
      <c r="F32" s="314"/>
      <c r="G32" s="318">
        <f ca="1">DATA!$D$11/1000000</f>
        <v>3.9014281440410001</v>
      </c>
      <c r="H32" s="318">
        <f>C32*DATA!$D$5/1000000</f>
        <v>76.495863237757376</v>
      </c>
      <c r="I32" s="318">
        <f>(C32*DATA!$D$5*DATA!$D$7)/1000000</f>
        <v>1.7211569228495409</v>
      </c>
      <c r="J32" s="316">
        <f t="shared" ca="1" si="1"/>
        <v>82.118448304647927</v>
      </c>
      <c r="K32" s="314"/>
      <c r="L32" s="316">
        <f>((D32*DATA!$D$23)/1000000)+((E32*DATA!$D$24)/1000000)</f>
        <v>101.93803199999999</v>
      </c>
      <c r="M32" s="316">
        <f t="shared" si="2"/>
        <v>101.93803199999999</v>
      </c>
      <c r="N32" s="316">
        <f t="shared" ca="1" si="6"/>
        <v>19.819583695352065</v>
      </c>
      <c r="O32" s="315">
        <f>1/(1+'[93]Asumsi I'!$C$3)^(KKF!A32)</f>
        <v>5.8823306552253637E-2</v>
      </c>
      <c r="P32" s="316">
        <f t="shared" ca="1" si="7"/>
        <v>1.1658534474497426</v>
      </c>
      <c r="Q32" s="316">
        <f ca="1">Q31+P32</f>
        <v>86.213924612690306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1" t="s">
        <v>1374</v>
      </c>
      <c r="G33" s="621"/>
      <c r="H33" s="621"/>
      <c r="I33" s="324"/>
      <c r="J33" s="325">
        <f ca="1">SUM(J7:J32)</f>
        <v>2304.0787230693613</v>
      </c>
      <c r="K33" s="621" t="s">
        <v>1375</v>
      </c>
      <c r="L33" s="621"/>
      <c r="M33" s="325">
        <f>SUM(M7:M32)</f>
        <v>2730.3344880000004</v>
      </c>
      <c r="N33" s="323"/>
      <c r="O33" s="323"/>
      <c r="P33" s="326"/>
      <c r="Q33" s="326"/>
      <c r="S33" s="304">
        <f ca="1">COUNTIF(S7:S32,"a")</f>
        <v>5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12.670171044614445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5.1351111477510063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1.1850005213202115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76.976718404187736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0.28573568545763495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07"/>
  <sheetViews>
    <sheetView showGridLines="0" tabSelected="1" zoomScale="70" zoomScaleNormal="70" zoomScaleSheetLayoutView="70" workbookViewId="0">
      <pane ySplit="13" topLeftCell="A158" activePane="bottomLeft" state="frozen"/>
      <selection activeCell="H1093" sqref="H1093"/>
      <selection pane="bottomLeft" activeCell="G8" sqref="G8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4" t="s">
        <v>1036</v>
      </c>
      <c r="P3" s="624"/>
      <c r="Q3" s="346"/>
      <c r="T3" s="344"/>
      <c r="U3" s="345" t="s">
        <v>1041</v>
      </c>
      <c r="V3" s="344"/>
    </row>
    <row r="4" spans="1:22" ht="18.75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1" t="str">
        <f>DATA!D14</f>
        <v>AGR MUSTAIN</v>
      </c>
      <c r="H6" s="641"/>
      <c r="I6" s="641"/>
      <c r="J6" s="641"/>
      <c r="K6" s="64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1650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1553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7" t="s">
        <v>0</v>
      </c>
      <c r="C11" s="629" t="s">
        <v>1</v>
      </c>
      <c r="D11" s="632" t="s">
        <v>42</v>
      </c>
      <c r="E11" s="632" t="s">
        <v>43</v>
      </c>
      <c r="F11" s="632" t="s">
        <v>2</v>
      </c>
      <c r="G11" s="634" t="s">
        <v>41</v>
      </c>
      <c r="H11" s="632" t="s">
        <v>3</v>
      </c>
      <c r="I11" s="632"/>
      <c r="J11" s="632"/>
      <c r="K11" s="651"/>
      <c r="O11" s="351"/>
      <c r="P11" s="352"/>
      <c r="Q11" s="351"/>
      <c r="S11" s="353"/>
      <c r="T11" s="354"/>
      <c r="U11" s="354"/>
      <c r="V11" s="354"/>
    </row>
    <row r="12" spans="1:22">
      <c r="B12" s="628"/>
      <c r="C12" s="630"/>
      <c r="D12" s="633"/>
      <c r="E12" s="633"/>
      <c r="F12" s="633"/>
      <c r="G12" s="635"/>
      <c r="H12" s="637" t="s">
        <v>46</v>
      </c>
      <c r="I12" s="637" t="s">
        <v>5</v>
      </c>
      <c r="J12" s="633" t="s">
        <v>47</v>
      </c>
      <c r="K12" s="652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8"/>
      <c r="C13" s="631"/>
      <c r="D13" s="633"/>
      <c r="E13" s="633"/>
      <c r="F13" s="633"/>
      <c r="G13" s="636"/>
      <c r="H13" s="638"/>
      <c r="I13" s="638"/>
      <c r="J13" s="633"/>
      <c r="K13" s="652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35" ca="1" si="8">IF(OR(D16="MDU",D16="MDU-KD"),(IF($O$3="RAB NON MDU","PLN KD",G16*F16)),0)</f>
        <v>0</v>
      </c>
      <c r="I16" s="361">
        <f t="shared" ref="I16:I35" ca="1" si="9">IF(D16="HDW",G16*F16,0)</f>
        <v>0</v>
      </c>
      <c r="J16" s="361">
        <f t="shared" ref="J16:J35" ca="1" si="10">IF(D16="JASA",G16*F16,0)</f>
        <v>0</v>
      </c>
      <c r="K16" s="362">
        <f t="shared" ref="K16:K35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8"/>
        <v>0</v>
      </c>
      <c r="I17" s="361">
        <f t="shared" ca="1" si="9"/>
        <v>11600000</v>
      </c>
      <c r="J17" s="361">
        <f t="shared" ca="1" si="10"/>
        <v>0</v>
      </c>
      <c r="K17" s="362">
        <f t="shared" ca="1" si="11"/>
        <v>11600000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6">
        <v>2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ca="1" si="8"/>
        <v>0</v>
      </c>
      <c r="I18" s="361">
        <f t="shared" ca="1" si="9"/>
        <v>12148800</v>
      </c>
      <c r="J18" s="361">
        <f t="shared" ca="1" si="10"/>
        <v>0</v>
      </c>
      <c r="K18" s="362">
        <f t="shared" ca="1" si="11"/>
        <v>12148800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4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506">
        <f>F17+F18</f>
        <v>4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40266.666666666672</v>
      </c>
      <c r="K19" s="362">
        <f t="shared" ca="1" si="11"/>
        <v>40266.666666666672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5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506">
        <v>2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400000</v>
      </c>
      <c r="J20" s="361">
        <f t="shared" ca="1" si="10"/>
        <v>0</v>
      </c>
      <c r="K20" s="362">
        <f t="shared" ca="1" si="11"/>
        <v>400000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/>
      <c r="C21" s="357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 t="e">
        <f>IF(AND(C22=0,#REF!=0,#REF!=0),"BLANKS",1)</f>
        <v>#REF!</v>
      </c>
      <c r="B22" s="371" t="s">
        <v>1456</v>
      </c>
      <c r="C22" s="372" t="s">
        <v>1625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7"/>
      <c r="C23" s="498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7" t="s">
        <v>1035</v>
      </c>
      <c r="C24" s="508" t="s">
        <v>1621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4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7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4">
        <f>F24*1</f>
        <v>1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8"/>
        <v>176900</v>
      </c>
      <c r="I25" s="361">
        <f t="shared" ca="1" si="9"/>
        <v>0</v>
      </c>
      <c r="J25" s="361">
        <f t="shared" ca="1" si="10"/>
        <v>0</v>
      </c>
      <c r="K25" s="362">
        <f t="shared" ca="1" si="11"/>
        <v>176900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7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4">
        <f>F24*2</f>
        <v>2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8"/>
        <v>353800</v>
      </c>
      <c r="I26" s="361">
        <f t="shared" ca="1" si="9"/>
        <v>0</v>
      </c>
      <c r="J26" s="361">
        <f t="shared" ca="1" si="10"/>
        <v>0</v>
      </c>
      <c r="K26" s="362">
        <f t="shared" ca="1" si="11"/>
        <v>353800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7">
        <v>3</v>
      </c>
      <c r="C27" s="508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F24*3</f>
        <v>3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8"/>
        <v>0</v>
      </c>
      <c r="I27" s="361">
        <f t="shared" ca="1" si="9"/>
        <v>79500</v>
      </c>
      <c r="J27" s="361">
        <f t="shared" ca="1" si="10"/>
        <v>0</v>
      </c>
      <c r="K27" s="362">
        <f t="shared" ca="1" si="11"/>
        <v>79500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7">
        <v>4</v>
      </c>
      <c r="C28" s="508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F24*2</f>
        <v>2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8"/>
        <v>0</v>
      </c>
      <c r="I28" s="361">
        <f t="shared" ca="1" si="9"/>
        <v>15876</v>
      </c>
      <c r="J28" s="361">
        <f t="shared" ca="1" si="10"/>
        <v>0</v>
      </c>
      <c r="K28" s="362">
        <f t="shared" ca="1" si="11"/>
        <v>15876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7">
        <v>5</v>
      </c>
      <c r="C29" s="508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F24*1</f>
        <v>1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8"/>
        <v>0</v>
      </c>
      <c r="I29" s="361">
        <f t="shared" ca="1" si="9"/>
        <v>33600</v>
      </c>
      <c r="J29" s="361">
        <f t="shared" ca="1" si="10"/>
        <v>0</v>
      </c>
      <c r="K29" s="362">
        <f t="shared" ca="1" si="11"/>
        <v>33600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7">
        <v>6</v>
      </c>
      <c r="C30" s="508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F24*2</f>
        <v>2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8"/>
        <v>0</v>
      </c>
      <c r="I30" s="361">
        <f t="shared" ca="1" si="9"/>
        <v>90000</v>
      </c>
      <c r="J30" s="361">
        <f t="shared" ca="1" si="10"/>
        <v>0</v>
      </c>
      <c r="K30" s="362">
        <f t="shared" ca="1" si="11"/>
        <v>90000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7">
        <v>7</v>
      </c>
      <c r="C31" s="508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F24*1</f>
        <v>1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8"/>
        <v>0</v>
      </c>
      <c r="I31" s="361">
        <f t="shared" ca="1" si="9"/>
        <v>95000</v>
      </c>
      <c r="J31" s="361">
        <f t="shared" ca="1" si="10"/>
        <v>0</v>
      </c>
      <c r="K31" s="362">
        <f t="shared" ca="1" si="11"/>
        <v>95000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7">
        <v>8</v>
      </c>
      <c r="C32" s="508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F24*1</f>
        <v>1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8"/>
        <v>0</v>
      </c>
      <c r="I32" s="361">
        <f t="shared" ca="1" si="9"/>
        <v>380500</v>
      </c>
      <c r="J32" s="361">
        <f t="shared" ca="1" si="10"/>
        <v>0</v>
      </c>
      <c r="K32" s="362">
        <f t="shared" ca="1" si="11"/>
        <v>380500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7">
        <v>9</v>
      </c>
      <c r="C33" s="508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F24*4</f>
        <v>4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8"/>
        <v>0</v>
      </c>
      <c r="I33" s="361">
        <f t="shared" ca="1" si="9"/>
        <v>45600</v>
      </c>
      <c r="J33" s="361">
        <f t="shared" ca="1" si="10"/>
        <v>0</v>
      </c>
      <c r="K33" s="362">
        <f t="shared" ca="1" si="11"/>
        <v>45600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7">
        <v>10</v>
      </c>
      <c r="C34" s="508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F24*1</f>
        <v>1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8"/>
        <v>0</v>
      </c>
      <c r="I34" s="361">
        <f t="shared" ca="1" si="9"/>
        <v>57690</v>
      </c>
      <c r="J34" s="361">
        <f t="shared" ca="1" si="10"/>
        <v>0</v>
      </c>
      <c r="K34" s="362">
        <f t="shared" ca="1" si="11"/>
        <v>57690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7">
        <v>11</v>
      </c>
      <c r="C35" s="508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F24*1</f>
        <v>1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8"/>
        <v>0</v>
      </c>
      <c r="I35" s="361">
        <f t="shared" ca="1" si="9"/>
        <v>28000</v>
      </c>
      <c r="J35" s="361">
        <f t="shared" ca="1" si="10"/>
        <v>0</v>
      </c>
      <c r="K35" s="362">
        <f t="shared" ca="1" si="11"/>
        <v>28000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7">
        <v>12</v>
      </c>
      <c r="C36" s="508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84">
        <f>6.2*F24</f>
        <v>6.2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ref="H36:H39" ca="1" si="12">IF(OR(D36="MDU",D36="MDU-KD"),(IF($O$3="RAB NON MDU","PLN KD",G36*F36)),0)</f>
        <v>0</v>
      </c>
      <c r="I36" s="361">
        <f t="shared" ref="I36:I39" ca="1" si="13">IF(D36="HDW",G36*F36,0)</f>
        <v>53010</v>
      </c>
      <c r="J36" s="361">
        <f t="shared" ref="J36:J39" ca="1" si="14">IF(D36="JASA",G36*F36,0)</f>
        <v>0</v>
      </c>
      <c r="K36" s="362">
        <f t="shared" ref="K36:K39" ca="1" si="15">SUM(H36:J36)</f>
        <v>53010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7">
        <v>13</v>
      </c>
      <c r="C37" s="508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4">
        <f>F24*5</f>
        <v>5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2"/>
        <v>0</v>
      </c>
      <c r="I37" s="361">
        <f t="shared" ca="1" si="13"/>
        <v>12500</v>
      </c>
      <c r="J37" s="361">
        <f t="shared" ca="1" si="14"/>
        <v>0</v>
      </c>
      <c r="K37" s="362">
        <f t="shared" ca="1" si="15"/>
        <v>12500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7">
        <v>14</v>
      </c>
      <c r="C38" s="508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84">
        <f>F24*1</f>
        <v>1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2"/>
        <v>0</v>
      </c>
      <c r="I38" s="361">
        <f t="shared" ca="1" si="13"/>
        <v>0</v>
      </c>
      <c r="J38" s="361">
        <f t="shared" ca="1" si="14"/>
        <v>111000</v>
      </c>
      <c r="K38" s="362">
        <f t="shared" ca="1" si="15"/>
        <v>111000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1"/>
      <c r="C39" s="502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84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7" t="s">
        <v>1035</v>
      </c>
      <c r="C40" s="508" t="s">
        <v>1622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06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51" ca="1" si="16">IF(OR(D40="MDU",D40="MDU-KD"),(IF($O$3="RAB NON MDU","PLN KD",G40*F40)),0)</f>
        <v>0</v>
      </c>
      <c r="I40" s="361">
        <f t="shared" ref="I40:I51" ca="1" si="17">IF(D40="HDW",G40*F40,0)</f>
        <v>0</v>
      </c>
      <c r="J40" s="361">
        <f t="shared" ref="J40:J51" ca="1" si="18">IF(D40="JASA",G40*F40,0)</f>
        <v>0</v>
      </c>
      <c r="K40" s="362">
        <f t="shared" ref="K40:K51" ca="1" si="19">SUM(H40:J40)</f>
        <v>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7">
        <v>1</v>
      </c>
      <c r="C41" s="109" t="s">
        <v>1569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06">
        <f>F40*3</f>
        <v>6</v>
      </c>
      <c r="G41" s="360">
        <f ca="1">IF(ISERROR(OFFSET('HARGA SATUAN'!$I$6,MATCH(RAB!C41,'HARGA SATUAN'!$C$7:$C$1492,0),0)),0,OFFSET('HARGA SATUAN'!$I$6,MATCH(RAB!C41,'HARGA SATUAN'!$C$7:$C$1492,0),0))</f>
        <v>205700</v>
      </c>
      <c r="H41" s="361">
        <f t="shared" ca="1" si="16"/>
        <v>1234200</v>
      </c>
      <c r="I41" s="361">
        <f t="shared" ca="1" si="17"/>
        <v>0</v>
      </c>
      <c r="J41" s="361">
        <f t="shared" ca="1" si="18"/>
        <v>0</v>
      </c>
      <c r="K41" s="362">
        <f t="shared" ca="1" si="19"/>
        <v>1234200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7">
        <v>2</v>
      </c>
      <c r="C42" s="508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06">
        <f>F40*1</f>
        <v>2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16"/>
        <v>0</v>
      </c>
      <c r="I42" s="361">
        <f t="shared" ca="1" si="17"/>
        <v>15578</v>
      </c>
      <c r="J42" s="361">
        <f t="shared" ca="1" si="18"/>
        <v>0</v>
      </c>
      <c r="K42" s="362">
        <f t="shared" ca="1" si="19"/>
        <v>15578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07">
        <v>3</v>
      </c>
      <c r="C43" s="508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6">
        <f>F40*2</f>
        <v>4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ca="1" si="16"/>
        <v>0</v>
      </c>
      <c r="I43" s="361">
        <f t="shared" ca="1" si="17"/>
        <v>160000</v>
      </c>
      <c r="J43" s="361">
        <f t="shared" ca="1" si="18"/>
        <v>0</v>
      </c>
      <c r="K43" s="362">
        <f t="shared" ca="1" si="19"/>
        <v>160000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7">
        <v>4</v>
      </c>
      <c r="C44" s="508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6">
        <f>F40*1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16"/>
        <v>0</v>
      </c>
      <c r="I44" s="361">
        <f t="shared" ca="1" si="17"/>
        <v>53000</v>
      </c>
      <c r="J44" s="361">
        <f t="shared" ca="1" si="18"/>
        <v>0</v>
      </c>
      <c r="K44" s="362">
        <f t="shared" ca="1" si="19"/>
        <v>53000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7">
        <v>5</v>
      </c>
      <c r="C45" s="508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6">
        <f>F40*4</f>
        <v>8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16"/>
        <v>0</v>
      </c>
      <c r="I45" s="361">
        <f t="shared" ca="1" si="17"/>
        <v>63504</v>
      </c>
      <c r="J45" s="361">
        <f t="shared" ca="1" si="18"/>
        <v>0</v>
      </c>
      <c r="K45" s="362">
        <f t="shared" ca="1" si="19"/>
        <v>63504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7">
        <v>6</v>
      </c>
      <c r="C46" s="508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6">
        <f>F40*4</f>
        <v>8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16"/>
        <v>0</v>
      </c>
      <c r="I46" s="361">
        <f t="shared" ca="1" si="17"/>
        <v>360000</v>
      </c>
      <c r="J46" s="361">
        <f t="shared" ca="1" si="18"/>
        <v>0</v>
      </c>
      <c r="K46" s="362">
        <f t="shared" ca="1" si="19"/>
        <v>360000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507">
        <v>7</v>
      </c>
      <c r="C47" s="508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6">
        <f>F40*1</f>
        <v>2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16"/>
        <v>0</v>
      </c>
      <c r="I47" s="361">
        <f t="shared" ca="1" si="17"/>
        <v>31000</v>
      </c>
      <c r="J47" s="361">
        <f t="shared" ca="1" si="18"/>
        <v>0</v>
      </c>
      <c r="K47" s="362">
        <f t="shared" ca="1" si="19"/>
        <v>31000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507">
        <v>8</v>
      </c>
      <c r="C48" s="508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6">
        <f>F40*2</f>
        <v>4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16"/>
        <v>0</v>
      </c>
      <c r="I48" s="361">
        <f t="shared" ca="1" si="17"/>
        <v>1522000</v>
      </c>
      <c r="J48" s="361">
        <f t="shared" ca="1" si="18"/>
        <v>0</v>
      </c>
      <c r="K48" s="362">
        <f t="shared" ca="1" si="19"/>
        <v>1522000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507">
        <v>9</v>
      </c>
      <c r="C49" s="508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6">
        <f>F40*4</f>
        <v>8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16"/>
        <v>0</v>
      </c>
      <c r="I49" s="361">
        <f t="shared" ca="1" si="17"/>
        <v>91200</v>
      </c>
      <c r="J49" s="361">
        <f t="shared" ca="1" si="18"/>
        <v>0</v>
      </c>
      <c r="K49" s="362">
        <f t="shared" ca="1" si="19"/>
        <v>91200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507">
        <v>10</v>
      </c>
      <c r="C50" s="508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6">
        <f>F40*2</f>
        <v>4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16"/>
        <v>0</v>
      </c>
      <c r="I50" s="361">
        <f t="shared" ca="1" si="17"/>
        <v>118400</v>
      </c>
      <c r="J50" s="361">
        <f t="shared" ca="1" si="18"/>
        <v>0</v>
      </c>
      <c r="K50" s="362">
        <f t="shared" ca="1" si="19"/>
        <v>118400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507">
        <v>11</v>
      </c>
      <c r="C51" s="508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6">
        <f>F40*1</f>
        <v>2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16"/>
        <v>0</v>
      </c>
      <c r="I51" s="361">
        <f t="shared" ca="1" si="17"/>
        <v>55630</v>
      </c>
      <c r="J51" s="361">
        <f t="shared" ca="1" si="18"/>
        <v>0</v>
      </c>
      <c r="K51" s="362">
        <f t="shared" ca="1" si="19"/>
        <v>55630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507">
        <v>12</v>
      </c>
      <c r="C52" s="508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6">
        <f>F40*3</f>
        <v>6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ref="H52:H59" ca="1" si="20">IF(OR(D52="MDU",D52="MDU-KD"),(IF($O$3="RAB NON MDU","PLN KD",G52*F52)),0)</f>
        <v>0</v>
      </c>
      <c r="I52" s="361">
        <f t="shared" ref="I52:I59" ca="1" si="21">IF(D52="HDW",G52*F52,0)</f>
        <v>143616</v>
      </c>
      <c r="J52" s="361">
        <f t="shared" ref="J52:J59" ca="1" si="22">IF(D52="JASA",G52*F52,0)</f>
        <v>0</v>
      </c>
      <c r="K52" s="362">
        <f t="shared" ref="K52:K59" ca="1" si="23">SUM(H52:J52)</f>
        <v>143616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507">
        <v>13</v>
      </c>
      <c r="C53" s="508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6">
        <f>F40*1</f>
        <v>2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0"/>
        <v>0</v>
      </c>
      <c r="I53" s="361">
        <f t="shared" ca="1" si="21"/>
        <v>127000</v>
      </c>
      <c r="J53" s="361">
        <f t="shared" ca="1" si="22"/>
        <v>0</v>
      </c>
      <c r="K53" s="362">
        <f t="shared" ca="1" si="23"/>
        <v>127000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507">
        <v>14</v>
      </c>
      <c r="C54" s="508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6">
        <f>F40*1</f>
        <v>2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0"/>
        <v>0</v>
      </c>
      <c r="I54" s="361">
        <f t="shared" ca="1" si="21"/>
        <v>115380</v>
      </c>
      <c r="J54" s="361">
        <f t="shared" ca="1" si="22"/>
        <v>0</v>
      </c>
      <c r="K54" s="362">
        <f t="shared" ca="1" si="23"/>
        <v>115380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507">
        <v>15</v>
      </c>
      <c r="C55" s="508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6">
        <f>F40*3</f>
        <v>6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0"/>
        <v>0</v>
      </c>
      <c r="I55" s="361">
        <f t="shared" ca="1" si="21"/>
        <v>96000</v>
      </c>
      <c r="J55" s="361">
        <f t="shared" ca="1" si="22"/>
        <v>0</v>
      </c>
      <c r="K55" s="362">
        <f t="shared" ca="1" si="23"/>
        <v>96000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507">
        <v>16</v>
      </c>
      <c r="C56" s="508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6">
        <f>F40*1</f>
        <v>2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0"/>
        <v>0</v>
      </c>
      <c r="I56" s="361">
        <f t="shared" ca="1" si="21"/>
        <v>67003.733333333337</v>
      </c>
      <c r="J56" s="361">
        <f t="shared" ca="1" si="22"/>
        <v>0</v>
      </c>
      <c r="K56" s="362">
        <f t="shared" ca="1" si="23"/>
        <v>67003.733333333337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70" customFormat="1">
      <c r="A57" s="336"/>
      <c r="B57" s="507">
        <v>17</v>
      </c>
      <c r="C57" s="508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6">
        <f>F40*11</f>
        <v>22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0"/>
        <v>0</v>
      </c>
      <c r="I57" s="361">
        <f t="shared" ca="1" si="21"/>
        <v>55000</v>
      </c>
      <c r="J57" s="361">
        <f t="shared" ca="1" si="22"/>
        <v>0</v>
      </c>
      <c r="K57" s="362">
        <f t="shared" ca="1" si="23"/>
        <v>55000</v>
      </c>
      <c r="L57" s="369"/>
      <c r="M57" s="369"/>
      <c r="N57" s="369"/>
      <c r="O57" s="363"/>
      <c r="P57" s="363"/>
      <c r="Q57" s="344"/>
      <c r="R57" s="336"/>
      <c r="S57" s="364"/>
      <c r="T57" s="341"/>
      <c r="U57" s="341"/>
      <c r="V57" s="341"/>
    </row>
    <row r="58" spans="1:22" s="365" customFormat="1">
      <c r="A58" s="336"/>
      <c r="B58" s="507">
        <v>18</v>
      </c>
      <c r="C58" s="508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6">
        <f>F40*1</f>
        <v>2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269400</v>
      </c>
      <c r="K58" s="362">
        <f t="shared" ca="1" si="23"/>
        <v>269400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373"/>
      <c r="C59" s="374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484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723" t="s">
        <v>1035</v>
      </c>
      <c r="C60" s="724" t="s">
        <v>1644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727">
        <v>2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:H83" ca="1" si="24">IF(OR(D60="MDU",D60="MDU-KD"),(IF($O$3="RAB NON MDU","PLN KD",G60*F60)),0)</f>
        <v>0</v>
      </c>
      <c r="I60" s="361">
        <f t="shared" ref="I60:I83" ca="1" si="25">IF(D60="HDW",G60*F60,0)</f>
        <v>0</v>
      </c>
      <c r="J60" s="361">
        <f t="shared" ref="J60:J83" ca="1" si="26">IF(D60="JASA",G60*F60,0)</f>
        <v>0</v>
      </c>
      <c r="K60" s="362">
        <f t="shared" ref="K60:K83" ca="1" si="27">SUM(H60:J60)</f>
        <v>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725">
        <v>1</v>
      </c>
      <c r="C61" s="109" t="s">
        <v>1129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727">
        <f>F60*1</f>
        <v>2</v>
      </c>
      <c r="G61" s="360">
        <f ca="1">IF(ISERROR(OFFSET('HARGA SATUAN'!$I$6,MATCH(RAB!C61,'HARGA SATUAN'!$C$7:$C$1492,0),0)),0,OFFSET('HARGA SATUAN'!$I$6,MATCH(RAB!C61,'HARGA SATUAN'!$C$7:$C$1492,0),0))</f>
        <v>176900</v>
      </c>
      <c r="H61" s="361">
        <f t="shared" ca="1" si="24"/>
        <v>353800</v>
      </c>
      <c r="I61" s="361">
        <f t="shared" ca="1" si="25"/>
        <v>0</v>
      </c>
      <c r="J61" s="361">
        <f t="shared" ca="1" si="26"/>
        <v>0</v>
      </c>
      <c r="K61" s="362">
        <f t="shared" ca="1" si="27"/>
        <v>353800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725">
        <v>2</v>
      </c>
      <c r="C62" s="109" t="s">
        <v>1129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727">
        <f>F60*1</f>
        <v>2</v>
      </c>
      <c r="G62" s="360">
        <f ca="1">IF(ISERROR(OFFSET('HARGA SATUAN'!$I$6,MATCH(RAB!C62,'HARGA SATUAN'!$C$7:$C$1492,0),0)),0,OFFSET('HARGA SATUAN'!$I$6,MATCH(RAB!C62,'HARGA SATUAN'!$C$7:$C$1492,0),0))</f>
        <v>176900</v>
      </c>
      <c r="H62" s="361">
        <f t="shared" ca="1" si="24"/>
        <v>353800</v>
      </c>
      <c r="I62" s="361">
        <f t="shared" ca="1" si="25"/>
        <v>0</v>
      </c>
      <c r="J62" s="361">
        <f t="shared" ca="1" si="26"/>
        <v>0</v>
      </c>
      <c r="K62" s="362">
        <f t="shared" ca="1" si="27"/>
        <v>353800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725">
        <v>3</v>
      </c>
      <c r="C63" s="109" t="s">
        <v>1569</v>
      </c>
      <c r="D63" s="358" t="str">
        <f ca="1">IF(ISERROR(OFFSET('HARGA SATUAN'!$D$6,MATCH(RAB!C63,'HARGA SATUAN'!$C$7:$C$1492,0),0)),"",OFFSET('HARGA SATUAN'!$D$6,MATCH(RAB!C63,'HARGA SATUAN'!$C$7:$C$1492,0),0))</f>
        <v>MDU-KD</v>
      </c>
      <c r="E63" s="359" t="str">
        <f ca="1">IF(B63="+","Unit",IF(ISERROR(OFFSET('HARGA SATUAN'!$E$6,MATCH(RAB!C63,'HARGA SATUAN'!$C$7:$C$1492,0),0)),"",OFFSET('HARGA SATUAN'!$E$6,MATCH(RAB!C63,'HARGA SATUAN'!$C$7:$C$1492,0),0)))</f>
        <v>Set</v>
      </c>
      <c r="F63" s="727">
        <f>F60*6</f>
        <v>12</v>
      </c>
      <c r="G63" s="360">
        <f ca="1">IF(ISERROR(OFFSET('HARGA SATUAN'!$I$6,MATCH(RAB!C63,'HARGA SATUAN'!$C$7:$C$1492,0),0)),0,OFFSET('HARGA SATUAN'!$I$6,MATCH(RAB!C63,'HARGA SATUAN'!$C$7:$C$1492,0),0))</f>
        <v>205700</v>
      </c>
      <c r="H63" s="361">
        <f t="shared" ca="1" si="24"/>
        <v>2468400</v>
      </c>
      <c r="I63" s="361">
        <f t="shared" ca="1" si="25"/>
        <v>0</v>
      </c>
      <c r="J63" s="361">
        <f t="shared" ca="1" si="26"/>
        <v>0</v>
      </c>
      <c r="K63" s="362">
        <f t="shared" ca="1" si="27"/>
        <v>2468400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725">
        <v>4</v>
      </c>
      <c r="C64" s="724" t="s">
        <v>152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727">
        <f>F60*2</f>
        <v>4</v>
      </c>
      <c r="G64" s="360">
        <f ca="1">IF(ISERROR(OFFSET('HARGA SATUAN'!$I$6,MATCH(RAB!C64,'HARGA SATUAN'!$C$7:$C$1492,0),0)),0,OFFSET('HARGA SATUAN'!$I$6,MATCH(RAB!C64,'HARGA SATUAN'!$C$7:$C$1492,0),0))</f>
        <v>7789</v>
      </c>
      <c r="H64" s="361">
        <f t="shared" ca="1" si="24"/>
        <v>0</v>
      </c>
      <c r="I64" s="361">
        <f t="shared" ca="1" si="25"/>
        <v>31156</v>
      </c>
      <c r="J64" s="361">
        <f t="shared" ca="1" si="26"/>
        <v>0</v>
      </c>
      <c r="K64" s="362">
        <f t="shared" ca="1" si="27"/>
        <v>31156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725">
        <v>5</v>
      </c>
      <c r="C65" s="724" t="s">
        <v>157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727">
        <f>F60*4</f>
        <v>8</v>
      </c>
      <c r="G65" s="360">
        <f ca="1">IF(ISERROR(OFFSET('HARGA SATUAN'!$I$6,MATCH(RAB!C65,'HARGA SATUAN'!$C$7:$C$1492,0),0)),0,OFFSET('HARGA SATUAN'!$I$6,MATCH(RAB!C65,'HARGA SATUAN'!$C$7:$C$1492,0),0))</f>
        <v>40000</v>
      </c>
      <c r="H65" s="361">
        <f t="shared" ca="1" si="24"/>
        <v>0</v>
      </c>
      <c r="I65" s="361">
        <f t="shared" ca="1" si="25"/>
        <v>320000</v>
      </c>
      <c r="J65" s="361">
        <f t="shared" ca="1" si="26"/>
        <v>0</v>
      </c>
      <c r="K65" s="362">
        <f t="shared" ca="1" si="27"/>
        <v>320000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725">
        <v>6</v>
      </c>
      <c r="C66" s="724" t="s">
        <v>163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727">
        <f>F60*8</f>
        <v>16</v>
      </c>
      <c r="G66" s="360">
        <f ca="1">IF(ISERROR(OFFSET('HARGA SATUAN'!$I$6,MATCH(RAB!C66,'HARGA SATUAN'!$C$7:$C$1492,0),0)),0,OFFSET('HARGA SATUAN'!$I$6,MATCH(RAB!C66,'HARGA SATUAN'!$C$7:$C$1492,0),0))</f>
        <v>7938</v>
      </c>
      <c r="H66" s="361">
        <f t="shared" ca="1" si="24"/>
        <v>0</v>
      </c>
      <c r="I66" s="361">
        <f t="shared" ca="1" si="25"/>
        <v>127008</v>
      </c>
      <c r="J66" s="361">
        <f t="shared" ca="1" si="26"/>
        <v>0</v>
      </c>
      <c r="K66" s="362">
        <f t="shared" ca="1" si="27"/>
        <v>127008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725">
        <v>7</v>
      </c>
      <c r="C67" s="724" t="s">
        <v>28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727">
        <f>F60*1</f>
        <v>2</v>
      </c>
      <c r="G67" s="360">
        <f ca="1">IF(ISERROR(OFFSET('HARGA SATUAN'!$I$6,MATCH(RAB!C67,'HARGA SATUAN'!$C$7:$C$1492,0),0)),0,OFFSET('HARGA SATUAN'!$I$6,MATCH(RAB!C67,'HARGA SATUAN'!$C$7:$C$1492,0),0))</f>
        <v>26500</v>
      </c>
      <c r="H67" s="361">
        <f t="shared" ca="1" si="24"/>
        <v>0</v>
      </c>
      <c r="I67" s="361">
        <f t="shared" ca="1" si="25"/>
        <v>53000</v>
      </c>
      <c r="J67" s="361">
        <f t="shared" ca="1" si="26"/>
        <v>0</v>
      </c>
      <c r="K67" s="362">
        <f t="shared" ca="1" si="27"/>
        <v>53000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725">
        <v>8</v>
      </c>
      <c r="C68" s="724" t="s">
        <v>173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727">
        <f>F60*8</f>
        <v>16</v>
      </c>
      <c r="G68" s="360">
        <f ca="1">IF(ISERROR(OFFSET('HARGA SATUAN'!$I$6,MATCH(RAB!C68,'HARGA SATUAN'!$C$7:$C$1492,0),0)),0,OFFSET('HARGA SATUAN'!$I$6,MATCH(RAB!C68,'HARGA SATUAN'!$C$7:$C$1492,0),0))</f>
        <v>45000</v>
      </c>
      <c r="H68" s="361">
        <f t="shared" ca="1" si="24"/>
        <v>0</v>
      </c>
      <c r="I68" s="361">
        <f t="shared" ca="1" si="25"/>
        <v>720000</v>
      </c>
      <c r="J68" s="361">
        <f t="shared" ca="1" si="26"/>
        <v>0</v>
      </c>
      <c r="K68" s="362">
        <f t="shared" ca="1" si="27"/>
        <v>720000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725">
        <v>9</v>
      </c>
      <c r="C69" s="724" t="s">
        <v>179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727">
        <f>F60*2</f>
        <v>4</v>
      </c>
      <c r="G69" s="360">
        <f ca="1">IF(ISERROR(OFFSET('HARGA SATUAN'!$I$6,MATCH(RAB!C69,'HARGA SATUAN'!$C$7:$C$1492,0),0)),0,OFFSET('HARGA SATUAN'!$I$6,MATCH(RAB!C69,'HARGA SATUAN'!$C$7:$C$1492,0),0))</f>
        <v>15500</v>
      </c>
      <c r="H69" s="361">
        <f t="shared" ca="1" si="24"/>
        <v>0</v>
      </c>
      <c r="I69" s="361">
        <f t="shared" ca="1" si="25"/>
        <v>62000</v>
      </c>
      <c r="J69" s="361">
        <f t="shared" ca="1" si="26"/>
        <v>0</v>
      </c>
      <c r="K69" s="362">
        <f t="shared" ca="1" si="27"/>
        <v>62000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725">
        <v>10</v>
      </c>
      <c r="C70" s="724" t="s">
        <v>181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727">
        <f>F60*4</f>
        <v>8</v>
      </c>
      <c r="G70" s="360">
        <f ca="1">IF(ISERROR(OFFSET('HARGA SATUAN'!$I$6,MATCH(RAB!C70,'HARGA SATUAN'!$C$7:$C$1492,0),0)),0,OFFSET('HARGA SATUAN'!$I$6,MATCH(RAB!C70,'HARGA SATUAN'!$C$7:$C$1492,0),0))</f>
        <v>28100</v>
      </c>
      <c r="H70" s="361">
        <f t="shared" ca="1" si="24"/>
        <v>0</v>
      </c>
      <c r="I70" s="361">
        <f t="shared" ca="1" si="25"/>
        <v>224800</v>
      </c>
      <c r="J70" s="361">
        <f t="shared" ca="1" si="26"/>
        <v>0</v>
      </c>
      <c r="K70" s="362">
        <f t="shared" ca="1" si="27"/>
        <v>224800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725">
        <v>11</v>
      </c>
      <c r="C71" s="724" t="s">
        <v>593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727">
        <f>F60*4</f>
        <v>8</v>
      </c>
      <c r="G71" s="360">
        <f ca="1">IF(ISERROR(OFFSET('HARGA SATUAN'!$I$6,MATCH(RAB!C71,'HARGA SATUAN'!$C$7:$C$1492,0),0)),0,OFFSET('HARGA SATUAN'!$I$6,MATCH(RAB!C71,'HARGA SATUAN'!$C$7:$C$1492,0),0))</f>
        <v>380500</v>
      </c>
      <c r="H71" s="361">
        <f t="shared" ca="1" si="24"/>
        <v>0</v>
      </c>
      <c r="I71" s="361">
        <f t="shared" ca="1" si="25"/>
        <v>3044000</v>
      </c>
      <c r="J71" s="361">
        <f t="shared" ca="1" si="26"/>
        <v>0</v>
      </c>
      <c r="K71" s="362">
        <f t="shared" ca="1" si="27"/>
        <v>3044000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725">
        <v>12</v>
      </c>
      <c r="C72" s="724" t="s">
        <v>218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727">
        <f>F60*4</f>
        <v>8</v>
      </c>
      <c r="G72" s="360">
        <f ca="1">IF(ISERROR(OFFSET('HARGA SATUAN'!$I$6,MATCH(RAB!C72,'HARGA SATUAN'!$C$7:$C$1492,0),0)),0,OFFSET('HARGA SATUAN'!$I$6,MATCH(RAB!C72,'HARGA SATUAN'!$C$7:$C$1492,0),0))</f>
        <v>29600</v>
      </c>
      <c r="H72" s="361">
        <f t="shared" ca="1" si="24"/>
        <v>0</v>
      </c>
      <c r="I72" s="361">
        <f t="shared" ca="1" si="25"/>
        <v>236800</v>
      </c>
      <c r="J72" s="361">
        <f t="shared" ca="1" si="26"/>
        <v>0</v>
      </c>
      <c r="K72" s="362">
        <f t="shared" ca="1" si="27"/>
        <v>236800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725">
        <v>13</v>
      </c>
      <c r="C73" s="724" t="s">
        <v>217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727">
        <f>F60*9</f>
        <v>18</v>
      </c>
      <c r="G73" s="360">
        <f ca="1">IF(ISERROR(OFFSET('HARGA SATUAN'!$I$6,MATCH(RAB!C73,'HARGA SATUAN'!$C$7:$C$1492,0),0)),0,OFFSET('HARGA SATUAN'!$I$6,MATCH(RAB!C73,'HARGA SATUAN'!$C$7:$C$1492,0),0))</f>
        <v>11400</v>
      </c>
      <c r="H73" s="361">
        <f t="shared" ca="1" si="24"/>
        <v>0</v>
      </c>
      <c r="I73" s="361">
        <f t="shared" ca="1" si="25"/>
        <v>205200</v>
      </c>
      <c r="J73" s="361">
        <f t="shared" ca="1" si="26"/>
        <v>0</v>
      </c>
      <c r="K73" s="362">
        <f t="shared" ca="1" si="27"/>
        <v>205200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725">
        <v>14</v>
      </c>
      <c r="C74" s="724" t="s">
        <v>223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727">
        <f>F60*2</f>
        <v>4</v>
      </c>
      <c r="G74" s="360">
        <f ca="1">IF(ISERROR(OFFSET('HARGA SATUAN'!$I$6,MATCH(RAB!C74,'HARGA SATUAN'!$C$7:$C$1492,0),0)),0,OFFSET('HARGA SATUAN'!$I$6,MATCH(RAB!C74,'HARGA SATUAN'!$C$7:$C$1492,0),0))</f>
        <v>27815</v>
      </c>
      <c r="H74" s="361">
        <f t="shared" ca="1" si="24"/>
        <v>0</v>
      </c>
      <c r="I74" s="361">
        <f t="shared" ca="1" si="25"/>
        <v>111260</v>
      </c>
      <c r="J74" s="361">
        <f t="shared" ca="1" si="26"/>
        <v>0</v>
      </c>
      <c r="K74" s="362">
        <f t="shared" ca="1" si="27"/>
        <v>111260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725">
        <v>15</v>
      </c>
      <c r="C75" s="724" t="s">
        <v>25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727">
        <f>F60*6</f>
        <v>12</v>
      </c>
      <c r="G75" s="360">
        <f ca="1">IF(ISERROR(OFFSET('HARGA SATUAN'!$I$6,MATCH(RAB!C75,'HARGA SATUAN'!$C$7:$C$1492,0),0)),0,OFFSET('HARGA SATUAN'!$I$6,MATCH(RAB!C75,'HARGA SATUAN'!$C$7:$C$1492,0),0))</f>
        <v>23936</v>
      </c>
      <c r="H75" s="361">
        <f t="shared" ca="1" si="24"/>
        <v>0</v>
      </c>
      <c r="I75" s="361">
        <f t="shared" ca="1" si="25"/>
        <v>287232</v>
      </c>
      <c r="J75" s="361">
        <f t="shared" ca="1" si="26"/>
        <v>0</v>
      </c>
      <c r="K75" s="362">
        <f t="shared" ca="1" si="27"/>
        <v>287232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725">
        <v>16</v>
      </c>
      <c r="C76" s="724" t="s">
        <v>37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727">
        <f>F60*3</f>
        <v>6</v>
      </c>
      <c r="G76" s="360">
        <f ca="1">IF(ISERROR(OFFSET('HARGA SATUAN'!$I$6,MATCH(RAB!C76,'HARGA SATUAN'!$C$7:$C$1492,0),0)),0,OFFSET('HARGA SATUAN'!$I$6,MATCH(RAB!C76,'HARGA SATUAN'!$C$7:$C$1492,0),0))</f>
        <v>63500</v>
      </c>
      <c r="H76" s="361">
        <f t="shared" ca="1" si="24"/>
        <v>0</v>
      </c>
      <c r="I76" s="361">
        <f t="shared" ca="1" si="25"/>
        <v>381000</v>
      </c>
      <c r="J76" s="361">
        <f t="shared" ca="1" si="26"/>
        <v>0</v>
      </c>
      <c r="K76" s="362">
        <f t="shared" ca="1" si="27"/>
        <v>381000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725">
        <v>17</v>
      </c>
      <c r="C77" s="724" t="s">
        <v>247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727">
        <f>F60*3</f>
        <v>6</v>
      </c>
      <c r="G77" s="360">
        <f ca="1">IF(ISERROR(OFFSET('HARGA SATUAN'!$I$6,MATCH(RAB!C77,'HARGA SATUAN'!$C$7:$C$1492,0),0)),0,OFFSET('HARGA SATUAN'!$I$6,MATCH(RAB!C77,'HARGA SATUAN'!$C$7:$C$1492,0),0))</f>
        <v>57690</v>
      </c>
      <c r="H77" s="361">
        <f t="shared" ca="1" si="24"/>
        <v>0</v>
      </c>
      <c r="I77" s="361">
        <f t="shared" ca="1" si="25"/>
        <v>346140</v>
      </c>
      <c r="J77" s="361">
        <f t="shared" ca="1" si="26"/>
        <v>0</v>
      </c>
      <c r="K77" s="362">
        <f t="shared" ca="1" si="27"/>
        <v>346140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725">
        <v>18</v>
      </c>
      <c r="C78" s="724" t="s">
        <v>27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727">
        <f>F60*6</f>
        <v>12</v>
      </c>
      <c r="G78" s="360">
        <f ca="1">IF(ISERROR(OFFSET('HARGA SATUAN'!$I$6,MATCH(RAB!C78,'HARGA SATUAN'!$C$7:$C$1492,0),0)),0,OFFSET('HARGA SATUAN'!$I$6,MATCH(RAB!C78,'HARGA SATUAN'!$C$7:$C$1492,0),0))</f>
        <v>16000</v>
      </c>
      <c r="H78" s="361">
        <f t="shared" ca="1" si="24"/>
        <v>0</v>
      </c>
      <c r="I78" s="361">
        <f t="shared" ca="1" si="25"/>
        <v>192000</v>
      </c>
      <c r="J78" s="361">
        <f t="shared" ca="1" si="26"/>
        <v>0</v>
      </c>
      <c r="K78" s="362">
        <f t="shared" ca="1" si="27"/>
        <v>192000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725">
        <v>19</v>
      </c>
      <c r="C79" s="724" t="s">
        <v>265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727">
        <f>F60*2</f>
        <v>4</v>
      </c>
      <c r="G79" s="360">
        <f ca="1">IF(ISERROR(OFFSET('HARGA SATUAN'!$I$6,MATCH(RAB!C79,'HARGA SATUAN'!$C$7:$C$1492,0),0)),0,OFFSET('HARGA SATUAN'!$I$6,MATCH(RAB!C79,'HARGA SATUAN'!$C$7:$C$1492,0),0))</f>
        <v>33501.866666666669</v>
      </c>
      <c r="H79" s="361">
        <f t="shared" ca="1" si="24"/>
        <v>0</v>
      </c>
      <c r="I79" s="361">
        <f t="shared" ca="1" si="25"/>
        <v>134007.46666666667</v>
      </c>
      <c r="J79" s="361">
        <f t="shared" ca="1" si="26"/>
        <v>0</v>
      </c>
      <c r="K79" s="362">
        <f t="shared" ca="1" si="27"/>
        <v>134007.46666666667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725">
        <v>20</v>
      </c>
      <c r="C80" s="724" t="s">
        <v>38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Mtr</v>
      </c>
      <c r="F80" s="727">
        <f>3.6*F60</f>
        <v>7.2</v>
      </c>
      <c r="G80" s="360">
        <f ca="1">IF(ISERROR(OFFSET('HARGA SATUAN'!$I$6,MATCH(RAB!C80,'HARGA SATUAN'!$C$7:$C$1492,0),0)),0,OFFSET('HARGA SATUAN'!$I$6,MATCH(RAB!C80,'HARGA SATUAN'!$C$7:$C$1492,0),0))</f>
        <v>8550</v>
      </c>
      <c r="H80" s="361">
        <f t="shared" ca="1" si="24"/>
        <v>0</v>
      </c>
      <c r="I80" s="361">
        <f t="shared" ca="1" si="25"/>
        <v>61560</v>
      </c>
      <c r="J80" s="361">
        <f t="shared" ca="1" si="26"/>
        <v>0</v>
      </c>
      <c r="K80" s="362">
        <f t="shared" ca="1" si="27"/>
        <v>61560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725">
        <v>21</v>
      </c>
      <c r="C81" s="724" t="s">
        <v>26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727">
        <f>F60*22</f>
        <v>44</v>
      </c>
      <c r="G81" s="360">
        <f ca="1">IF(ISERROR(OFFSET('HARGA SATUAN'!$I$6,MATCH(RAB!C81,'HARGA SATUAN'!$C$7:$C$1492,0),0)),0,OFFSET('HARGA SATUAN'!$I$6,MATCH(RAB!C81,'HARGA SATUAN'!$C$7:$C$1492,0),0))</f>
        <v>2500</v>
      </c>
      <c r="H81" s="361">
        <f t="shared" ca="1" si="24"/>
        <v>0</v>
      </c>
      <c r="I81" s="361">
        <f t="shared" ca="1" si="25"/>
        <v>110000</v>
      </c>
      <c r="J81" s="361">
        <f t="shared" ca="1" si="26"/>
        <v>0</v>
      </c>
      <c r="K81" s="362">
        <f t="shared" ca="1" si="27"/>
        <v>110000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725">
        <v>22</v>
      </c>
      <c r="C82" s="726" t="s">
        <v>709</v>
      </c>
      <c r="D82" s="358" t="str">
        <f ca="1">IF(ISERROR(OFFSET('HARGA SATUAN'!$D$6,MATCH(RAB!C82,'HARGA SATUAN'!$C$7:$C$1492,0),0)),"",OFFSET('HARGA SATUAN'!$D$6,MATCH(RAB!C82,'HARGA SATUAN'!$C$7:$C$1492,0),0))</f>
        <v>JASA</v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727">
        <f>F60*1</f>
        <v>2</v>
      </c>
      <c r="G82" s="360">
        <f ca="1">IF(ISERROR(OFFSET('HARGA SATUAN'!$I$6,MATCH(RAB!C82,'HARGA SATUAN'!$C$7:$C$1492,0),0)),0,OFFSET('HARGA SATUAN'!$I$6,MATCH(RAB!C82,'HARGA SATUAN'!$C$7:$C$1492,0),0))</f>
        <v>197500</v>
      </c>
      <c r="H82" s="361">
        <f t="shared" ca="1" si="24"/>
        <v>0</v>
      </c>
      <c r="I82" s="361">
        <f t="shared" ca="1" si="25"/>
        <v>0</v>
      </c>
      <c r="J82" s="361">
        <f t="shared" ca="1" si="26"/>
        <v>395000</v>
      </c>
      <c r="K82" s="362">
        <f t="shared" ca="1" si="27"/>
        <v>395000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373"/>
      <c r="C83" s="374"/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484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24"/>
        <v>0</v>
      </c>
      <c r="I83" s="361">
        <f t="shared" ca="1" si="25"/>
        <v>0</v>
      </c>
      <c r="J83" s="361">
        <f t="shared" ca="1" si="26"/>
        <v>0</v>
      </c>
      <c r="K83" s="362">
        <f t="shared" ca="1" si="27"/>
        <v>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507" t="s">
        <v>1035</v>
      </c>
      <c r="C84" s="508" t="s">
        <v>1623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484">
        <v>3</v>
      </c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ref="H84:H94" ca="1" si="28">IF(OR(D84="MDU",D84="MDU-KD"),(IF($O$3="RAB NON MDU","PLN KD",G84*F84)),0)</f>
        <v>0</v>
      </c>
      <c r="I84" s="361">
        <f t="shared" ref="I84:I94" ca="1" si="29">IF(D84="HDW",G84*F84,0)</f>
        <v>0</v>
      </c>
      <c r="J84" s="361">
        <f t="shared" ref="J84:J94" ca="1" si="30">IF(D84="JASA",G84*F84,0)</f>
        <v>0</v>
      </c>
      <c r="K84" s="362">
        <f t="shared" ref="K84:K94" ca="1" si="31">SUM(H84:J84)</f>
        <v>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507">
        <v>1</v>
      </c>
      <c r="C85" s="508" t="s">
        <v>30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484">
        <f>F84*1</f>
        <v>3</v>
      </c>
      <c r="G85" s="360">
        <f ca="1">IF(ISERROR(OFFSET('HARGA SATUAN'!$I$6,MATCH(RAB!C85,'HARGA SATUAN'!$C$7:$C$1492,0),0)),0,OFFSET('HARGA SATUAN'!$I$6,MATCH(RAB!C85,'HARGA SATUAN'!$C$7:$C$1492,0),0))</f>
        <v>47459</v>
      </c>
      <c r="H85" s="361">
        <f t="shared" ca="1" si="28"/>
        <v>0</v>
      </c>
      <c r="I85" s="361">
        <f t="shared" ca="1" si="29"/>
        <v>142377</v>
      </c>
      <c r="J85" s="361">
        <f t="shared" ca="1" si="30"/>
        <v>0</v>
      </c>
      <c r="K85" s="362">
        <f t="shared" ca="1" si="31"/>
        <v>142377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507">
        <v>2</v>
      </c>
      <c r="C86" s="508" t="s">
        <v>32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Mtr</v>
      </c>
      <c r="F86" s="484">
        <f>F84*0.8</f>
        <v>2.4000000000000004</v>
      </c>
      <c r="G86" s="360">
        <f ca="1">IF(ISERROR(OFFSET('HARGA SATUAN'!$I$6,MATCH(RAB!C86,'HARGA SATUAN'!$C$7:$C$1492,0),0)),0,OFFSET('HARGA SATUAN'!$I$6,MATCH(RAB!C86,'HARGA SATUAN'!$C$7:$C$1492,0),0))</f>
        <v>30000</v>
      </c>
      <c r="H86" s="361">
        <f t="shared" ca="1" si="28"/>
        <v>0</v>
      </c>
      <c r="I86" s="361">
        <f t="shared" ca="1" si="29"/>
        <v>72000.000000000015</v>
      </c>
      <c r="J86" s="361">
        <f t="shared" ca="1" si="30"/>
        <v>0</v>
      </c>
      <c r="K86" s="362">
        <f t="shared" ca="1" si="31"/>
        <v>72000.000000000015</v>
      </c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507">
        <v>3</v>
      </c>
      <c r="C87" s="508" t="s">
        <v>33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84">
        <f>F84*1</f>
        <v>3</v>
      </c>
      <c r="G87" s="360">
        <f ca="1">IF(ISERROR(OFFSET('HARGA SATUAN'!$I$6,MATCH(RAB!C87,'HARGA SATUAN'!$C$7:$C$1492,0),0)),0,OFFSET('HARGA SATUAN'!$I$6,MATCH(RAB!C87,'HARGA SATUAN'!$C$7:$C$1492,0),0))</f>
        <v>9500</v>
      </c>
      <c r="H87" s="361">
        <f t="shared" ca="1" si="28"/>
        <v>0</v>
      </c>
      <c r="I87" s="361">
        <f t="shared" ca="1" si="29"/>
        <v>28500</v>
      </c>
      <c r="J87" s="361">
        <f t="shared" ca="1" si="30"/>
        <v>0</v>
      </c>
      <c r="K87" s="362">
        <f t="shared" ca="1" si="31"/>
        <v>28500</v>
      </c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507">
        <v>4</v>
      </c>
      <c r="C88" s="508" t="s">
        <v>737</v>
      </c>
      <c r="D88" s="358" t="str">
        <f ca="1">IF(ISERROR(OFFSET('HARGA SATUAN'!$D$6,MATCH(RAB!C88,'HARGA SATUAN'!$C$7:$C$1492,0),0)),"",OFFSET('HARGA SATUAN'!$D$6,MATCH(RAB!C88,'HARGA SATUAN'!$C$7:$C$1492,0),0))</f>
        <v>JASA</v>
      </c>
      <c r="E88" s="359" t="str">
        <f ca="1">IF(B88="+","Unit",IF(ISERROR(OFFSET('HARGA SATUAN'!$E$6,MATCH(RAB!C88,'HARGA SATUAN'!$C$7:$C$1492,0),0)),"",OFFSET('HARGA SATUAN'!$E$6,MATCH(RAB!C88,'HARGA SATUAN'!$C$7:$C$1492,0),0)))</f>
        <v>Unit</v>
      </c>
      <c r="F88" s="484">
        <f>F84*1</f>
        <v>3</v>
      </c>
      <c r="G88" s="360">
        <f ca="1">IF(ISERROR(OFFSET('HARGA SATUAN'!$I$6,MATCH(RAB!C88,'HARGA SATUAN'!$C$7:$C$1492,0),0)),0,OFFSET('HARGA SATUAN'!$I$6,MATCH(RAB!C88,'HARGA SATUAN'!$C$7:$C$1492,0),0))</f>
        <v>16200</v>
      </c>
      <c r="H88" s="361">
        <f t="shared" ca="1" si="28"/>
        <v>0</v>
      </c>
      <c r="I88" s="361">
        <f t="shared" ca="1" si="29"/>
        <v>0</v>
      </c>
      <c r="J88" s="361">
        <f t="shared" ca="1" si="30"/>
        <v>48600</v>
      </c>
      <c r="K88" s="362">
        <f t="shared" ca="1" si="31"/>
        <v>48600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373"/>
      <c r="C89" s="374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484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28"/>
        <v>0</v>
      </c>
      <c r="I89" s="361">
        <f t="shared" ca="1" si="29"/>
        <v>0</v>
      </c>
      <c r="J89" s="361">
        <f t="shared" ca="1" si="30"/>
        <v>0</v>
      </c>
      <c r="K89" s="362">
        <f t="shared" ca="1" si="31"/>
        <v>0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373"/>
      <c r="C90" s="510" t="s">
        <v>1624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484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28"/>
        <v>0</v>
      </c>
      <c r="I90" s="361">
        <f t="shared" ca="1" si="29"/>
        <v>0</v>
      </c>
      <c r="J90" s="361">
        <f t="shared" ca="1" si="30"/>
        <v>0</v>
      </c>
      <c r="K90" s="362">
        <f t="shared" ca="1" si="31"/>
        <v>0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373">
        <v>1</v>
      </c>
      <c r="C91" s="109" t="s">
        <v>65</v>
      </c>
      <c r="D91" s="358" t="str">
        <f ca="1">IF(ISERROR(OFFSET('HARGA SATUAN'!$D$6,MATCH(RAB!C91,'HARGA SATUAN'!$C$7:$C$1492,0),0)),"",OFFSET('HARGA SATUAN'!$D$6,MATCH(RAB!C91,'HARGA SATUAN'!$C$7:$C$1492,0),0))</f>
        <v>MDU-KD</v>
      </c>
      <c r="E91" s="359" t="str">
        <f ca="1">IF(B91="+","Unit",IF(ISERROR(OFFSET('HARGA SATUAN'!$E$6,MATCH(RAB!C91,'HARGA SATUAN'!$C$7:$C$1492,0),0)),"",OFFSET('HARGA SATUAN'!$E$6,MATCH(RAB!C91,'HARGA SATUAN'!$C$7:$C$1492,0),0)))</f>
        <v>Mtr</v>
      </c>
      <c r="F91" s="484">
        <f>((100*4)+((100*4)*4%))</f>
        <v>416</v>
      </c>
      <c r="G91" s="360">
        <f ca="1">IF(ISERROR(OFFSET('HARGA SATUAN'!$I$6,MATCH(RAB!C91,'HARGA SATUAN'!$C$7:$C$1492,0),0)),0,OFFSET('HARGA SATUAN'!$I$6,MATCH(RAB!C91,'HARGA SATUAN'!$C$7:$C$1492,0),0))</f>
        <v>14200</v>
      </c>
      <c r="H91" s="361">
        <f t="shared" ca="1" si="28"/>
        <v>5907200</v>
      </c>
      <c r="I91" s="361">
        <f t="shared" ca="1" si="29"/>
        <v>0</v>
      </c>
      <c r="J91" s="361">
        <f t="shared" ca="1" si="30"/>
        <v>0</v>
      </c>
      <c r="K91" s="362">
        <f t="shared" ca="1" si="31"/>
        <v>5907200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373">
        <v>2</v>
      </c>
      <c r="C92" s="109" t="s">
        <v>301</v>
      </c>
      <c r="D92" s="358" t="str">
        <f ca="1">IF(ISERROR(OFFSET('HARGA SATUAN'!$D$6,MATCH(RAB!C92,'HARGA SATUAN'!$C$7:$C$1492,0),0)),"",OFFSET('HARGA SATUAN'!$D$6,MATCH(RAB!C92,'HARGA SATUAN'!$C$7:$C$1492,0),0))</f>
        <v>JASA</v>
      </c>
      <c r="E92" s="359" t="str">
        <f ca="1">IF(B92="+","Unit",IF(ISERROR(OFFSET('HARGA SATUAN'!$E$6,MATCH(RAB!C92,'HARGA SATUAN'!$C$7:$C$1492,0),0)),"",OFFSET('HARGA SATUAN'!$E$6,MATCH(RAB!C92,'HARGA SATUAN'!$C$7:$C$1492,0),0)))</f>
        <v>Per 50 m</v>
      </c>
      <c r="F92" s="484">
        <f>F91/200</f>
        <v>2.08</v>
      </c>
      <c r="G92" s="360">
        <f ca="1">IF(ISERROR(OFFSET('HARGA SATUAN'!$I$6,MATCH(RAB!C92,'HARGA SATUAN'!$C$7:$C$1492,0),0)),0,OFFSET('HARGA SATUAN'!$I$6,MATCH(RAB!C92,'HARGA SATUAN'!$C$7:$C$1492,0),0))</f>
        <v>300100</v>
      </c>
      <c r="H92" s="361">
        <f t="shared" ca="1" si="28"/>
        <v>0</v>
      </c>
      <c r="I92" s="361">
        <f t="shared" ca="1" si="29"/>
        <v>0</v>
      </c>
      <c r="J92" s="361">
        <f t="shared" ca="1" si="30"/>
        <v>624208</v>
      </c>
      <c r="K92" s="362">
        <f t="shared" ca="1" si="31"/>
        <v>624208</v>
      </c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373">
        <v>3</v>
      </c>
      <c r="C93" s="109" t="s">
        <v>1157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84">
        <v>4</v>
      </c>
      <c r="G93" s="360">
        <f ca="1">IF(ISERROR(OFFSET('HARGA SATUAN'!$I$6,MATCH(RAB!C93,'HARGA SATUAN'!$C$7:$C$1492,0),0)),0,OFFSET('HARGA SATUAN'!$I$6,MATCH(RAB!C93,'HARGA SATUAN'!$C$7:$C$1492,0),0))</f>
        <v>36500</v>
      </c>
      <c r="H93" s="361">
        <f t="shared" ca="1" si="28"/>
        <v>0</v>
      </c>
      <c r="I93" s="361">
        <f t="shared" ca="1" si="29"/>
        <v>146000</v>
      </c>
      <c r="J93" s="361">
        <f t="shared" ca="1" si="30"/>
        <v>0</v>
      </c>
      <c r="K93" s="362">
        <f t="shared" ca="1" si="31"/>
        <v>146000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373">
        <v>4</v>
      </c>
      <c r="C94" s="197" t="s">
        <v>1099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484">
        <v>4</v>
      </c>
      <c r="G94" s="360">
        <f ca="1">IF(ISERROR(OFFSET('HARGA SATUAN'!$I$6,MATCH(RAB!C94,'HARGA SATUAN'!$C$7:$C$1492,0),0)),0,OFFSET('HARGA SATUAN'!$I$6,MATCH(RAB!C94,'HARGA SATUAN'!$C$7:$C$1492,0),0))</f>
        <v>13770</v>
      </c>
      <c r="H94" s="361">
        <f t="shared" ca="1" si="28"/>
        <v>0</v>
      </c>
      <c r="I94" s="361">
        <f t="shared" ca="1" si="29"/>
        <v>0</v>
      </c>
      <c r="J94" s="361">
        <f t="shared" ca="1" si="30"/>
        <v>55080</v>
      </c>
      <c r="K94" s="362">
        <f t="shared" ca="1" si="31"/>
        <v>55080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373"/>
      <c r="C95" s="374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484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ref="H95:H116" ca="1" si="32">IF(OR(D95="MDU",D95="MDU-KD"),(IF($O$3="RAB NON MDU","PLN KD",G95*F95)),0)</f>
        <v>0</v>
      </c>
      <c r="I95" s="361">
        <f t="shared" ref="I95:I116" ca="1" si="33">IF(D95="HDW",G95*F95,0)</f>
        <v>0</v>
      </c>
      <c r="J95" s="361">
        <f t="shared" ref="J95:J116" ca="1" si="34">IF(D95="JASA",G95*F95,0)</f>
        <v>0</v>
      </c>
      <c r="K95" s="362">
        <f t="shared" ref="K95:K116" ca="1" si="35">SUM(H95:J95)</f>
        <v>0</v>
      </c>
      <c r="L95" s="342"/>
      <c r="M95" s="342"/>
      <c r="N95" s="369"/>
      <c r="O95" s="344"/>
      <c r="P95" s="344"/>
      <c r="Q95" s="398"/>
      <c r="R95" s="344"/>
      <c r="S95" s="398"/>
      <c r="T95" s="399"/>
      <c r="U95" s="399"/>
      <c r="V95" s="399"/>
    </row>
    <row r="96" spans="1:22" s="365" customFormat="1">
      <c r="A96" s="336"/>
      <c r="B96" s="373"/>
      <c r="C96" s="510" t="s">
        <v>1631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484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32"/>
        <v>0</v>
      </c>
      <c r="I96" s="361">
        <f t="shared" ca="1" si="33"/>
        <v>0</v>
      </c>
      <c r="J96" s="361">
        <f t="shared" ca="1" si="34"/>
        <v>0</v>
      </c>
      <c r="K96" s="362">
        <f t="shared" ca="1" si="35"/>
        <v>0</v>
      </c>
      <c r="L96" s="342"/>
      <c r="M96" s="342"/>
      <c r="N96" s="369"/>
      <c r="O96" s="344"/>
      <c r="P96" s="344"/>
      <c r="Q96" s="398"/>
      <c r="R96" s="344"/>
      <c r="S96" s="398"/>
      <c r="T96" s="399"/>
      <c r="U96" s="399"/>
      <c r="V96" s="399"/>
    </row>
    <row r="97" spans="1:22" s="365" customFormat="1">
      <c r="A97" s="336"/>
      <c r="B97" s="373"/>
      <c r="C97" s="374"/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484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32"/>
        <v>0</v>
      </c>
      <c r="I97" s="361">
        <f t="shared" ca="1" si="33"/>
        <v>0</v>
      </c>
      <c r="J97" s="361">
        <f t="shared" ca="1" si="34"/>
        <v>0</v>
      </c>
      <c r="K97" s="362">
        <f t="shared" ca="1" si="35"/>
        <v>0</v>
      </c>
      <c r="L97" s="342"/>
      <c r="M97" s="342"/>
      <c r="N97" s="369"/>
      <c r="O97" s="344"/>
      <c r="P97" s="344"/>
      <c r="Q97" s="398"/>
      <c r="R97" s="344"/>
      <c r="S97" s="398"/>
      <c r="T97" s="399"/>
      <c r="U97" s="399"/>
      <c r="V97" s="399"/>
    </row>
    <row r="98" spans="1:22" s="365" customFormat="1">
      <c r="A98" s="336"/>
      <c r="B98" s="507" t="s">
        <v>1035</v>
      </c>
      <c r="C98" s="508" t="s">
        <v>1632</v>
      </c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>Unit</v>
      </c>
      <c r="F98" s="484">
        <v>3</v>
      </c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ca="1" si="32"/>
        <v>0</v>
      </c>
      <c r="I98" s="361">
        <f t="shared" ca="1" si="33"/>
        <v>0</v>
      </c>
      <c r="J98" s="361">
        <f t="shared" ca="1" si="34"/>
        <v>0</v>
      </c>
      <c r="K98" s="362">
        <f t="shared" ca="1" si="35"/>
        <v>0</v>
      </c>
      <c r="L98" s="342"/>
      <c r="M98" s="342"/>
      <c r="N98" s="369"/>
      <c r="O98" s="344"/>
      <c r="P98" s="344"/>
      <c r="Q98" s="398"/>
      <c r="R98" s="344"/>
      <c r="S98" s="398"/>
      <c r="T98" s="399"/>
      <c r="U98" s="399"/>
      <c r="V98" s="399"/>
    </row>
    <row r="99" spans="1:22" s="365" customFormat="1">
      <c r="A99" s="336"/>
      <c r="B99" s="507">
        <v>1</v>
      </c>
      <c r="C99" s="508" t="s">
        <v>28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84">
        <f>F98*1</f>
        <v>3</v>
      </c>
      <c r="G99" s="360">
        <f ca="1">IF(ISERROR(OFFSET('HARGA SATUAN'!$I$6,MATCH(RAB!C99,'HARGA SATUAN'!$C$7:$C$1492,0),0)),0,OFFSET('HARGA SATUAN'!$I$6,MATCH(RAB!C99,'HARGA SATUAN'!$C$7:$C$1492,0),0))</f>
        <v>26500</v>
      </c>
      <c r="H99" s="361">
        <f t="shared" ca="1" si="32"/>
        <v>0</v>
      </c>
      <c r="I99" s="361">
        <f t="shared" ca="1" si="33"/>
        <v>79500</v>
      </c>
      <c r="J99" s="361">
        <f t="shared" ca="1" si="34"/>
        <v>0</v>
      </c>
      <c r="K99" s="362">
        <f t="shared" ca="1" si="35"/>
        <v>79500</v>
      </c>
      <c r="L99" s="342"/>
      <c r="M99" s="342"/>
      <c r="N99" s="369"/>
      <c r="O99" s="344"/>
      <c r="P99" s="344"/>
      <c r="Q99" s="398"/>
      <c r="R99" s="344"/>
      <c r="S99" s="398"/>
      <c r="T99" s="399"/>
      <c r="U99" s="399"/>
      <c r="V99" s="399"/>
    </row>
    <row r="100" spans="1:22" s="365" customFormat="1">
      <c r="A100" s="336"/>
      <c r="B100" s="507">
        <v>2</v>
      </c>
      <c r="C100" s="508" t="s">
        <v>203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84">
        <f>F98*1</f>
        <v>3</v>
      </c>
      <c r="G100" s="360">
        <f ca="1">IF(ISERROR(OFFSET('HARGA SATUAN'!$I$6,MATCH(RAB!C100,'HARGA SATUAN'!$C$7:$C$1492,0),0)),0,OFFSET('HARGA SATUAN'!$I$6,MATCH(RAB!C100,'HARGA SATUAN'!$C$7:$C$1492,0),0))</f>
        <v>12500</v>
      </c>
      <c r="H100" s="361">
        <f t="shared" ca="1" si="32"/>
        <v>0</v>
      </c>
      <c r="I100" s="361">
        <f t="shared" ca="1" si="33"/>
        <v>37500</v>
      </c>
      <c r="J100" s="361">
        <f t="shared" ca="1" si="34"/>
        <v>0</v>
      </c>
      <c r="K100" s="362">
        <f t="shared" ca="1" si="35"/>
        <v>37500</v>
      </c>
      <c r="L100" s="342"/>
      <c r="M100" s="342"/>
      <c r="N100" s="369"/>
      <c r="O100" s="344"/>
      <c r="P100" s="344"/>
      <c r="Q100" s="398"/>
      <c r="R100" s="344"/>
      <c r="S100" s="398"/>
      <c r="T100" s="399"/>
      <c r="U100" s="399"/>
      <c r="V100" s="399"/>
    </row>
    <row r="101" spans="1:22" s="365" customFormat="1">
      <c r="A101" s="336"/>
      <c r="B101" s="507">
        <v>3</v>
      </c>
      <c r="C101" s="508" t="s">
        <v>206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Mtr</v>
      </c>
      <c r="F101" s="484">
        <f>F98*12</f>
        <v>36</v>
      </c>
      <c r="G101" s="360">
        <f ca="1">IF(ISERROR(OFFSET('HARGA SATUAN'!$I$6,MATCH(RAB!C101,'HARGA SATUAN'!$C$7:$C$1492,0),0)),0,OFFSET('HARGA SATUAN'!$I$6,MATCH(RAB!C101,'HARGA SATUAN'!$C$7:$C$1492,0),0))</f>
        <v>39204</v>
      </c>
      <c r="H101" s="361">
        <f t="shared" ca="1" si="32"/>
        <v>0</v>
      </c>
      <c r="I101" s="361">
        <f t="shared" ca="1" si="33"/>
        <v>1411344</v>
      </c>
      <c r="J101" s="361">
        <f t="shared" ca="1" si="34"/>
        <v>0</v>
      </c>
      <c r="K101" s="362">
        <f t="shared" ca="1" si="35"/>
        <v>1411344</v>
      </c>
      <c r="L101" s="342"/>
      <c r="M101" s="342"/>
      <c r="N101" s="369"/>
      <c r="O101" s="344"/>
      <c r="P101" s="344"/>
      <c r="Q101" s="398"/>
      <c r="R101" s="344"/>
      <c r="S101" s="398"/>
      <c r="T101" s="399"/>
      <c r="U101" s="399"/>
      <c r="V101" s="399"/>
    </row>
    <row r="102" spans="1:22" s="365" customFormat="1">
      <c r="A102" s="336"/>
      <c r="B102" s="507">
        <v>4</v>
      </c>
      <c r="C102" s="508" t="s">
        <v>287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484">
        <f>F98*2</f>
        <v>6</v>
      </c>
      <c r="G102" s="360">
        <f ca="1">IF(ISERROR(OFFSET('HARGA SATUAN'!$I$6,MATCH(RAB!C102,'HARGA SATUAN'!$C$7:$C$1492,0),0)),0,OFFSET('HARGA SATUAN'!$I$6,MATCH(RAB!C102,'HARGA SATUAN'!$C$7:$C$1492,0),0))</f>
        <v>40000</v>
      </c>
      <c r="H102" s="361">
        <f t="shared" ca="1" si="32"/>
        <v>0</v>
      </c>
      <c r="I102" s="361">
        <f t="shared" ca="1" si="33"/>
        <v>240000</v>
      </c>
      <c r="J102" s="361">
        <f t="shared" ca="1" si="34"/>
        <v>0</v>
      </c>
      <c r="K102" s="362">
        <f t="shared" ca="1" si="35"/>
        <v>240000</v>
      </c>
      <c r="L102" s="342"/>
      <c r="M102" s="342"/>
      <c r="N102" s="369"/>
      <c r="O102" s="344"/>
      <c r="P102" s="344"/>
      <c r="Q102" s="398"/>
      <c r="R102" s="344"/>
      <c r="S102" s="398"/>
      <c r="T102" s="399"/>
      <c r="U102" s="399"/>
      <c r="V102" s="399"/>
    </row>
    <row r="103" spans="1:22" s="365" customFormat="1">
      <c r="A103" s="336"/>
      <c r="B103" s="507">
        <v>5</v>
      </c>
      <c r="C103" s="508" t="s">
        <v>26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484">
        <f>F98*1</f>
        <v>3</v>
      </c>
      <c r="G103" s="360">
        <f ca="1">IF(ISERROR(OFFSET('HARGA SATUAN'!$I$6,MATCH(RAB!C103,'HARGA SATUAN'!$C$7:$C$1492,0),0)),0,OFFSET('HARGA SATUAN'!$I$6,MATCH(RAB!C103,'HARGA SATUAN'!$C$7:$C$1492,0),0))</f>
        <v>2500</v>
      </c>
      <c r="H103" s="361">
        <f t="shared" ca="1" si="32"/>
        <v>0</v>
      </c>
      <c r="I103" s="361">
        <f t="shared" ca="1" si="33"/>
        <v>7500</v>
      </c>
      <c r="J103" s="361">
        <f t="shared" ca="1" si="34"/>
        <v>0</v>
      </c>
      <c r="K103" s="362">
        <f t="shared" ca="1" si="35"/>
        <v>7500</v>
      </c>
      <c r="L103" s="342"/>
      <c r="M103" s="342"/>
      <c r="N103" s="369"/>
      <c r="O103" s="344"/>
      <c r="P103" s="344"/>
      <c r="Q103" s="398"/>
      <c r="R103" s="344"/>
      <c r="S103" s="398"/>
      <c r="T103" s="399"/>
      <c r="U103" s="399"/>
      <c r="V103" s="399"/>
    </row>
    <row r="104" spans="1:22" s="365" customFormat="1">
      <c r="A104" s="336"/>
      <c r="B104" s="507">
        <v>6</v>
      </c>
      <c r="C104" s="508" t="s">
        <v>760</v>
      </c>
      <c r="D104" s="358" t="str">
        <f ca="1">IF(ISERROR(OFFSET('HARGA SATUAN'!$D$6,MATCH(RAB!C104,'HARGA SATUAN'!$C$7:$C$1492,0),0)),"",OFFSET('HARGA SATUAN'!$D$6,MATCH(RAB!C104,'HARGA SATUAN'!$C$7:$C$1492,0),0))</f>
        <v>JASA</v>
      </c>
      <c r="E104" s="359" t="str">
        <f ca="1">IF(B104="+","Unit",IF(ISERROR(OFFSET('HARGA SATUAN'!$E$6,MATCH(RAB!C104,'HARGA SATUAN'!$C$7:$C$1492,0),0)),"",OFFSET('HARGA SATUAN'!$E$6,MATCH(RAB!C104,'HARGA SATUAN'!$C$7:$C$1492,0),0)))</f>
        <v>Unit</v>
      </c>
      <c r="F104" s="484">
        <f>F98*1</f>
        <v>3</v>
      </c>
      <c r="G104" s="360">
        <f ca="1">IF(ISERROR(OFFSET('HARGA SATUAN'!$I$6,MATCH(RAB!C104,'HARGA SATUAN'!$C$7:$C$1492,0),0)),0,OFFSET('HARGA SATUAN'!$I$6,MATCH(RAB!C104,'HARGA SATUAN'!$C$7:$C$1492,0),0))</f>
        <v>36600</v>
      </c>
      <c r="H104" s="361">
        <f t="shared" ca="1" si="32"/>
        <v>0</v>
      </c>
      <c r="I104" s="361">
        <f t="shared" ca="1" si="33"/>
        <v>0</v>
      </c>
      <c r="J104" s="361">
        <f t="shared" ca="1" si="34"/>
        <v>109800</v>
      </c>
      <c r="K104" s="362">
        <f t="shared" ca="1" si="35"/>
        <v>109800</v>
      </c>
      <c r="L104" s="342"/>
      <c r="M104" s="342"/>
      <c r="N104" s="369"/>
      <c r="O104" s="344"/>
      <c r="P104" s="344"/>
      <c r="Q104" s="398"/>
      <c r="R104" s="344"/>
      <c r="S104" s="398"/>
      <c r="T104" s="399"/>
      <c r="U104" s="399"/>
      <c r="V104" s="399"/>
    </row>
    <row r="105" spans="1:22" s="365" customFormat="1">
      <c r="A105" s="336"/>
      <c r="B105" s="373"/>
      <c r="C105" s="374"/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/>
      </c>
      <c r="F105" s="484"/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32"/>
        <v>0</v>
      </c>
      <c r="I105" s="361">
        <f t="shared" ca="1" si="33"/>
        <v>0</v>
      </c>
      <c r="J105" s="361">
        <f t="shared" ca="1" si="34"/>
        <v>0</v>
      </c>
      <c r="K105" s="362">
        <f t="shared" ca="1" si="35"/>
        <v>0</v>
      </c>
      <c r="L105" s="342"/>
      <c r="M105" s="342"/>
      <c r="N105" s="369"/>
      <c r="O105" s="344"/>
      <c r="P105" s="344"/>
      <c r="Q105" s="398"/>
      <c r="R105" s="344"/>
      <c r="S105" s="398"/>
      <c r="T105" s="399"/>
      <c r="U105" s="399"/>
      <c r="V105" s="399"/>
    </row>
    <row r="106" spans="1:22" s="365" customFormat="1">
      <c r="A106" s="336"/>
      <c r="B106" s="507" t="s">
        <v>1035</v>
      </c>
      <c r="C106" s="508" t="s">
        <v>1633</v>
      </c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484">
        <f>F98</f>
        <v>3</v>
      </c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ca="1" si="32"/>
        <v>0</v>
      </c>
      <c r="I106" s="361">
        <f t="shared" ca="1" si="33"/>
        <v>0</v>
      </c>
      <c r="J106" s="361">
        <f t="shared" ca="1" si="34"/>
        <v>0</v>
      </c>
      <c r="K106" s="362">
        <f t="shared" ca="1" si="35"/>
        <v>0</v>
      </c>
      <c r="L106" s="342"/>
      <c r="M106" s="342"/>
      <c r="N106" s="369"/>
      <c r="O106" s="344"/>
      <c r="P106" s="344"/>
      <c r="Q106" s="398"/>
      <c r="R106" s="344"/>
      <c r="S106" s="398"/>
      <c r="T106" s="399"/>
      <c r="U106" s="399"/>
      <c r="V106" s="399"/>
    </row>
    <row r="107" spans="1:22" s="365" customFormat="1">
      <c r="A107" s="336"/>
      <c r="B107" s="516">
        <v>1</v>
      </c>
      <c r="C107" s="517" t="s">
        <v>597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84">
        <f>F106*1</f>
        <v>3</v>
      </c>
      <c r="G107" s="360">
        <f ca="1">IF(ISERROR(OFFSET('HARGA SATUAN'!$I$6,MATCH(RAB!C107,'HARGA SATUAN'!$C$7:$C$1492,0),0)),0,OFFSET('HARGA SATUAN'!$I$6,MATCH(RAB!C107,'HARGA SATUAN'!$C$7:$C$1492,0),0))</f>
        <v>120900</v>
      </c>
      <c r="H107" s="361">
        <f t="shared" ca="1" si="32"/>
        <v>0</v>
      </c>
      <c r="I107" s="361">
        <f t="shared" ca="1" si="33"/>
        <v>362700</v>
      </c>
      <c r="J107" s="361">
        <f t="shared" ca="1" si="34"/>
        <v>0</v>
      </c>
      <c r="K107" s="362">
        <f t="shared" ca="1" si="35"/>
        <v>362700</v>
      </c>
      <c r="L107" s="342"/>
      <c r="M107" s="342"/>
      <c r="N107" s="369"/>
      <c r="O107" s="344"/>
      <c r="P107" s="344"/>
      <c r="Q107" s="398"/>
      <c r="R107" s="344"/>
      <c r="S107" s="398"/>
      <c r="T107" s="399"/>
      <c r="U107" s="399"/>
      <c r="V107" s="399"/>
    </row>
    <row r="108" spans="1:22" s="365" customFormat="1">
      <c r="A108" s="336"/>
      <c r="B108" s="511">
        <v>2</v>
      </c>
      <c r="C108" s="514" t="s">
        <v>261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484">
        <f>F106*1</f>
        <v>3</v>
      </c>
      <c r="G108" s="360">
        <f ca="1">IF(ISERROR(OFFSET('HARGA SATUAN'!$I$6,MATCH(RAB!C108,'HARGA SATUAN'!$C$7:$C$1492,0),0)),0,OFFSET('HARGA SATUAN'!$I$6,MATCH(RAB!C108,'HARGA SATUAN'!$C$7:$C$1492,0),0))</f>
        <v>135800</v>
      </c>
      <c r="H108" s="361">
        <f t="shared" ca="1" si="32"/>
        <v>0</v>
      </c>
      <c r="I108" s="361">
        <f t="shared" ca="1" si="33"/>
        <v>407400</v>
      </c>
      <c r="J108" s="361">
        <f t="shared" ca="1" si="34"/>
        <v>0</v>
      </c>
      <c r="K108" s="362">
        <f t="shared" ca="1" si="35"/>
        <v>407400</v>
      </c>
      <c r="L108" s="342"/>
      <c r="M108" s="342"/>
      <c r="N108" s="369"/>
      <c r="O108" s="344"/>
      <c r="P108" s="344"/>
      <c r="Q108" s="398"/>
      <c r="R108" s="344"/>
      <c r="S108" s="398"/>
      <c r="T108" s="399"/>
      <c r="U108" s="399"/>
      <c r="V108" s="399"/>
    </row>
    <row r="109" spans="1:22" s="365" customFormat="1">
      <c r="A109" s="336"/>
      <c r="B109" s="511">
        <v>3</v>
      </c>
      <c r="C109" s="509" t="s">
        <v>214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506">
        <f>F106*1</f>
        <v>3</v>
      </c>
      <c r="G109" s="360">
        <f ca="1">IF(ISERROR(OFFSET('HARGA SATUAN'!$I$6,MATCH(RAB!C109,'HARGA SATUAN'!$C$7:$C$1492,0),0)),0,OFFSET('HARGA SATUAN'!$I$6,MATCH(RAB!C109,'HARGA SATUAN'!$C$7:$C$1492,0),0))</f>
        <v>4500</v>
      </c>
      <c r="H109" s="361">
        <f t="shared" ca="1" si="32"/>
        <v>0</v>
      </c>
      <c r="I109" s="361">
        <f t="shared" ca="1" si="33"/>
        <v>13500</v>
      </c>
      <c r="J109" s="361">
        <f t="shared" ca="1" si="34"/>
        <v>0</v>
      </c>
      <c r="K109" s="362">
        <f t="shared" ca="1" si="35"/>
        <v>13500</v>
      </c>
      <c r="L109" s="342"/>
      <c r="M109" s="342"/>
      <c r="N109" s="369"/>
      <c r="O109" s="344"/>
      <c r="P109" s="344"/>
      <c r="Q109" s="398"/>
      <c r="R109" s="344"/>
      <c r="S109" s="398"/>
      <c r="T109" s="399"/>
      <c r="U109" s="399"/>
      <c r="V109" s="399"/>
    </row>
    <row r="110" spans="1:22" s="365" customFormat="1">
      <c r="A110" s="336"/>
      <c r="B110" s="507">
        <v>4</v>
      </c>
      <c r="C110" s="508" t="s">
        <v>768</v>
      </c>
      <c r="D110" s="358" t="str">
        <f ca="1">IF(ISERROR(OFFSET('HARGA SATUAN'!$D$6,MATCH(RAB!C110,'HARGA SATUAN'!$C$7:$C$1492,0),0)),"",OFFSET('HARGA SATUAN'!$D$6,MATCH(RAB!C110,'HARGA SATUAN'!$C$7:$C$1492,0),0))</f>
        <v>JASA</v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484">
        <f>F106*1</f>
        <v>3</v>
      </c>
      <c r="G110" s="360">
        <f ca="1">IF(ISERROR(OFFSET('HARGA SATUAN'!$I$6,MATCH(RAB!C110,'HARGA SATUAN'!$C$7:$C$1492,0),0)),0,OFFSET('HARGA SATUAN'!$I$6,MATCH(RAB!C110,'HARGA SATUAN'!$C$7:$C$1492,0),0))</f>
        <v>55500</v>
      </c>
      <c r="H110" s="361">
        <f t="shared" ca="1" si="32"/>
        <v>0</v>
      </c>
      <c r="I110" s="361">
        <f t="shared" ca="1" si="33"/>
        <v>0</v>
      </c>
      <c r="J110" s="361">
        <f t="shared" ca="1" si="34"/>
        <v>166500</v>
      </c>
      <c r="K110" s="362">
        <f t="shared" ca="1" si="35"/>
        <v>166500</v>
      </c>
      <c r="L110" s="342"/>
      <c r="M110" s="342"/>
      <c r="N110" s="369"/>
      <c r="O110" s="344"/>
      <c r="P110" s="344"/>
      <c r="Q110" s="398"/>
      <c r="R110" s="344"/>
      <c r="S110" s="398"/>
      <c r="T110" s="399"/>
      <c r="U110" s="399"/>
      <c r="V110" s="399"/>
    </row>
    <row r="111" spans="1:22" s="365" customFormat="1">
      <c r="A111" s="336"/>
      <c r="B111" s="507"/>
      <c r="C111" s="508"/>
      <c r="D111" s="358"/>
      <c r="E111" s="359"/>
      <c r="F111" s="484"/>
      <c r="G111" s="360"/>
      <c r="H111" s="361"/>
      <c r="I111" s="361"/>
      <c r="J111" s="361"/>
      <c r="K111" s="362"/>
      <c r="L111" s="342"/>
      <c r="M111" s="342"/>
      <c r="N111" s="369"/>
      <c r="O111" s="344"/>
      <c r="P111" s="344"/>
      <c r="Q111" s="398"/>
      <c r="R111" s="344"/>
      <c r="S111" s="398"/>
      <c r="T111" s="399"/>
      <c r="U111" s="399"/>
      <c r="V111" s="399"/>
    </row>
    <row r="112" spans="1:22" s="365" customFormat="1">
      <c r="A112" s="336"/>
      <c r="B112" s="507" t="s">
        <v>1035</v>
      </c>
      <c r="C112" s="508" t="s">
        <v>1634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484">
        <f>F98</f>
        <v>3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32"/>
        <v>0</v>
      </c>
      <c r="I112" s="361">
        <f t="shared" ca="1" si="33"/>
        <v>0</v>
      </c>
      <c r="J112" s="361">
        <f t="shared" ca="1" si="34"/>
        <v>0</v>
      </c>
      <c r="K112" s="362">
        <f t="shared" ca="1" si="35"/>
        <v>0</v>
      </c>
      <c r="L112" s="342"/>
      <c r="M112" s="342"/>
      <c r="N112" s="369"/>
      <c r="O112" s="344"/>
      <c r="P112" s="344"/>
      <c r="Q112" s="398"/>
      <c r="R112" s="344"/>
      <c r="S112" s="398"/>
      <c r="T112" s="399"/>
      <c r="U112" s="399"/>
      <c r="V112" s="399"/>
    </row>
    <row r="113" spans="1:22" s="365" customFormat="1">
      <c r="A113" s="336"/>
      <c r="B113" s="507">
        <v>1</v>
      </c>
      <c r="C113" s="508" t="s">
        <v>30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484">
        <f>F112*1</f>
        <v>3</v>
      </c>
      <c r="G113" s="360">
        <f ca="1">IF(ISERROR(OFFSET('HARGA SATUAN'!$I$6,MATCH(RAB!C113,'HARGA SATUAN'!$C$7:$C$1492,0),0)),0,OFFSET('HARGA SATUAN'!$I$6,MATCH(RAB!C113,'HARGA SATUAN'!$C$7:$C$1492,0),0))</f>
        <v>47459</v>
      </c>
      <c r="H113" s="361">
        <f t="shared" ca="1" si="32"/>
        <v>0</v>
      </c>
      <c r="I113" s="361">
        <f t="shared" ca="1" si="33"/>
        <v>142377</v>
      </c>
      <c r="J113" s="361">
        <f t="shared" ca="1" si="34"/>
        <v>0</v>
      </c>
      <c r="K113" s="362">
        <f t="shared" ca="1" si="35"/>
        <v>142377</v>
      </c>
      <c r="L113" s="342"/>
      <c r="M113" s="342"/>
      <c r="N113" s="369"/>
      <c r="O113" s="344"/>
      <c r="P113" s="344"/>
      <c r="Q113" s="398"/>
      <c r="R113" s="344"/>
      <c r="S113" s="398"/>
      <c r="T113" s="399"/>
      <c r="U113" s="399"/>
      <c r="V113" s="399"/>
    </row>
    <row r="114" spans="1:22" s="365" customFormat="1">
      <c r="A114" s="336"/>
      <c r="B114" s="507">
        <v>2</v>
      </c>
      <c r="C114" s="508" t="s">
        <v>32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Mtr</v>
      </c>
      <c r="F114" s="484">
        <f>F112*1</f>
        <v>3</v>
      </c>
      <c r="G114" s="360">
        <f ca="1">IF(ISERROR(OFFSET('HARGA SATUAN'!$I$6,MATCH(RAB!C114,'HARGA SATUAN'!$C$7:$C$1492,0),0)),0,OFFSET('HARGA SATUAN'!$I$6,MATCH(RAB!C114,'HARGA SATUAN'!$C$7:$C$1492,0),0))</f>
        <v>30000</v>
      </c>
      <c r="H114" s="361">
        <f t="shared" ca="1" si="32"/>
        <v>0</v>
      </c>
      <c r="I114" s="361">
        <f t="shared" ca="1" si="33"/>
        <v>90000</v>
      </c>
      <c r="J114" s="361">
        <f t="shared" ca="1" si="34"/>
        <v>0</v>
      </c>
      <c r="K114" s="362">
        <f t="shared" ca="1" si="35"/>
        <v>90000</v>
      </c>
      <c r="L114" s="342"/>
      <c r="M114" s="342"/>
      <c r="N114" s="369"/>
      <c r="O114" s="344"/>
      <c r="P114" s="344"/>
      <c r="Q114" s="398"/>
      <c r="R114" s="344"/>
      <c r="S114" s="398"/>
      <c r="T114" s="399"/>
      <c r="U114" s="399"/>
      <c r="V114" s="399"/>
    </row>
    <row r="115" spans="1:22" s="365" customFormat="1">
      <c r="A115" s="336"/>
      <c r="B115" s="507">
        <v>3</v>
      </c>
      <c r="C115" s="508" t="s">
        <v>33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484">
        <f>F112*1</f>
        <v>3</v>
      </c>
      <c r="G115" s="360">
        <f ca="1">IF(ISERROR(OFFSET('HARGA SATUAN'!$I$6,MATCH(RAB!C115,'HARGA SATUAN'!$C$7:$C$1492,0),0)),0,OFFSET('HARGA SATUAN'!$I$6,MATCH(RAB!C115,'HARGA SATUAN'!$C$7:$C$1492,0),0))</f>
        <v>9500</v>
      </c>
      <c r="H115" s="361">
        <f t="shared" ca="1" si="32"/>
        <v>0</v>
      </c>
      <c r="I115" s="361">
        <f t="shared" ca="1" si="33"/>
        <v>28500</v>
      </c>
      <c r="J115" s="361">
        <f t="shared" ca="1" si="34"/>
        <v>0</v>
      </c>
      <c r="K115" s="362">
        <f t="shared" ca="1" si="35"/>
        <v>28500</v>
      </c>
      <c r="L115" s="342"/>
      <c r="M115" s="342"/>
      <c r="N115" s="369"/>
      <c r="O115" s="344"/>
      <c r="P115" s="344"/>
      <c r="Q115" s="398"/>
      <c r="R115" s="344"/>
      <c r="S115" s="398"/>
      <c r="T115" s="399"/>
      <c r="U115" s="399"/>
      <c r="V115" s="399"/>
    </row>
    <row r="116" spans="1:22" s="365" customFormat="1">
      <c r="A116" s="336"/>
      <c r="B116" s="507">
        <v>4</v>
      </c>
      <c r="C116" s="508" t="s">
        <v>738</v>
      </c>
      <c r="D116" s="358" t="str">
        <f ca="1">IF(ISERROR(OFFSET('HARGA SATUAN'!$D$6,MATCH(RAB!C116,'HARGA SATUAN'!$C$7:$C$1492,0),0)),"",OFFSET('HARGA SATUAN'!$D$6,MATCH(RAB!C116,'HARGA SATUAN'!$C$7:$C$1492,0),0))</f>
        <v>JASA</v>
      </c>
      <c r="E116" s="359" t="str">
        <f ca="1">IF(B116="+","Unit",IF(ISERROR(OFFSET('HARGA SATUAN'!$E$6,MATCH(RAB!C116,'HARGA SATUAN'!$C$7:$C$1492,0),0)),"",OFFSET('HARGA SATUAN'!$E$6,MATCH(RAB!C116,'HARGA SATUAN'!$C$7:$C$1492,0),0)))</f>
        <v>Unit</v>
      </c>
      <c r="F116" s="484">
        <f>F112*1</f>
        <v>3</v>
      </c>
      <c r="G116" s="360">
        <f ca="1">IF(ISERROR(OFFSET('HARGA SATUAN'!$I$6,MATCH(RAB!C116,'HARGA SATUAN'!$C$7:$C$1492,0),0)),0,OFFSET('HARGA SATUAN'!$I$6,MATCH(RAB!C116,'HARGA SATUAN'!$C$7:$C$1492,0),0))</f>
        <v>21200</v>
      </c>
      <c r="H116" s="361">
        <f t="shared" ca="1" si="32"/>
        <v>0</v>
      </c>
      <c r="I116" s="361">
        <f t="shared" ca="1" si="33"/>
        <v>0</v>
      </c>
      <c r="J116" s="361">
        <f t="shared" ca="1" si="34"/>
        <v>63600</v>
      </c>
      <c r="K116" s="362">
        <f t="shared" ca="1" si="35"/>
        <v>63600</v>
      </c>
      <c r="L116" s="342"/>
      <c r="M116" s="342"/>
      <c r="N116" s="369"/>
      <c r="O116" s="344"/>
      <c r="P116" s="344"/>
      <c r="Q116" s="398"/>
      <c r="R116" s="344"/>
      <c r="S116" s="398"/>
      <c r="T116" s="399"/>
      <c r="U116" s="399"/>
      <c r="V116" s="399"/>
    </row>
    <row r="117" spans="1:22" s="365" customFormat="1">
      <c r="A117" s="336"/>
      <c r="B117" s="507"/>
      <c r="C117" s="508"/>
      <c r="D117" s="358" t="str">
        <f ca="1">IF(ISERROR(OFFSET('HARGA SATUAN'!$D$6,MATCH(RAB!C117,'HARGA SATUAN'!$C$7:$C$1492,0),0)),"",OFFSET('HARGA SATUAN'!$D$6,MATCH(RAB!C117,'HARGA SATUAN'!$C$7:$C$1492,0),0))</f>
        <v/>
      </c>
      <c r="E117" s="359" t="str">
        <f ca="1">IF(B117="+","Unit",IF(ISERROR(OFFSET('HARGA SATUAN'!$E$6,MATCH(RAB!C117,'HARGA SATUAN'!$C$7:$C$1492,0),0)),"",OFFSET('HARGA SATUAN'!$E$6,MATCH(RAB!C117,'HARGA SATUAN'!$C$7:$C$1492,0),0)))</f>
        <v/>
      </c>
      <c r="F117" s="484"/>
      <c r="G117" s="360">
        <f ca="1">IF(ISERROR(OFFSET('HARGA SATUAN'!$I$6,MATCH(RAB!C117,'HARGA SATUAN'!$C$7:$C$1492,0),0)),0,OFFSET('HARGA SATUAN'!$I$6,MATCH(RAB!C117,'HARGA SATUAN'!$C$7:$C$1492,0),0))</f>
        <v>0</v>
      </c>
      <c r="H117" s="361">
        <f t="shared" ref="H117:H128" ca="1" si="36">IF(OR(D117="MDU",D117="MDU-KD"),(IF($O$3="RAB NON MDU","PLN KD",G117*F117)),0)</f>
        <v>0</v>
      </c>
      <c r="I117" s="361">
        <f t="shared" ref="I117:I128" ca="1" si="37">IF(D117="HDW",G117*F117,0)</f>
        <v>0</v>
      </c>
      <c r="J117" s="361">
        <f t="shared" ref="J117:J128" ca="1" si="38">IF(D117="JASA",G117*F117,0)</f>
        <v>0</v>
      </c>
      <c r="K117" s="362">
        <f t="shared" ref="K117:K128" ca="1" si="39">SUM(H117:J117)</f>
        <v>0</v>
      </c>
      <c r="L117" s="342"/>
      <c r="M117" s="342"/>
      <c r="N117" s="369"/>
      <c r="O117" s="344"/>
      <c r="P117" s="344"/>
      <c r="Q117" s="398"/>
      <c r="R117" s="344"/>
      <c r="S117" s="398"/>
      <c r="T117" s="399"/>
      <c r="U117" s="399"/>
      <c r="V117" s="399"/>
    </row>
    <row r="118" spans="1:22" s="365" customFormat="1">
      <c r="A118" s="336"/>
      <c r="B118" s="507"/>
      <c r="C118" s="510" t="s">
        <v>1635</v>
      </c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/>
      </c>
      <c r="F118" s="484"/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ca="1" si="36"/>
        <v>0</v>
      </c>
      <c r="I118" s="361">
        <f t="shared" ca="1" si="37"/>
        <v>0</v>
      </c>
      <c r="J118" s="361">
        <f t="shared" ca="1" si="38"/>
        <v>0</v>
      </c>
      <c r="K118" s="362">
        <f t="shared" ca="1" si="39"/>
        <v>0</v>
      </c>
      <c r="L118" s="342"/>
      <c r="M118" s="342"/>
      <c r="N118" s="369"/>
      <c r="O118" s="344"/>
      <c r="P118" s="344"/>
      <c r="Q118" s="398"/>
      <c r="R118" s="344"/>
      <c r="S118" s="398"/>
      <c r="T118" s="399"/>
      <c r="U118" s="399"/>
      <c r="V118" s="399"/>
    </row>
    <row r="119" spans="1:22" s="365" customFormat="1">
      <c r="A119" s="336"/>
      <c r="B119" s="507"/>
      <c r="C119" s="508"/>
      <c r="D119" s="358" t="str">
        <f ca="1">IF(ISERROR(OFFSET('HARGA SATUAN'!$D$6,MATCH(RAB!C119,'HARGA SATUAN'!$C$7:$C$1492,0),0)),"",OFFSET('HARGA SATUAN'!$D$6,MATCH(RAB!C119,'HARGA SATUAN'!$C$7:$C$1492,0),0))</f>
        <v/>
      </c>
      <c r="E119" s="359" t="str">
        <f ca="1">IF(B119="+","Unit",IF(ISERROR(OFFSET('HARGA SATUAN'!$E$6,MATCH(RAB!C119,'HARGA SATUAN'!$C$7:$C$1492,0),0)),"",OFFSET('HARGA SATUAN'!$E$6,MATCH(RAB!C119,'HARGA SATUAN'!$C$7:$C$1492,0),0)))</f>
        <v/>
      </c>
      <c r="F119" s="484"/>
      <c r="G119" s="360">
        <f ca="1">IF(ISERROR(OFFSET('HARGA SATUAN'!$I$6,MATCH(RAB!C119,'HARGA SATUAN'!$C$7:$C$1492,0),0)),0,OFFSET('HARGA SATUAN'!$I$6,MATCH(RAB!C119,'HARGA SATUAN'!$C$7:$C$1492,0),0))</f>
        <v>0</v>
      </c>
      <c r="H119" s="361">
        <f t="shared" ca="1" si="36"/>
        <v>0</v>
      </c>
      <c r="I119" s="361">
        <f t="shared" ca="1" si="37"/>
        <v>0</v>
      </c>
      <c r="J119" s="361">
        <f t="shared" ca="1" si="38"/>
        <v>0</v>
      </c>
      <c r="K119" s="362">
        <f t="shared" ca="1" si="39"/>
        <v>0</v>
      </c>
      <c r="L119" s="342"/>
      <c r="M119" s="342"/>
      <c r="N119" s="369"/>
      <c r="O119" s="344"/>
      <c r="P119" s="344"/>
      <c r="Q119" s="398"/>
      <c r="R119" s="344"/>
      <c r="S119" s="398"/>
      <c r="T119" s="399"/>
      <c r="U119" s="399"/>
      <c r="V119" s="399"/>
    </row>
    <row r="120" spans="1:22" s="365" customFormat="1">
      <c r="A120" s="336"/>
      <c r="B120" s="520" t="s">
        <v>1035</v>
      </c>
      <c r="C120" s="521" t="s">
        <v>1636</v>
      </c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>Unit</v>
      </c>
      <c r="F120" s="522">
        <v>2</v>
      </c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36"/>
        <v>0</v>
      </c>
      <c r="I120" s="361">
        <f t="shared" ca="1" si="37"/>
        <v>0</v>
      </c>
      <c r="J120" s="361">
        <f t="shared" ca="1" si="38"/>
        <v>0</v>
      </c>
      <c r="K120" s="362">
        <f t="shared" ca="1" si="39"/>
        <v>0</v>
      </c>
      <c r="L120" s="342"/>
      <c r="M120" s="342"/>
      <c r="N120" s="369"/>
      <c r="O120" s="344"/>
      <c r="P120" s="344"/>
      <c r="Q120" s="398"/>
      <c r="R120" s="344"/>
      <c r="S120" s="398"/>
      <c r="T120" s="399"/>
      <c r="U120" s="399"/>
      <c r="V120" s="399"/>
    </row>
    <row r="121" spans="1:22" s="365" customFormat="1">
      <c r="A121" s="336"/>
      <c r="B121" s="520">
        <v>1</v>
      </c>
      <c r="C121" s="109" t="s">
        <v>1129</v>
      </c>
      <c r="D121" s="358" t="str">
        <f ca="1">IF(ISERROR(OFFSET('HARGA SATUAN'!$D$6,MATCH(RAB!C121,'HARGA SATUAN'!$C$7:$C$1492,0),0)),"",OFFSET('HARGA SATUAN'!$D$6,MATCH(RAB!C121,'HARGA SATUAN'!$C$7:$C$1492,0),0))</f>
        <v>MDU-KD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522">
        <f>F120*1</f>
        <v>2</v>
      </c>
      <c r="G121" s="360">
        <f ca="1">IF(ISERROR(OFFSET('HARGA SATUAN'!$I$6,MATCH(RAB!C121,'HARGA SATUAN'!$C$7:$C$1492,0),0)),0,OFFSET('HARGA SATUAN'!$I$6,MATCH(RAB!C121,'HARGA SATUAN'!$C$7:$C$1492,0),0))</f>
        <v>176900</v>
      </c>
      <c r="H121" s="361">
        <f t="shared" ca="1" si="36"/>
        <v>353800</v>
      </c>
      <c r="I121" s="361">
        <f t="shared" ca="1" si="37"/>
        <v>0</v>
      </c>
      <c r="J121" s="361">
        <f t="shared" ca="1" si="38"/>
        <v>0</v>
      </c>
      <c r="K121" s="362">
        <f t="shared" ca="1" si="39"/>
        <v>353800</v>
      </c>
      <c r="L121" s="342"/>
      <c r="M121" s="342"/>
      <c r="N121" s="369"/>
      <c r="O121" s="344"/>
      <c r="P121" s="344"/>
      <c r="Q121" s="398"/>
      <c r="R121" s="344"/>
      <c r="S121" s="398"/>
      <c r="T121" s="399"/>
      <c r="U121" s="399"/>
      <c r="V121" s="399"/>
    </row>
    <row r="122" spans="1:22" s="365" customFormat="1">
      <c r="A122" s="336"/>
      <c r="B122" s="520">
        <v>2</v>
      </c>
      <c r="C122" s="521" t="s">
        <v>26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522">
        <f>F120*2</f>
        <v>4</v>
      </c>
      <c r="G122" s="360">
        <f ca="1">IF(ISERROR(OFFSET('HARGA SATUAN'!$I$6,MATCH(RAB!C122,'HARGA SATUAN'!$C$7:$C$1492,0),0)),0,OFFSET('HARGA SATUAN'!$I$6,MATCH(RAB!C122,'HARGA SATUAN'!$C$7:$C$1492,0),0))</f>
        <v>2500</v>
      </c>
      <c r="H122" s="361">
        <f t="shared" ca="1" si="36"/>
        <v>0</v>
      </c>
      <c r="I122" s="361">
        <f t="shared" ca="1" si="37"/>
        <v>10000</v>
      </c>
      <c r="J122" s="361">
        <f t="shared" ca="1" si="38"/>
        <v>0</v>
      </c>
      <c r="K122" s="362">
        <f t="shared" ca="1" si="39"/>
        <v>10000</v>
      </c>
      <c r="L122" s="342"/>
      <c r="M122" s="342"/>
      <c r="N122" s="369"/>
      <c r="O122" s="344"/>
      <c r="P122" s="344"/>
      <c r="Q122" s="398"/>
      <c r="R122" s="344"/>
      <c r="S122" s="398"/>
      <c r="T122" s="399"/>
      <c r="U122" s="399"/>
      <c r="V122" s="399"/>
    </row>
    <row r="123" spans="1:22" s="365" customFormat="1">
      <c r="A123" s="336"/>
      <c r="B123" s="520">
        <v>3</v>
      </c>
      <c r="C123" s="521" t="s">
        <v>38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Mtr</v>
      </c>
      <c r="F123" s="522">
        <f>F121*1.8</f>
        <v>3.6</v>
      </c>
      <c r="G123" s="360">
        <f ca="1">IF(ISERROR(OFFSET('HARGA SATUAN'!$I$6,MATCH(RAB!C123,'HARGA SATUAN'!$C$7:$C$1492,0),0)),0,OFFSET('HARGA SATUAN'!$I$6,MATCH(RAB!C123,'HARGA SATUAN'!$C$7:$C$1492,0),0))</f>
        <v>8550</v>
      </c>
      <c r="H123" s="361">
        <f t="shared" ca="1" si="36"/>
        <v>0</v>
      </c>
      <c r="I123" s="361">
        <f t="shared" ca="1" si="37"/>
        <v>30780</v>
      </c>
      <c r="J123" s="361">
        <f t="shared" ca="1" si="38"/>
        <v>0</v>
      </c>
      <c r="K123" s="362">
        <f t="shared" ca="1" si="39"/>
        <v>30780</v>
      </c>
      <c r="L123" s="342"/>
      <c r="M123" s="342"/>
      <c r="N123" s="369"/>
      <c r="O123" s="344"/>
      <c r="P123" s="344"/>
      <c r="Q123" s="398"/>
      <c r="R123" s="344"/>
      <c r="S123" s="398"/>
      <c r="T123" s="399"/>
      <c r="U123" s="399"/>
      <c r="V123" s="399"/>
    </row>
    <row r="124" spans="1:22" s="365" customFormat="1">
      <c r="A124" s="336"/>
      <c r="B124" s="520">
        <v>4</v>
      </c>
      <c r="C124" s="521" t="s">
        <v>744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522">
        <f>F120*1</f>
        <v>2</v>
      </c>
      <c r="G124" s="360">
        <f ca="1">IF(ISERROR(OFFSET('HARGA SATUAN'!$I$6,MATCH(RAB!C124,'HARGA SATUAN'!$C$7:$C$1492,0),0)),0,OFFSET('HARGA SATUAN'!$I$6,MATCH(RAB!C124,'HARGA SATUAN'!$C$7:$C$1492,0),0))</f>
        <v>31200</v>
      </c>
      <c r="H124" s="361">
        <f t="shared" ca="1" si="36"/>
        <v>0</v>
      </c>
      <c r="I124" s="361">
        <f t="shared" ca="1" si="37"/>
        <v>0</v>
      </c>
      <c r="J124" s="361">
        <f t="shared" ca="1" si="38"/>
        <v>62400</v>
      </c>
      <c r="K124" s="362">
        <f t="shared" ca="1" si="39"/>
        <v>62400</v>
      </c>
      <c r="L124" s="342"/>
      <c r="M124" s="342"/>
      <c r="N124" s="369"/>
      <c r="O124" s="344"/>
      <c r="P124" s="344"/>
      <c r="Q124" s="398"/>
      <c r="R124" s="344"/>
      <c r="S124" s="398"/>
      <c r="T124" s="399"/>
      <c r="U124" s="399"/>
      <c r="V124" s="399"/>
    </row>
    <row r="125" spans="1:22" s="365" customFormat="1">
      <c r="A125" s="336"/>
      <c r="B125" s="507"/>
      <c r="C125" s="508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484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ca="1" si="36"/>
        <v>0</v>
      </c>
      <c r="I125" s="361">
        <f t="shared" ca="1" si="37"/>
        <v>0</v>
      </c>
      <c r="J125" s="361">
        <f t="shared" ca="1" si="38"/>
        <v>0</v>
      </c>
      <c r="K125" s="362">
        <f t="shared" ca="1" si="39"/>
        <v>0</v>
      </c>
      <c r="L125" s="342"/>
      <c r="M125" s="342"/>
      <c r="N125" s="369"/>
      <c r="O125" s="344"/>
      <c r="P125" s="344"/>
      <c r="Q125" s="398"/>
      <c r="R125" s="344"/>
      <c r="S125" s="398"/>
      <c r="T125" s="399"/>
      <c r="U125" s="399"/>
      <c r="V125" s="399"/>
    </row>
    <row r="126" spans="1:22" s="365" customFormat="1">
      <c r="A126" s="336"/>
      <c r="B126" s="373" t="s">
        <v>1549</v>
      </c>
      <c r="C126" s="374" t="s">
        <v>1619</v>
      </c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/>
      </c>
      <c r="F126" s="484"/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ca="1" si="36"/>
        <v>0</v>
      </c>
      <c r="I126" s="361">
        <f t="shared" ca="1" si="37"/>
        <v>0</v>
      </c>
      <c r="J126" s="361">
        <f t="shared" ca="1" si="38"/>
        <v>0</v>
      </c>
      <c r="K126" s="362">
        <f t="shared" ca="1" si="39"/>
        <v>0</v>
      </c>
      <c r="L126" s="342"/>
      <c r="M126" s="342"/>
      <c r="N126" s="369"/>
      <c r="O126" s="344"/>
      <c r="P126" s="344"/>
      <c r="Q126" s="398"/>
      <c r="R126" s="344"/>
      <c r="S126" s="398"/>
      <c r="T126" s="399"/>
      <c r="U126" s="399"/>
      <c r="V126" s="399"/>
    </row>
    <row r="127" spans="1:22" s="365" customFormat="1">
      <c r="A127" s="336"/>
      <c r="B127" s="373"/>
      <c r="C127" s="374"/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484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ca="1" si="36"/>
        <v>0</v>
      </c>
      <c r="I127" s="361">
        <f t="shared" ca="1" si="37"/>
        <v>0</v>
      </c>
      <c r="J127" s="361">
        <f t="shared" ca="1" si="38"/>
        <v>0</v>
      </c>
      <c r="K127" s="362">
        <f t="shared" ca="1" si="39"/>
        <v>0</v>
      </c>
      <c r="L127" s="342"/>
      <c r="M127" s="342"/>
      <c r="N127" s="369"/>
      <c r="O127" s="344"/>
      <c r="P127" s="344"/>
      <c r="Q127" s="398"/>
      <c r="R127" s="344"/>
      <c r="S127" s="398"/>
      <c r="T127" s="399"/>
      <c r="U127" s="399"/>
      <c r="V127" s="399"/>
    </row>
    <row r="128" spans="1:22" s="365" customFormat="1">
      <c r="A128" s="336"/>
      <c r="B128" s="518" t="s">
        <v>1035</v>
      </c>
      <c r="C128" s="726" t="s">
        <v>1645</v>
      </c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>Unit</v>
      </c>
      <c r="F128" s="484">
        <v>1</v>
      </c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ca="1" si="36"/>
        <v>0</v>
      </c>
      <c r="I128" s="361">
        <f t="shared" ca="1" si="37"/>
        <v>0</v>
      </c>
      <c r="J128" s="361">
        <f t="shared" ca="1" si="38"/>
        <v>0</v>
      </c>
      <c r="K128" s="362">
        <f t="shared" ca="1" si="39"/>
        <v>0</v>
      </c>
      <c r="L128" s="342"/>
      <c r="M128" s="342"/>
      <c r="N128" s="369"/>
      <c r="O128" s="344"/>
      <c r="P128" s="344"/>
      <c r="Q128" s="344"/>
      <c r="R128" s="344"/>
      <c r="S128" s="344"/>
      <c r="T128" s="403"/>
      <c r="U128" s="403"/>
      <c r="V128" s="403"/>
    </row>
    <row r="129" spans="1:22" s="365" customFormat="1">
      <c r="A129" s="336"/>
      <c r="B129" s="518">
        <v>1</v>
      </c>
      <c r="C129" s="109" t="s">
        <v>1148</v>
      </c>
      <c r="D129" s="358" t="str">
        <f ca="1">IF(ISERROR(OFFSET('HARGA SATUAN'!$D$6,MATCH(RAB!C129,'HARGA SATUAN'!$C$7:$C$1492,0),0)),"",OFFSET('HARGA SATUAN'!$D$6,MATCH(RAB!C129,'HARGA SATUAN'!$C$7:$C$1492,0),0))</f>
        <v>MDU-KD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484">
        <f>F128*1</f>
        <v>1</v>
      </c>
      <c r="G129" s="360">
        <f ca="1">IF(ISERROR(OFFSET('HARGA SATUAN'!$I$6,MATCH(RAB!C129,'HARGA SATUAN'!$C$7:$C$1492,0),0)),0,OFFSET('HARGA SATUAN'!$I$6,MATCH(RAB!C129,'HARGA SATUAN'!$C$7:$C$1492,0),0))</f>
        <v>77674900</v>
      </c>
      <c r="H129" s="361">
        <f t="shared" ref="H129:H186" ca="1" si="40">IF(OR(D129="MDU",D129="MDU-KD"),(IF($O$3="RAB NON MDU","PLN KD",G129*F129)),0)</f>
        <v>77674900</v>
      </c>
      <c r="I129" s="361">
        <f t="shared" ref="I129:I186" ca="1" si="41">IF(D129="HDW",G129*F129,0)</f>
        <v>0</v>
      </c>
      <c r="J129" s="361">
        <f t="shared" ref="J129:J186" ca="1" si="42">IF(D129="JASA",G129*F129,0)</f>
        <v>0</v>
      </c>
      <c r="K129" s="362">
        <f t="shared" ref="K129:K186" ca="1" si="43">SUM(H129:J129)</f>
        <v>77674900</v>
      </c>
      <c r="L129" s="342"/>
      <c r="M129" s="342"/>
      <c r="N129" s="369"/>
      <c r="O129" s="344"/>
      <c r="P129" s="344"/>
      <c r="Q129" s="344"/>
      <c r="R129" s="344"/>
      <c r="S129" s="344"/>
      <c r="T129" s="399"/>
      <c r="U129" s="399"/>
      <c r="V129" s="399"/>
    </row>
    <row r="130" spans="1:22" s="365" customFormat="1">
      <c r="A130" s="336"/>
      <c r="B130" s="511">
        <v>2</v>
      </c>
      <c r="C130" s="512" t="s">
        <v>1626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513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40"/>
        <v>0</v>
      </c>
      <c r="I130" s="361">
        <f t="shared" ca="1" si="41"/>
        <v>0</v>
      </c>
      <c r="J130" s="361">
        <f t="shared" ca="1" si="42"/>
        <v>0</v>
      </c>
      <c r="K130" s="362">
        <f t="shared" ca="1" si="43"/>
        <v>0</v>
      </c>
      <c r="L130" s="342"/>
      <c r="M130" s="342"/>
      <c r="N130" s="369"/>
      <c r="O130" s="344"/>
      <c r="P130" s="344"/>
      <c r="Q130" s="344"/>
      <c r="R130" s="344"/>
      <c r="S130" s="344"/>
      <c r="T130" s="399"/>
      <c r="U130" s="399"/>
      <c r="V130" s="399"/>
    </row>
    <row r="131" spans="1:22" s="365" customFormat="1">
      <c r="A131" s="336"/>
      <c r="B131" s="518"/>
      <c r="C131" s="512" t="s">
        <v>65</v>
      </c>
      <c r="D131" s="358" t="str">
        <f ca="1">IF(ISERROR(OFFSET('HARGA SATUAN'!$D$6,MATCH(RAB!C131,'HARGA SATUAN'!$C$7:$C$1492,0),0)),"",OFFSET('HARGA SATUAN'!$D$6,MATCH(RAB!C131,'HARGA SATUAN'!$C$7:$C$1492,0),0))</f>
        <v>MDU-KD</v>
      </c>
      <c r="E131" s="359" t="str">
        <f ca="1">IF(B131="+","Unit",IF(ISERROR(OFFSET('HARGA SATUAN'!$E$6,MATCH(RAB!C131,'HARGA SATUAN'!$C$7:$C$1492,0),0)),"",OFFSET('HARGA SATUAN'!$E$6,MATCH(RAB!C131,'HARGA SATUAN'!$C$7:$C$1492,0),0)))</f>
        <v>Mtr</v>
      </c>
      <c r="F131" s="484">
        <f>F128*(3*3)</f>
        <v>9</v>
      </c>
      <c r="G131" s="360">
        <f ca="1">IF(ISERROR(OFFSET('HARGA SATUAN'!$I$6,MATCH(RAB!C131,'HARGA SATUAN'!$C$7:$C$1492,0),0)),0,OFFSET('HARGA SATUAN'!$I$6,MATCH(RAB!C131,'HARGA SATUAN'!$C$7:$C$1492,0),0))</f>
        <v>14200</v>
      </c>
      <c r="H131" s="361">
        <f t="shared" ca="1" si="40"/>
        <v>127800</v>
      </c>
      <c r="I131" s="361">
        <f t="shared" ca="1" si="41"/>
        <v>0</v>
      </c>
      <c r="J131" s="361">
        <f t="shared" ca="1" si="42"/>
        <v>0</v>
      </c>
      <c r="K131" s="362">
        <f t="shared" ca="1" si="43"/>
        <v>127800</v>
      </c>
      <c r="L131" s="342"/>
      <c r="M131" s="342"/>
      <c r="N131" s="369"/>
      <c r="O131" s="344"/>
      <c r="P131" s="344"/>
      <c r="Q131" s="344"/>
      <c r="R131" s="344"/>
      <c r="S131" s="344"/>
      <c r="T131" s="403"/>
      <c r="U131" s="403"/>
      <c r="V131" s="403"/>
    </row>
    <row r="132" spans="1:22" s="365" customFormat="1">
      <c r="A132" s="336"/>
      <c r="B132" s="518"/>
      <c r="C132" s="109" t="s">
        <v>1402</v>
      </c>
      <c r="D132" s="358" t="str">
        <f ca="1">IF(ISERROR(OFFSET('HARGA SATUAN'!$D$6,MATCH(RAB!C132,'HARGA SATUAN'!$C$7:$C$1492,0),0)),"",OFFSET('HARGA SATUAN'!$D$6,MATCH(RAB!C132,'HARGA SATUAN'!$C$7:$C$1492,0),0))</f>
        <v>MDU-KD</v>
      </c>
      <c r="E132" s="359" t="str">
        <f ca="1">IF(B132="+","Unit",IF(ISERROR(OFFSET('HARGA SATUAN'!$E$6,MATCH(RAB!C132,'HARGA SATUAN'!$C$7:$C$1492,0),0)),"",OFFSET('HARGA SATUAN'!$E$6,MATCH(RAB!C132,'HARGA SATUAN'!$C$7:$C$1492,0),0)))</f>
        <v>Mtr</v>
      </c>
      <c r="F132" s="484">
        <f>F128*3</f>
        <v>3</v>
      </c>
      <c r="G132" s="360">
        <f ca="1">IF(ISERROR(OFFSET('HARGA SATUAN'!$I$6,MATCH(RAB!C132,'HARGA SATUAN'!$C$7:$C$1492,0),0)),0,OFFSET('HARGA SATUAN'!$I$6,MATCH(RAB!C132,'HARGA SATUAN'!$C$7:$C$1492,0),0))</f>
        <v>53300</v>
      </c>
      <c r="H132" s="361">
        <f t="shared" ca="1" si="40"/>
        <v>159900</v>
      </c>
      <c r="I132" s="361">
        <f t="shared" ca="1" si="41"/>
        <v>0</v>
      </c>
      <c r="J132" s="361">
        <f t="shared" ca="1" si="42"/>
        <v>0</v>
      </c>
      <c r="K132" s="362">
        <f t="shared" ca="1" si="43"/>
        <v>159900</v>
      </c>
      <c r="L132" s="406" t="e">
        <f ca="1">PROPER([94]!terbilang(K192))</f>
        <v>#NAME?</v>
      </c>
      <c r="M132" s="406"/>
      <c r="N132" s="369"/>
      <c r="O132" s="344"/>
      <c r="P132" s="344"/>
      <c r="Q132" s="344"/>
    </row>
    <row r="133" spans="1:22">
      <c r="B133" s="518">
        <v>3</v>
      </c>
      <c r="C133" s="109" t="s">
        <v>559</v>
      </c>
      <c r="D133" s="358" t="str">
        <f ca="1">IF(ISERROR(OFFSET('HARGA SATUAN'!$D$6,MATCH(RAB!C133,'HARGA SATUAN'!$C$7:$C$1492,0),0)),"",OFFSET('HARGA SATUAN'!$D$6,MATCH(RAB!C133,'HARGA SATUAN'!$C$7:$C$1492,0),0))</f>
        <v>MDU-KD</v>
      </c>
      <c r="E133" s="359" t="str">
        <f ca="1">IF(B133="+","Unit",IF(ISERROR(OFFSET('HARGA SATUAN'!$E$6,MATCH(RAB!C133,'HARGA SATUAN'!$C$7:$C$1492,0),0)),"",OFFSET('HARGA SATUAN'!$E$6,MATCH(RAB!C133,'HARGA SATUAN'!$C$7:$C$1492,0),0)))</f>
        <v>Bh</v>
      </c>
      <c r="F133" s="484">
        <f>F128*3</f>
        <v>3</v>
      </c>
      <c r="G133" s="360">
        <f ca="1">IF(ISERROR(OFFSET('HARGA SATUAN'!$I$6,MATCH(RAB!C133,'HARGA SATUAN'!$C$7:$C$1492,0),0)),0,OFFSET('HARGA SATUAN'!$I$6,MATCH(RAB!C133,'HARGA SATUAN'!$C$7:$C$1492,0),0))</f>
        <v>725900</v>
      </c>
      <c r="H133" s="361">
        <f t="shared" ca="1" si="40"/>
        <v>2177700</v>
      </c>
      <c r="I133" s="361">
        <f t="shared" ca="1" si="41"/>
        <v>0</v>
      </c>
      <c r="J133" s="361">
        <f t="shared" ca="1" si="42"/>
        <v>0</v>
      </c>
      <c r="K133" s="362">
        <f t="shared" ca="1" si="43"/>
        <v>2177700</v>
      </c>
    </row>
    <row r="134" spans="1:22">
      <c r="B134" s="518">
        <v>4</v>
      </c>
      <c r="C134" s="519" t="s">
        <v>535</v>
      </c>
      <c r="D134" s="358" t="str">
        <f ca="1">IF(ISERROR(OFFSET('HARGA SATUAN'!$D$6,MATCH(RAB!C134,'HARGA SATUAN'!$C$7:$C$1492,0),0)),"",OFFSET('HARGA SATUAN'!$D$6,MATCH(RAB!C134,'HARGA SATUAN'!$C$7:$C$1492,0),0))</f>
        <v>MDU-KD</v>
      </c>
      <c r="E134" s="359" t="str">
        <f ca="1">IF(B134="+","Unit",IF(ISERROR(OFFSET('HARGA SATUAN'!$E$6,MATCH(RAB!C134,'HARGA SATUAN'!$C$7:$C$1492,0),0)),"",OFFSET('HARGA SATUAN'!$E$6,MATCH(RAB!C134,'HARGA SATUAN'!$C$7:$C$1492,0),0)))</f>
        <v>Bh</v>
      </c>
      <c r="F134" s="484">
        <f>F128*3</f>
        <v>3</v>
      </c>
      <c r="G134" s="360">
        <f ca="1">IF(ISERROR(OFFSET('HARGA SATUAN'!$I$6,MATCH(RAB!C134,'HARGA SATUAN'!$C$7:$C$1492,0),0)),0,OFFSET('HARGA SATUAN'!$I$6,MATCH(RAB!C134,'HARGA SATUAN'!$C$7:$C$1492,0),0))</f>
        <v>848250</v>
      </c>
      <c r="H134" s="361">
        <f t="shared" ca="1" si="40"/>
        <v>2544750</v>
      </c>
      <c r="I134" s="361">
        <f t="shared" ca="1" si="41"/>
        <v>0</v>
      </c>
      <c r="J134" s="361">
        <f t="shared" ca="1" si="42"/>
        <v>0</v>
      </c>
      <c r="K134" s="362">
        <f t="shared" ca="1" si="43"/>
        <v>2544750</v>
      </c>
    </row>
    <row r="135" spans="1:22">
      <c r="B135" s="518">
        <v>5</v>
      </c>
      <c r="C135" s="519" t="s">
        <v>55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484">
        <f>F128*3</f>
        <v>3</v>
      </c>
      <c r="G135" s="360">
        <f ca="1">IF(ISERROR(OFFSET('HARGA SATUAN'!$I$6,MATCH(RAB!C135,'HARGA SATUAN'!$C$7:$C$1492,0),0)),0,OFFSET('HARGA SATUAN'!$I$6,MATCH(RAB!C135,'HARGA SATUAN'!$C$7:$C$1492,0),0))</f>
        <v>18000</v>
      </c>
      <c r="H135" s="361">
        <f t="shared" ca="1" si="40"/>
        <v>0</v>
      </c>
      <c r="I135" s="361">
        <f t="shared" ca="1" si="41"/>
        <v>54000</v>
      </c>
      <c r="J135" s="361">
        <f t="shared" ca="1" si="42"/>
        <v>0</v>
      </c>
      <c r="K135" s="362">
        <f t="shared" ca="1" si="43"/>
        <v>54000</v>
      </c>
    </row>
    <row r="136" spans="1:22">
      <c r="B136" s="518">
        <v>6</v>
      </c>
      <c r="C136" s="109" t="s">
        <v>1581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484">
        <f>F128*13</f>
        <v>13</v>
      </c>
      <c r="G136" s="360">
        <f ca="1">IF(ISERROR(OFFSET('HARGA SATUAN'!$I$6,MATCH(RAB!C136,'HARGA SATUAN'!$C$7:$C$1492,0),0)),0,OFFSET('HARGA SATUAN'!$I$6,MATCH(RAB!C136,'HARGA SATUAN'!$C$7:$C$1492,0),0))</f>
        <v>73300</v>
      </c>
      <c r="H136" s="361">
        <f t="shared" ca="1" si="40"/>
        <v>0</v>
      </c>
      <c r="I136" s="361">
        <f t="shared" ca="1" si="41"/>
        <v>952900</v>
      </c>
      <c r="J136" s="361">
        <f t="shared" ca="1" si="42"/>
        <v>0</v>
      </c>
      <c r="K136" s="362">
        <f t="shared" ca="1" si="43"/>
        <v>952900</v>
      </c>
    </row>
    <row r="137" spans="1:22">
      <c r="B137" s="518">
        <v>7</v>
      </c>
      <c r="C137" s="519" t="s">
        <v>163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484">
        <f>F128*28</f>
        <v>28</v>
      </c>
      <c r="G137" s="360">
        <f ca="1">IF(ISERROR(OFFSET('HARGA SATUAN'!$I$6,MATCH(RAB!C137,'HARGA SATUAN'!$C$7:$C$1492,0),0)),0,OFFSET('HARGA SATUAN'!$I$6,MATCH(RAB!C137,'HARGA SATUAN'!$C$7:$C$1492,0),0))</f>
        <v>7938</v>
      </c>
      <c r="H137" s="361">
        <f t="shared" ca="1" si="40"/>
        <v>0</v>
      </c>
      <c r="I137" s="361">
        <f t="shared" ca="1" si="41"/>
        <v>222264</v>
      </c>
      <c r="J137" s="361">
        <f t="shared" ca="1" si="42"/>
        <v>0</v>
      </c>
      <c r="K137" s="362">
        <f t="shared" ca="1" si="43"/>
        <v>222264</v>
      </c>
    </row>
    <row r="138" spans="1:22">
      <c r="B138" s="518">
        <v>8</v>
      </c>
      <c r="C138" s="519" t="s">
        <v>176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484">
        <f>F128*2</f>
        <v>2</v>
      </c>
      <c r="G138" s="360">
        <f ca="1">IF(ISERROR(OFFSET('HARGA SATUAN'!$I$6,MATCH(RAB!C138,'HARGA SATUAN'!$C$7:$C$1492,0),0)),0,OFFSET('HARGA SATUAN'!$I$6,MATCH(RAB!C138,'HARGA SATUAN'!$C$7:$C$1492,0),0))</f>
        <v>404600</v>
      </c>
      <c r="H138" s="361">
        <f t="shared" ca="1" si="40"/>
        <v>0</v>
      </c>
      <c r="I138" s="361">
        <f t="shared" ca="1" si="41"/>
        <v>809200</v>
      </c>
      <c r="J138" s="361">
        <f t="shared" ca="1" si="42"/>
        <v>0</v>
      </c>
      <c r="K138" s="362">
        <f t="shared" ca="1" si="43"/>
        <v>809200</v>
      </c>
    </row>
    <row r="139" spans="1:22">
      <c r="B139" s="518">
        <v>9</v>
      </c>
      <c r="C139" s="519" t="s">
        <v>184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484">
        <f>F128*3</f>
        <v>3</v>
      </c>
      <c r="G139" s="360">
        <f ca="1">IF(ISERROR(OFFSET('HARGA SATUAN'!$I$6,MATCH(RAB!C139,'HARGA SATUAN'!$C$7:$C$1492,0),0)),0,OFFSET('HARGA SATUAN'!$I$6,MATCH(RAB!C139,'HARGA SATUAN'!$C$7:$C$1492,0),0))</f>
        <v>15900</v>
      </c>
      <c r="H139" s="361">
        <f t="shared" ca="1" si="40"/>
        <v>0</v>
      </c>
      <c r="I139" s="361">
        <f t="shared" ca="1" si="41"/>
        <v>47700</v>
      </c>
      <c r="J139" s="361">
        <f t="shared" ca="1" si="42"/>
        <v>0</v>
      </c>
      <c r="K139" s="362">
        <f t="shared" ca="1" si="43"/>
        <v>47700</v>
      </c>
    </row>
    <row r="140" spans="1:22">
      <c r="B140" s="518">
        <v>10</v>
      </c>
      <c r="C140" s="519" t="s">
        <v>593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Bh</v>
      </c>
      <c r="F140" s="484">
        <f>F128*5</f>
        <v>5</v>
      </c>
      <c r="G140" s="360">
        <f ca="1">IF(ISERROR(OFFSET('HARGA SATUAN'!$I$6,MATCH(RAB!C140,'HARGA SATUAN'!$C$7:$C$1492,0),0)),0,OFFSET('HARGA SATUAN'!$I$6,MATCH(RAB!C140,'HARGA SATUAN'!$C$7:$C$1492,0),0))</f>
        <v>380500</v>
      </c>
      <c r="H140" s="361">
        <f t="shared" ca="1" si="40"/>
        <v>0</v>
      </c>
      <c r="I140" s="361">
        <f t="shared" ca="1" si="41"/>
        <v>1902500</v>
      </c>
      <c r="J140" s="361">
        <f t="shared" ca="1" si="42"/>
        <v>0</v>
      </c>
      <c r="K140" s="362">
        <f t="shared" ca="1" si="43"/>
        <v>1902500</v>
      </c>
    </row>
    <row r="141" spans="1:22">
      <c r="B141" s="518">
        <v>11</v>
      </c>
      <c r="C141" s="519" t="s">
        <v>594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Bh</v>
      </c>
      <c r="F141" s="484">
        <f>F128*4</f>
        <v>4</v>
      </c>
      <c r="G141" s="360">
        <f ca="1">IF(ISERROR(OFFSET('HARGA SATUAN'!$I$6,MATCH(RAB!C141,'HARGA SATUAN'!$C$7:$C$1492,0),0)),0,OFFSET('HARGA SATUAN'!$I$6,MATCH(RAB!C141,'HARGA SATUAN'!$C$7:$C$1492,0),0))</f>
        <v>559200</v>
      </c>
      <c r="H141" s="361">
        <f t="shared" ca="1" si="40"/>
        <v>0</v>
      </c>
      <c r="I141" s="361">
        <f t="shared" ca="1" si="41"/>
        <v>2236800</v>
      </c>
      <c r="J141" s="361">
        <f t="shared" ca="1" si="42"/>
        <v>0</v>
      </c>
      <c r="K141" s="362">
        <f t="shared" ca="1" si="43"/>
        <v>2236800</v>
      </c>
    </row>
    <row r="142" spans="1:22">
      <c r="B142" s="518">
        <v>12</v>
      </c>
      <c r="C142" s="519" t="s">
        <v>208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484">
        <f>F128*3</f>
        <v>3</v>
      </c>
      <c r="G142" s="360">
        <f ca="1">IF(ISERROR(OFFSET('HARGA SATUAN'!$I$6,MATCH(RAB!C142,'HARGA SATUAN'!$C$7:$C$1492,0),0)),0,OFFSET('HARGA SATUAN'!$I$6,MATCH(RAB!C142,'HARGA SATUAN'!$C$7:$C$1492,0),0))</f>
        <v>173400</v>
      </c>
      <c r="H142" s="361">
        <f t="shared" ca="1" si="40"/>
        <v>0</v>
      </c>
      <c r="I142" s="361">
        <f t="shared" ca="1" si="41"/>
        <v>520200</v>
      </c>
      <c r="J142" s="361">
        <f t="shared" ca="1" si="42"/>
        <v>0</v>
      </c>
      <c r="K142" s="362">
        <f t="shared" ca="1" si="43"/>
        <v>520200</v>
      </c>
    </row>
    <row r="143" spans="1:22">
      <c r="B143" s="518">
        <v>13</v>
      </c>
      <c r="C143" s="519" t="s">
        <v>247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484">
        <f>F128*2</f>
        <v>2</v>
      </c>
      <c r="G143" s="360">
        <f ca="1">IF(ISERROR(OFFSET('HARGA SATUAN'!$I$6,MATCH(RAB!C143,'HARGA SATUAN'!$C$7:$C$1492,0),0)),0,OFFSET('HARGA SATUAN'!$I$6,MATCH(RAB!C143,'HARGA SATUAN'!$C$7:$C$1492,0),0))</f>
        <v>57690</v>
      </c>
      <c r="H143" s="361">
        <f t="shared" ca="1" si="40"/>
        <v>0</v>
      </c>
      <c r="I143" s="361">
        <f t="shared" ca="1" si="41"/>
        <v>115380</v>
      </c>
      <c r="J143" s="361">
        <f t="shared" ca="1" si="42"/>
        <v>0</v>
      </c>
      <c r="K143" s="362">
        <f t="shared" ca="1" si="43"/>
        <v>115380</v>
      </c>
    </row>
    <row r="144" spans="1:22">
      <c r="B144" s="518">
        <v>14</v>
      </c>
      <c r="C144" s="519" t="s">
        <v>248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484">
        <f>F128*2</f>
        <v>2</v>
      </c>
      <c r="G144" s="360">
        <f ca="1">IF(ISERROR(OFFSET('HARGA SATUAN'!$I$6,MATCH(RAB!C144,'HARGA SATUAN'!$C$7:$C$1492,0),0)),0,OFFSET('HARGA SATUAN'!$I$6,MATCH(RAB!C144,'HARGA SATUAN'!$C$7:$C$1492,0),0))</f>
        <v>60300</v>
      </c>
      <c r="H144" s="361">
        <f t="shared" ca="1" si="40"/>
        <v>0</v>
      </c>
      <c r="I144" s="361">
        <f t="shared" ca="1" si="41"/>
        <v>120600</v>
      </c>
      <c r="J144" s="361">
        <f t="shared" ca="1" si="42"/>
        <v>0</v>
      </c>
      <c r="K144" s="362">
        <f t="shared" ca="1" si="43"/>
        <v>120600</v>
      </c>
    </row>
    <row r="145" spans="2:11">
      <c r="B145" s="518">
        <v>15</v>
      </c>
      <c r="C145" s="519" t="s">
        <v>267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484">
        <f>F128*4</f>
        <v>4</v>
      </c>
      <c r="G145" s="360">
        <f ca="1">IF(ISERROR(OFFSET('HARGA SATUAN'!$I$6,MATCH(RAB!C145,'HARGA SATUAN'!$C$7:$C$1492,0),0)),0,OFFSET('HARGA SATUAN'!$I$6,MATCH(RAB!C145,'HARGA SATUAN'!$C$7:$C$1492,0),0))</f>
        <v>129000</v>
      </c>
      <c r="H145" s="361">
        <f t="shared" ca="1" si="40"/>
        <v>0</v>
      </c>
      <c r="I145" s="361">
        <f t="shared" ca="1" si="41"/>
        <v>516000</v>
      </c>
      <c r="J145" s="361">
        <f t="shared" ca="1" si="42"/>
        <v>0</v>
      </c>
      <c r="K145" s="362">
        <f t="shared" ca="1" si="43"/>
        <v>516000</v>
      </c>
    </row>
    <row r="146" spans="2:11">
      <c r="B146" s="518">
        <v>16</v>
      </c>
      <c r="C146" s="519" t="s">
        <v>786</v>
      </c>
      <c r="D146" s="358" t="str">
        <f ca="1">IF(ISERROR(OFFSET('HARGA SATUAN'!$D$6,MATCH(RAB!C146,'HARGA SATUAN'!$C$7:$C$1492,0),0)),"",OFFSET('HARGA SATUAN'!$D$6,MATCH(RAB!C146,'HARGA SATUAN'!$C$7:$C$1492,0),0))</f>
        <v>JASA</v>
      </c>
      <c r="E146" s="359" t="str">
        <f ca="1">IF(B146="+","Unit",IF(ISERROR(OFFSET('HARGA SATUAN'!$E$6,MATCH(RAB!C146,'HARGA SATUAN'!$C$7:$C$1492,0),0)),"",OFFSET('HARGA SATUAN'!$E$6,MATCH(RAB!C146,'HARGA SATUAN'!$C$7:$C$1492,0),0)))</f>
        <v>Unit</v>
      </c>
      <c r="F146" s="484">
        <f>F128*1</f>
        <v>1</v>
      </c>
      <c r="G146" s="360">
        <f ca="1">IF(ISERROR(OFFSET('HARGA SATUAN'!$I$6,MATCH(RAB!C146,'HARGA SATUAN'!$C$7:$C$1492,0),0)),0,OFFSET('HARGA SATUAN'!$I$6,MATCH(RAB!C146,'HARGA SATUAN'!$C$7:$C$1492,0),0))</f>
        <v>3686500</v>
      </c>
      <c r="H146" s="361">
        <f t="shared" ca="1" si="40"/>
        <v>0</v>
      </c>
      <c r="I146" s="361">
        <f t="shared" ca="1" si="41"/>
        <v>0</v>
      </c>
      <c r="J146" s="361">
        <f t="shared" ca="1" si="42"/>
        <v>3686500</v>
      </c>
      <c r="K146" s="362">
        <f t="shared" ca="1" si="43"/>
        <v>3686500</v>
      </c>
    </row>
    <row r="147" spans="2:11">
      <c r="B147" s="504"/>
      <c r="C147" s="109"/>
      <c r="D147" s="358" t="str">
        <f ca="1">IF(ISERROR(OFFSET('HARGA SATUAN'!$D$6,MATCH(RAB!C147,'HARGA SATUAN'!$C$7:$C$1492,0),0)),"",OFFSET('HARGA SATUAN'!$D$6,MATCH(RAB!C147,'HARGA SATUAN'!$C$7:$C$1492,0),0))</f>
        <v/>
      </c>
      <c r="E147" s="359" t="str">
        <f ca="1">IF(B147="+","Unit",IF(ISERROR(OFFSET('HARGA SATUAN'!$E$6,MATCH(RAB!C147,'HARGA SATUAN'!$C$7:$C$1492,0),0)),"",OFFSET('HARGA SATUAN'!$E$6,MATCH(RAB!C147,'HARGA SATUAN'!$C$7:$C$1492,0),0)))</f>
        <v/>
      </c>
      <c r="F147" s="484"/>
      <c r="G147" s="360">
        <f ca="1">IF(ISERROR(OFFSET('HARGA SATUAN'!$I$6,MATCH(RAB!C147,'HARGA SATUAN'!$C$7:$C$1492,0),0)),0,OFFSET('HARGA SATUAN'!$I$6,MATCH(RAB!C147,'HARGA SATUAN'!$C$7:$C$1492,0),0))</f>
        <v>0</v>
      </c>
      <c r="H147" s="361">
        <f t="shared" ca="1" si="40"/>
        <v>0</v>
      </c>
      <c r="I147" s="361">
        <f t="shared" ca="1" si="41"/>
        <v>0</v>
      </c>
      <c r="J147" s="361">
        <f t="shared" ca="1" si="42"/>
        <v>0</v>
      </c>
      <c r="K147" s="362">
        <f t="shared" ca="1" si="43"/>
        <v>0</v>
      </c>
    </row>
    <row r="148" spans="2:11">
      <c r="B148" s="511" t="s">
        <v>1035</v>
      </c>
      <c r="C148" s="514" t="s">
        <v>1627</v>
      </c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>Unit</v>
      </c>
      <c r="F148" s="484">
        <v>2</v>
      </c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ca="1" si="40"/>
        <v>0</v>
      </c>
      <c r="I148" s="361">
        <f t="shared" ca="1" si="41"/>
        <v>0</v>
      </c>
      <c r="J148" s="361">
        <f t="shared" ca="1" si="42"/>
        <v>0</v>
      </c>
      <c r="K148" s="362">
        <f t="shared" ca="1" si="43"/>
        <v>0</v>
      </c>
    </row>
    <row r="149" spans="2:11">
      <c r="B149" s="511">
        <v>1</v>
      </c>
      <c r="C149" s="509" t="s">
        <v>29</v>
      </c>
      <c r="D149" s="358" t="str">
        <f ca="1">IF(ISERROR(OFFSET('HARGA SATUAN'!$D$6,MATCH(RAB!C149,'HARGA SATUAN'!$C$7:$C$1492,0),0)),"",OFFSET('HARGA SATUAN'!$D$6,MATCH(RAB!C149,'HARGA SATUAN'!$C$7:$C$1492,0),0))</f>
        <v>HDW</v>
      </c>
      <c r="E149" s="359" t="str">
        <f ca="1">IF(B149="+","Unit",IF(ISERROR(OFFSET('HARGA SATUAN'!$E$6,MATCH(RAB!C149,'HARGA SATUAN'!$C$7:$C$1492,0),0)),"",OFFSET('HARGA SATUAN'!$E$6,MATCH(RAB!C149,'HARGA SATUAN'!$C$7:$C$1492,0),0)))</f>
        <v>Bh</v>
      </c>
      <c r="F149" s="484">
        <f>F148*1</f>
        <v>2</v>
      </c>
      <c r="G149" s="360">
        <f ca="1">IF(ISERROR(OFFSET('HARGA SATUAN'!$I$6,MATCH(RAB!C149,'HARGA SATUAN'!$C$7:$C$1492,0),0)),0,OFFSET('HARGA SATUAN'!$I$6,MATCH(RAB!C149,'HARGA SATUAN'!$C$7:$C$1492,0),0))</f>
        <v>185200</v>
      </c>
      <c r="H149" s="361">
        <f t="shared" ca="1" si="40"/>
        <v>0</v>
      </c>
      <c r="I149" s="361">
        <f t="shared" ca="1" si="41"/>
        <v>370400</v>
      </c>
      <c r="J149" s="361">
        <f t="shared" ca="1" si="42"/>
        <v>0</v>
      </c>
      <c r="K149" s="362">
        <f t="shared" ca="1" si="43"/>
        <v>370400</v>
      </c>
    </row>
    <row r="150" spans="2:11">
      <c r="B150" s="507">
        <v>2</v>
      </c>
      <c r="C150" s="508" t="s">
        <v>30</v>
      </c>
      <c r="D150" s="358" t="str">
        <f ca="1">IF(ISERROR(OFFSET('HARGA SATUAN'!$D$6,MATCH(RAB!C150,'HARGA SATUAN'!$C$7:$C$1492,0),0)),"",OFFSET('HARGA SATUAN'!$D$6,MATCH(RAB!C150,'HARGA SATUAN'!$C$7:$C$1492,0),0))</f>
        <v>HDW</v>
      </c>
      <c r="E150" s="359" t="str">
        <f ca="1">IF(B150="+","Unit",IF(ISERROR(OFFSET('HARGA SATUAN'!$E$6,MATCH(RAB!C150,'HARGA SATUAN'!$C$7:$C$1492,0),0)),"",OFFSET('HARGA SATUAN'!$E$6,MATCH(RAB!C150,'HARGA SATUAN'!$C$7:$C$1492,0),0)))</f>
        <v>Bh</v>
      </c>
      <c r="F150" s="484">
        <f>F148*1</f>
        <v>2</v>
      </c>
      <c r="G150" s="360">
        <f ca="1">IF(ISERROR(OFFSET('HARGA SATUAN'!$I$6,MATCH(RAB!C150,'HARGA SATUAN'!$C$7:$C$1492,0),0)),0,OFFSET('HARGA SATUAN'!$I$6,MATCH(RAB!C150,'HARGA SATUAN'!$C$7:$C$1492,0),0))</f>
        <v>47459</v>
      </c>
      <c r="H150" s="361">
        <f t="shared" ca="1" si="40"/>
        <v>0</v>
      </c>
      <c r="I150" s="361">
        <f t="shared" ca="1" si="41"/>
        <v>94918</v>
      </c>
      <c r="J150" s="361">
        <f t="shared" ca="1" si="42"/>
        <v>0</v>
      </c>
      <c r="K150" s="362">
        <f t="shared" ca="1" si="43"/>
        <v>94918</v>
      </c>
    </row>
    <row r="151" spans="2:11">
      <c r="B151" s="507">
        <v>3</v>
      </c>
      <c r="C151" s="508" t="s">
        <v>31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Bh</v>
      </c>
      <c r="F151" s="484">
        <f>F148*1</f>
        <v>2</v>
      </c>
      <c r="G151" s="360">
        <f ca="1">IF(ISERROR(OFFSET('HARGA SATUAN'!$I$6,MATCH(RAB!C151,'HARGA SATUAN'!$C$7:$C$1492,0),0)),0,OFFSET('HARGA SATUAN'!$I$6,MATCH(RAB!C151,'HARGA SATUAN'!$C$7:$C$1492,0),0))</f>
        <v>4880</v>
      </c>
      <c r="H151" s="361">
        <f t="shared" ca="1" si="40"/>
        <v>0</v>
      </c>
      <c r="I151" s="361">
        <f t="shared" ca="1" si="41"/>
        <v>9760</v>
      </c>
      <c r="J151" s="361">
        <f t="shared" ca="1" si="42"/>
        <v>0</v>
      </c>
      <c r="K151" s="362">
        <f t="shared" ca="1" si="43"/>
        <v>9760</v>
      </c>
    </row>
    <row r="152" spans="2:11">
      <c r="B152" s="507">
        <v>4</v>
      </c>
      <c r="C152" s="508" t="s">
        <v>32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Mtr</v>
      </c>
      <c r="F152" s="484">
        <f>F148*10</f>
        <v>20</v>
      </c>
      <c r="G152" s="360">
        <f ca="1">IF(ISERROR(OFFSET('HARGA SATUAN'!$I$6,MATCH(RAB!C152,'HARGA SATUAN'!$C$7:$C$1492,0),0)),0,OFFSET('HARGA SATUAN'!$I$6,MATCH(RAB!C152,'HARGA SATUAN'!$C$7:$C$1492,0),0))</f>
        <v>30000</v>
      </c>
      <c r="H152" s="361">
        <f t="shared" ca="1" si="40"/>
        <v>0</v>
      </c>
      <c r="I152" s="361">
        <f t="shared" ca="1" si="41"/>
        <v>600000</v>
      </c>
      <c r="J152" s="361">
        <f t="shared" ca="1" si="42"/>
        <v>0</v>
      </c>
      <c r="K152" s="362">
        <f t="shared" ca="1" si="43"/>
        <v>600000</v>
      </c>
    </row>
    <row r="153" spans="2:11">
      <c r="B153" s="507">
        <v>5</v>
      </c>
      <c r="C153" s="508" t="s">
        <v>33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Bh</v>
      </c>
      <c r="F153" s="484">
        <f>F148*2</f>
        <v>4</v>
      </c>
      <c r="G153" s="360">
        <f ca="1">IF(ISERROR(OFFSET('HARGA SATUAN'!$I$6,MATCH(RAB!C153,'HARGA SATUAN'!$C$7:$C$1492,0),0)),0,OFFSET('HARGA SATUAN'!$I$6,MATCH(RAB!C153,'HARGA SATUAN'!$C$7:$C$1492,0),0))</f>
        <v>9500</v>
      </c>
      <c r="H153" s="361">
        <f t="shared" ca="1" si="40"/>
        <v>0</v>
      </c>
      <c r="I153" s="361">
        <f t="shared" ca="1" si="41"/>
        <v>38000</v>
      </c>
      <c r="J153" s="361">
        <f t="shared" ca="1" si="42"/>
        <v>0</v>
      </c>
      <c r="K153" s="362">
        <f t="shared" ca="1" si="43"/>
        <v>38000</v>
      </c>
    </row>
    <row r="154" spans="2:11">
      <c r="B154" s="507">
        <v>6</v>
      </c>
      <c r="C154" s="508" t="s">
        <v>34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Bh</v>
      </c>
      <c r="F154" s="484">
        <f>F148*5.5</f>
        <v>11</v>
      </c>
      <c r="G154" s="360">
        <f ca="1">IF(ISERROR(OFFSET('HARGA SATUAN'!$I$6,MATCH(RAB!C154,'HARGA SATUAN'!$C$7:$C$1492,0),0)),0,OFFSET('HARGA SATUAN'!$I$6,MATCH(RAB!C154,'HARGA SATUAN'!$C$7:$C$1492,0),0))</f>
        <v>6100</v>
      </c>
      <c r="H154" s="361">
        <f t="shared" ca="1" si="40"/>
        <v>0</v>
      </c>
      <c r="I154" s="361">
        <f t="shared" ca="1" si="41"/>
        <v>67100</v>
      </c>
      <c r="J154" s="361">
        <f t="shared" ca="1" si="42"/>
        <v>0</v>
      </c>
      <c r="K154" s="362">
        <f t="shared" ca="1" si="43"/>
        <v>67100</v>
      </c>
    </row>
    <row r="155" spans="2:11">
      <c r="B155" s="507">
        <v>7</v>
      </c>
      <c r="C155" s="508" t="s">
        <v>35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484">
        <f>F148*6</f>
        <v>12</v>
      </c>
      <c r="G155" s="360">
        <f ca="1">IF(ISERROR(OFFSET('HARGA SATUAN'!$I$6,MATCH(RAB!C155,'HARGA SATUAN'!$C$7:$C$1492,0),0)),0,OFFSET('HARGA SATUAN'!$I$6,MATCH(RAB!C155,'HARGA SATUAN'!$C$7:$C$1492,0),0))</f>
        <v>2300</v>
      </c>
      <c r="H155" s="361">
        <f t="shared" ca="1" si="40"/>
        <v>0</v>
      </c>
      <c r="I155" s="361">
        <f t="shared" ca="1" si="41"/>
        <v>27600</v>
      </c>
      <c r="J155" s="361">
        <f t="shared" ca="1" si="42"/>
        <v>0</v>
      </c>
      <c r="K155" s="362">
        <f t="shared" ca="1" si="43"/>
        <v>27600</v>
      </c>
    </row>
    <row r="156" spans="2:11">
      <c r="B156" s="507">
        <v>8</v>
      </c>
      <c r="C156" s="508" t="s">
        <v>1628</v>
      </c>
      <c r="D156" s="358" t="str">
        <f ca="1">IF(ISERROR(OFFSET('HARGA SATUAN'!$D$6,MATCH(RAB!C156,'HARGA SATUAN'!$C$7:$C$1492,0),0)),"",OFFSET('HARGA SATUAN'!$D$6,MATCH(RAB!C156,'HARGA SATUAN'!$C$7:$C$1492,0),0))</f>
        <v>HDW</v>
      </c>
      <c r="E156" s="359" t="str">
        <f ca="1">IF(B156="+","Unit",IF(ISERROR(OFFSET('HARGA SATUAN'!$E$6,MATCH(RAB!C156,'HARGA SATUAN'!$C$7:$C$1492,0),0)),"",OFFSET('HARGA SATUAN'!$E$6,MATCH(RAB!C156,'HARGA SATUAN'!$C$7:$C$1492,0),0)))</f>
        <v>Mtr</v>
      </c>
      <c r="F156" s="484">
        <f>F148*4.8</f>
        <v>9.6</v>
      </c>
      <c r="G156" s="360">
        <f ca="1">IF(ISERROR(OFFSET('HARGA SATUAN'!$I$6,MATCH(RAB!C156,'HARGA SATUAN'!$C$7:$C$1492,0),0)),0,OFFSET('HARGA SATUAN'!$I$6,MATCH(RAB!C156,'HARGA SATUAN'!$C$7:$C$1492,0),0))</f>
        <v>23310</v>
      </c>
      <c r="H156" s="361">
        <f t="shared" ca="1" si="40"/>
        <v>0</v>
      </c>
      <c r="I156" s="361">
        <f t="shared" ca="1" si="41"/>
        <v>223776</v>
      </c>
      <c r="J156" s="361">
        <f t="shared" ca="1" si="42"/>
        <v>0</v>
      </c>
      <c r="K156" s="362">
        <f t="shared" ca="1" si="43"/>
        <v>223776</v>
      </c>
    </row>
    <row r="157" spans="2:11">
      <c r="B157" s="507">
        <v>9</v>
      </c>
      <c r="C157" s="508" t="s">
        <v>736</v>
      </c>
      <c r="D157" s="358" t="str">
        <f ca="1">IF(ISERROR(OFFSET('HARGA SATUAN'!$D$6,MATCH(RAB!C157,'HARGA SATUAN'!$C$7:$C$1492,0),0)),"",OFFSET('HARGA SATUAN'!$D$6,MATCH(RAB!C157,'HARGA SATUAN'!$C$7:$C$1492,0),0))</f>
        <v>JASA</v>
      </c>
      <c r="E157" s="359" t="str">
        <f ca="1">IF(B157="+","Unit",IF(ISERROR(OFFSET('HARGA SATUAN'!$E$6,MATCH(RAB!C157,'HARGA SATUAN'!$C$7:$C$1492,0),0)),"",OFFSET('HARGA SATUAN'!$E$6,MATCH(RAB!C157,'HARGA SATUAN'!$C$7:$C$1492,0),0)))</f>
        <v>Unit</v>
      </c>
      <c r="F157" s="484">
        <f>F148*1</f>
        <v>2</v>
      </c>
      <c r="G157" s="360">
        <f ca="1">IF(ISERROR(OFFSET('HARGA SATUAN'!$I$6,MATCH(RAB!C157,'HARGA SATUAN'!$C$7:$C$1492,0),0)),0,OFFSET('HARGA SATUAN'!$I$6,MATCH(RAB!C157,'HARGA SATUAN'!$C$7:$C$1492,0),0))</f>
        <v>65400</v>
      </c>
      <c r="H157" s="361">
        <f t="shared" ca="1" si="40"/>
        <v>0</v>
      </c>
      <c r="I157" s="361">
        <f t="shared" ca="1" si="41"/>
        <v>0</v>
      </c>
      <c r="J157" s="361">
        <f t="shared" ca="1" si="42"/>
        <v>130800</v>
      </c>
      <c r="K157" s="362">
        <f t="shared" ca="1" si="43"/>
        <v>130800</v>
      </c>
    </row>
    <row r="158" spans="2:11">
      <c r="B158" s="507"/>
      <c r="C158" s="508"/>
      <c r="D158" s="358" t="str">
        <f ca="1">IF(ISERROR(OFFSET('HARGA SATUAN'!$D$6,MATCH(RAB!C158,'HARGA SATUAN'!$C$7:$C$1492,0),0)),"",OFFSET('HARGA SATUAN'!$D$6,MATCH(RAB!C158,'HARGA SATUAN'!$C$7:$C$1492,0),0))</f>
        <v/>
      </c>
      <c r="E158" s="359" t="str">
        <f ca="1">IF(B158="+","Unit",IF(ISERROR(OFFSET('HARGA SATUAN'!$E$6,MATCH(RAB!C158,'HARGA SATUAN'!$C$7:$C$1492,0),0)),"",OFFSET('HARGA SATUAN'!$E$6,MATCH(RAB!C158,'HARGA SATUAN'!$C$7:$C$1492,0),0)))</f>
        <v/>
      </c>
      <c r="F158" s="484"/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ref="H158:H185" ca="1" si="44">IF(OR(D158="MDU",D158="MDU-KD"),(IF($O$3="RAB NON MDU","PLN KD",G158*F158)),0)</f>
        <v>0</v>
      </c>
      <c r="I158" s="361">
        <f t="shared" ref="I158:I185" ca="1" si="45">IF(D158="HDW",G158*F158,0)</f>
        <v>0</v>
      </c>
      <c r="J158" s="361">
        <f t="shared" ref="J158:J185" ca="1" si="46">IF(D158="JASA",G158*F158,0)</f>
        <v>0</v>
      </c>
      <c r="K158" s="362">
        <f t="shared" ref="K158:K185" ca="1" si="47">SUM(H158:J158)</f>
        <v>0</v>
      </c>
    </row>
    <row r="159" spans="2:11">
      <c r="B159" s="373" t="s">
        <v>1550</v>
      </c>
      <c r="C159" s="374" t="s">
        <v>1457</v>
      </c>
      <c r="D159" s="358" t="str">
        <f ca="1">IF(ISERROR(OFFSET('HARGA SATUAN'!$D$6,MATCH(RAB!C159,'HARGA SATUAN'!$C$7:$C$1492,0),0)),"",OFFSET('HARGA SATUAN'!$D$6,MATCH(RAB!C159,'HARGA SATUAN'!$C$7:$C$1492,0),0))</f>
        <v/>
      </c>
      <c r="E159" s="359" t="str">
        <f ca="1">IF(B159="+","Unit",IF(ISERROR(OFFSET('HARGA SATUAN'!$E$6,MATCH(RAB!C159,'HARGA SATUAN'!$C$7:$C$1492,0),0)),"",OFFSET('HARGA SATUAN'!$E$6,MATCH(RAB!C159,'HARGA SATUAN'!$C$7:$C$1492,0),0)))</f>
        <v/>
      </c>
      <c r="F159" s="484"/>
      <c r="G159" s="360">
        <f ca="1">IF(ISERROR(OFFSET('HARGA SATUAN'!$I$6,MATCH(RAB!C159,'HARGA SATUAN'!$C$7:$C$1492,0),0)),0,OFFSET('HARGA SATUAN'!$I$6,MATCH(RAB!C159,'HARGA SATUAN'!$C$7:$C$1492,0),0))</f>
        <v>0</v>
      </c>
      <c r="H159" s="361">
        <f t="shared" ca="1" si="44"/>
        <v>0</v>
      </c>
      <c r="I159" s="361">
        <f t="shared" ca="1" si="45"/>
        <v>0</v>
      </c>
      <c r="J159" s="361">
        <f t="shared" ca="1" si="46"/>
        <v>0</v>
      </c>
      <c r="K159" s="362">
        <f t="shared" ca="1" si="47"/>
        <v>0</v>
      </c>
    </row>
    <row r="160" spans="2:11">
      <c r="B160" s="507"/>
      <c r="C160" s="508"/>
      <c r="D160" s="358" t="str">
        <f ca="1">IF(ISERROR(OFFSET('HARGA SATUAN'!$D$6,MATCH(RAB!C160,'HARGA SATUAN'!$C$7:$C$1492,0),0)),"",OFFSET('HARGA SATUAN'!$D$6,MATCH(RAB!C160,'HARGA SATUAN'!$C$7:$C$1492,0),0))</f>
        <v/>
      </c>
      <c r="E160" s="359" t="str">
        <f ca="1">IF(B160="+","Unit",IF(ISERROR(OFFSET('HARGA SATUAN'!$E$6,MATCH(RAB!C160,'HARGA SATUAN'!$C$7:$C$1492,0),0)),"",OFFSET('HARGA SATUAN'!$E$6,MATCH(RAB!C160,'HARGA SATUAN'!$C$7:$C$1492,0),0)))</f>
        <v/>
      </c>
      <c r="F160" s="484"/>
      <c r="G160" s="360">
        <f ca="1">IF(ISERROR(OFFSET('HARGA SATUAN'!$I$6,MATCH(RAB!C160,'HARGA SATUAN'!$C$7:$C$1492,0),0)),0,OFFSET('HARGA SATUAN'!$I$6,MATCH(RAB!C160,'HARGA SATUAN'!$C$7:$C$1492,0),0))</f>
        <v>0</v>
      </c>
      <c r="H160" s="361">
        <f t="shared" ca="1" si="44"/>
        <v>0</v>
      </c>
      <c r="I160" s="361">
        <f t="shared" ca="1" si="45"/>
        <v>0</v>
      </c>
      <c r="J160" s="361">
        <f t="shared" ca="1" si="46"/>
        <v>0</v>
      </c>
      <c r="K160" s="362">
        <f t="shared" ca="1" si="47"/>
        <v>0</v>
      </c>
    </row>
    <row r="161" spans="2:11">
      <c r="B161" s="499" t="s">
        <v>1035</v>
      </c>
      <c r="C161" s="500" t="s">
        <v>1646</v>
      </c>
      <c r="D161" s="358" t="str">
        <f ca="1">IF(ISERROR(OFFSET('HARGA SATUAN'!$D$6,MATCH(RAB!C161,'HARGA SATUAN'!$C$7:$C$1492,0),0)),"",OFFSET('HARGA SATUAN'!$D$6,MATCH(RAB!C161,'HARGA SATUAN'!$C$7:$C$1492,0),0))</f>
        <v/>
      </c>
      <c r="E161" s="359" t="str">
        <f ca="1">IF(B161="+","Unit",IF(ISERROR(OFFSET('HARGA SATUAN'!$E$6,MATCH(RAB!C161,'HARGA SATUAN'!$C$7:$C$1492,0),0)),"",OFFSET('HARGA SATUAN'!$E$6,MATCH(RAB!C161,'HARGA SATUAN'!$C$7:$C$1492,0),0)))</f>
        <v>Unit</v>
      </c>
      <c r="F161" s="506">
        <v>1</v>
      </c>
      <c r="G161" s="360">
        <f ca="1">IF(ISERROR(OFFSET('HARGA SATUAN'!$I$6,MATCH(RAB!C161,'HARGA SATUAN'!$C$7:$C$1492,0),0)),0,OFFSET('HARGA SATUAN'!$I$6,MATCH(RAB!C161,'HARGA SATUAN'!$C$7:$C$1492,0),0))</f>
        <v>0</v>
      </c>
      <c r="H161" s="361">
        <f t="shared" ca="1" si="44"/>
        <v>0</v>
      </c>
      <c r="I161" s="361">
        <f t="shared" ca="1" si="45"/>
        <v>0</v>
      </c>
      <c r="J161" s="361">
        <f t="shared" ca="1" si="46"/>
        <v>0</v>
      </c>
      <c r="K161" s="362">
        <f t="shared" ca="1" si="47"/>
        <v>0</v>
      </c>
    </row>
    <row r="162" spans="2:11" ht="30">
      <c r="B162" s="723">
        <v>1</v>
      </c>
      <c r="C162" s="109" t="s">
        <v>1196</v>
      </c>
      <c r="D162" s="358" t="str">
        <f ca="1">IF(ISERROR(OFFSET('HARGA SATUAN'!$D$6,MATCH(RAB!C162,'HARGA SATUAN'!$C$7:$C$1492,0),0)),"",OFFSET('HARGA SATUAN'!$D$6,MATCH(RAB!C162,'HARGA SATUAN'!$C$7:$C$1492,0),0))</f>
        <v>MDU-KD</v>
      </c>
      <c r="E162" s="359" t="str">
        <f ca="1">IF(B162="+","Unit",IF(ISERROR(OFFSET('HARGA SATUAN'!$E$6,MATCH(RAB!C162,'HARGA SATUAN'!$C$7:$C$1492,0),0)),"",OFFSET('HARGA SATUAN'!$E$6,MATCH(RAB!C162,'HARGA SATUAN'!$C$7:$C$1492,0),0)))</f>
        <v>Bh</v>
      </c>
      <c r="F162" s="506">
        <f>F161*1</f>
        <v>1</v>
      </c>
      <c r="G162" s="360">
        <f ca="1">IF(ISERROR(OFFSET('HARGA SATUAN'!$I$6,MATCH(RAB!C162,'HARGA SATUAN'!$C$7:$C$1492,0),0)),0,OFFSET('HARGA SATUAN'!$I$6,MATCH(RAB!C162,'HARGA SATUAN'!$C$7:$C$1492,0),0))</f>
        <v>1504200</v>
      </c>
      <c r="H162" s="361">
        <f t="shared" ca="1" si="44"/>
        <v>1504200</v>
      </c>
      <c r="I162" s="361">
        <f t="shared" ca="1" si="45"/>
        <v>0</v>
      </c>
      <c r="J162" s="361">
        <f t="shared" ca="1" si="46"/>
        <v>0</v>
      </c>
      <c r="K162" s="362">
        <f t="shared" ca="1" si="47"/>
        <v>1504200</v>
      </c>
    </row>
    <row r="163" spans="2:11">
      <c r="B163" s="723">
        <v>2</v>
      </c>
      <c r="C163" s="728" t="s">
        <v>520</v>
      </c>
      <c r="D163" s="358" t="str">
        <f ca="1">IF(ISERROR(OFFSET('HARGA SATUAN'!$D$6,MATCH(RAB!C163,'HARGA SATUAN'!$C$7:$C$1492,0),0)),"",OFFSET('HARGA SATUAN'!$D$6,MATCH(RAB!C163,'HARGA SATUAN'!$C$7:$C$1492,0),0))</f>
        <v>MDU-KD</v>
      </c>
      <c r="E163" s="359" t="str">
        <f ca="1">IF(B163="+","Unit",IF(ISERROR(OFFSET('HARGA SATUAN'!$E$6,MATCH(RAB!C163,'HARGA SATUAN'!$C$7:$C$1492,0),0)),"",OFFSET('HARGA SATUAN'!$E$6,MATCH(RAB!C163,'HARGA SATUAN'!$C$7:$C$1492,0),0)))</f>
        <v>Unit</v>
      </c>
      <c r="F163" s="506">
        <f>F161*1</f>
        <v>1</v>
      </c>
      <c r="G163" s="360">
        <f ca="1">IF(ISERROR(OFFSET('HARGA SATUAN'!$I$6,MATCH(RAB!C163,'HARGA SATUAN'!$C$7:$C$1492,0),0)),0,OFFSET('HARGA SATUAN'!$I$6,MATCH(RAB!C163,'HARGA SATUAN'!$C$7:$C$1492,0),0))</f>
        <v>14975400</v>
      </c>
      <c r="H163" s="361">
        <f t="shared" ca="1" si="44"/>
        <v>14975400</v>
      </c>
      <c r="I163" s="361">
        <f t="shared" ca="1" si="45"/>
        <v>0</v>
      </c>
      <c r="J163" s="361">
        <f t="shared" ca="1" si="46"/>
        <v>0</v>
      </c>
      <c r="K163" s="362">
        <f t="shared" ca="1" si="47"/>
        <v>14975400</v>
      </c>
    </row>
    <row r="164" spans="2:11">
      <c r="B164" s="723">
        <v>3</v>
      </c>
      <c r="C164" s="728" t="s">
        <v>1142</v>
      </c>
      <c r="D164" s="358" t="str">
        <f ca="1">IF(ISERROR(OFFSET('HARGA SATUAN'!$D$6,MATCH(RAB!C164,'HARGA SATUAN'!$C$7:$C$1492,0),0)),"",OFFSET('HARGA SATUAN'!$D$6,MATCH(RAB!C164,'HARGA SATUAN'!$C$7:$C$1492,0),0))</f>
        <v>HDW</v>
      </c>
      <c r="E164" s="359" t="str">
        <f ca="1">IF(B164="+","Unit",IF(ISERROR(OFFSET('HARGA SATUAN'!$E$6,MATCH(RAB!C164,'HARGA SATUAN'!$C$7:$C$1492,0),0)),"",OFFSET('HARGA SATUAN'!$E$6,MATCH(RAB!C164,'HARGA SATUAN'!$C$7:$C$1492,0),0)))</f>
        <v>Unit</v>
      </c>
      <c r="F164" s="506">
        <f>F161*1</f>
        <v>1</v>
      </c>
      <c r="G164" s="360">
        <f ca="1">IF(ISERROR(OFFSET('HARGA SATUAN'!$I$6,MATCH(RAB!C164,'HARGA SATUAN'!$C$7:$C$1492,0),0)),0,OFFSET('HARGA SATUAN'!$I$6,MATCH(RAB!C164,'HARGA SATUAN'!$C$7:$C$1492,0),0))</f>
        <v>1113900</v>
      </c>
      <c r="H164" s="361">
        <f t="shared" ca="1" si="44"/>
        <v>0</v>
      </c>
      <c r="I164" s="361">
        <f t="shared" ca="1" si="45"/>
        <v>1113900</v>
      </c>
      <c r="J164" s="361">
        <f t="shared" ca="1" si="46"/>
        <v>0</v>
      </c>
      <c r="K164" s="362">
        <f t="shared" ca="1" si="47"/>
        <v>1113900</v>
      </c>
    </row>
    <row r="165" spans="2:11">
      <c r="B165" s="723">
        <v>4</v>
      </c>
      <c r="C165" s="109" t="s">
        <v>81</v>
      </c>
      <c r="D165" s="358" t="str">
        <f ca="1">IF(ISERROR(OFFSET('HARGA SATUAN'!$D$6,MATCH(RAB!C165,'HARGA SATUAN'!$C$7:$C$1492,0),0)),"",OFFSET('HARGA SATUAN'!$D$6,MATCH(RAB!C165,'HARGA SATUAN'!$C$7:$C$1492,0),0))</f>
        <v>MDU-KD</v>
      </c>
      <c r="E165" s="359" t="str">
        <f ca="1">IF(B165="+","Unit",IF(ISERROR(OFFSET('HARGA SATUAN'!$E$6,MATCH(RAB!C165,'HARGA SATUAN'!$C$7:$C$1492,0),0)),"",OFFSET('HARGA SATUAN'!$E$6,MATCH(RAB!C165,'HARGA SATUAN'!$C$7:$C$1492,0),0)))</f>
        <v>Mtr</v>
      </c>
      <c r="F165" s="506">
        <v>44</v>
      </c>
      <c r="G165" s="360">
        <f ca="1">IF(ISERROR(OFFSET('HARGA SATUAN'!$I$6,MATCH(RAB!C165,'HARGA SATUAN'!$C$7:$C$1492,0),0)),0,OFFSET('HARGA SATUAN'!$I$6,MATCH(RAB!C165,'HARGA SATUAN'!$C$7:$C$1492,0),0))</f>
        <v>140200</v>
      </c>
      <c r="H165" s="361">
        <f t="shared" ca="1" si="44"/>
        <v>6168800</v>
      </c>
      <c r="I165" s="361">
        <f t="shared" ca="1" si="45"/>
        <v>0</v>
      </c>
      <c r="J165" s="361">
        <f t="shared" ca="1" si="46"/>
        <v>0</v>
      </c>
      <c r="K165" s="362">
        <f t="shared" ca="1" si="47"/>
        <v>6168800</v>
      </c>
    </row>
    <row r="166" spans="2:11">
      <c r="B166" s="723">
        <v>5</v>
      </c>
      <c r="C166" s="728" t="s">
        <v>799</v>
      </c>
      <c r="D166" s="358" t="str">
        <f ca="1">IF(ISERROR(OFFSET('HARGA SATUAN'!$D$6,MATCH(RAB!C166,'HARGA SATUAN'!$C$7:$C$1492,0),0)),"",OFFSET('HARGA SATUAN'!$D$6,MATCH(RAB!C166,'HARGA SATUAN'!$C$7:$C$1492,0),0))</f>
        <v>JASA</v>
      </c>
      <c r="E166" s="359" t="str">
        <f ca="1">IF(B166="+","Unit",IF(ISERROR(OFFSET('HARGA SATUAN'!$E$6,MATCH(RAB!C166,'HARGA SATUAN'!$C$7:$C$1492,0),0)),"",OFFSET('HARGA SATUAN'!$E$6,MATCH(RAB!C166,'HARGA SATUAN'!$C$7:$C$1492,0),0)))</f>
        <v>Unit</v>
      </c>
      <c r="F166" s="506">
        <f>F161*1</f>
        <v>1</v>
      </c>
      <c r="G166" s="360">
        <f ca="1">IF(ISERROR(OFFSET('HARGA SATUAN'!$I$6,MATCH(RAB!C166,'HARGA SATUAN'!$C$7:$C$1492,0),0)),0,OFFSET('HARGA SATUAN'!$I$6,MATCH(RAB!C166,'HARGA SATUAN'!$C$7:$C$1492,0),0))</f>
        <v>106400</v>
      </c>
      <c r="H166" s="361">
        <f t="shared" ca="1" si="44"/>
        <v>0</v>
      </c>
      <c r="I166" s="361">
        <f t="shared" ca="1" si="45"/>
        <v>0</v>
      </c>
      <c r="J166" s="361">
        <f t="shared" ca="1" si="46"/>
        <v>106400</v>
      </c>
      <c r="K166" s="362">
        <f t="shared" ca="1" si="47"/>
        <v>106400</v>
      </c>
    </row>
    <row r="167" spans="2:11">
      <c r="B167" s="507"/>
      <c r="C167" s="508"/>
      <c r="D167" s="358" t="str">
        <f ca="1">IF(ISERROR(OFFSET('HARGA SATUAN'!$D$6,MATCH(RAB!C167,'HARGA SATUAN'!$C$7:$C$1492,0),0)),"",OFFSET('HARGA SATUAN'!$D$6,MATCH(RAB!C167,'HARGA SATUAN'!$C$7:$C$1492,0),0))</f>
        <v/>
      </c>
      <c r="E167" s="359" t="str">
        <f ca="1">IF(B167="+","Unit",IF(ISERROR(OFFSET('HARGA SATUAN'!$E$6,MATCH(RAB!C167,'HARGA SATUAN'!$C$7:$C$1492,0),0)),"",OFFSET('HARGA SATUAN'!$E$6,MATCH(RAB!C167,'HARGA SATUAN'!$C$7:$C$1492,0),0)))</f>
        <v/>
      </c>
      <c r="F167" s="484"/>
      <c r="G167" s="360">
        <f ca="1">IF(ISERROR(OFFSET('HARGA SATUAN'!$I$6,MATCH(RAB!C167,'HARGA SATUAN'!$C$7:$C$1492,0),0)),0,OFFSET('HARGA SATUAN'!$I$6,MATCH(RAB!C167,'HARGA SATUAN'!$C$7:$C$1492,0),0))</f>
        <v>0</v>
      </c>
      <c r="H167" s="361">
        <f t="shared" ca="1" si="44"/>
        <v>0</v>
      </c>
      <c r="I167" s="361">
        <f t="shared" ca="1" si="45"/>
        <v>0</v>
      </c>
      <c r="J167" s="361">
        <f t="shared" ca="1" si="46"/>
        <v>0</v>
      </c>
      <c r="K167" s="362">
        <f t="shared" ca="1" si="47"/>
        <v>0</v>
      </c>
    </row>
    <row r="168" spans="2:11">
      <c r="B168" s="507" t="s">
        <v>1035</v>
      </c>
      <c r="C168" s="515" t="s">
        <v>1629</v>
      </c>
      <c r="D168" s="358" t="str">
        <f ca="1">IF(ISERROR(OFFSET('HARGA SATUAN'!$D$6,MATCH(RAB!C168,'HARGA SATUAN'!$C$7:$C$1492,0),0)),"",OFFSET('HARGA SATUAN'!$D$6,MATCH(RAB!C168,'HARGA SATUAN'!$C$7:$C$1492,0),0))</f>
        <v/>
      </c>
      <c r="E168" s="359" t="str">
        <f ca="1">IF(B168="+","Unit",IF(ISERROR(OFFSET('HARGA SATUAN'!$E$6,MATCH(RAB!C168,'HARGA SATUAN'!$C$7:$C$1492,0),0)),"",OFFSET('HARGA SATUAN'!$E$6,MATCH(RAB!C168,'HARGA SATUAN'!$C$7:$C$1492,0),0)))</f>
        <v>Unit</v>
      </c>
      <c r="F168" s="506">
        <v>1</v>
      </c>
      <c r="G168" s="360">
        <f ca="1">IF(ISERROR(OFFSET('HARGA SATUAN'!$I$6,MATCH(RAB!C168,'HARGA SATUAN'!$C$7:$C$1492,0),0)),0,OFFSET('HARGA SATUAN'!$I$6,MATCH(RAB!C168,'HARGA SATUAN'!$C$7:$C$1492,0),0))</f>
        <v>0</v>
      </c>
      <c r="H168" s="361">
        <f t="shared" ca="1" si="44"/>
        <v>0</v>
      </c>
      <c r="I168" s="361">
        <f t="shared" ca="1" si="45"/>
        <v>0</v>
      </c>
      <c r="J168" s="361">
        <f t="shared" ca="1" si="46"/>
        <v>0</v>
      </c>
      <c r="K168" s="362">
        <f t="shared" ca="1" si="47"/>
        <v>0</v>
      </c>
    </row>
    <row r="169" spans="2:11">
      <c r="B169" s="507">
        <v>1</v>
      </c>
      <c r="C169" s="515" t="s">
        <v>163</v>
      </c>
      <c r="D169" s="358" t="str">
        <f ca="1">IF(ISERROR(OFFSET('HARGA SATUAN'!$D$6,MATCH(RAB!C169,'HARGA SATUAN'!$C$7:$C$1492,0),0)),"",OFFSET('HARGA SATUAN'!$D$6,MATCH(RAB!C169,'HARGA SATUAN'!$C$7:$C$1492,0),0))</f>
        <v>HDW</v>
      </c>
      <c r="E169" s="359" t="str">
        <f ca="1">IF(B169="+","Unit",IF(ISERROR(OFFSET('HARGA SATUAN'!$E$6,MATCH(RAB!C169,'HARGA SATUAN'!$C$7:$C$1492,0),0)),"",OFFSET('HARGA SATUAN'!$E$6,MATCH(RAB!C169,'HARGA SATUAN'!$C$7:$C$1492,0),0)))</f>
        <v>Bh</v>
      </c>
      <c r="F169" s="506">
        <f>F168*4</f>
        <v>4</v>
      </c>
      <c r="G169" s="360">
        <f ca="1">IF(ISERROR(OFFSET('HARGA SATUAN'!$I$6,MATCH(RAB!C169,'HARGA SATUAN'!$C$7:$C$1492,0),0)),0,OFFSET('HARGA SATUAN'!$I$6,MATCH(RAB!C169,'HARGA SATUAN'!$C$7:$C$1492,0),0))</f>
        <v>7938</v>
      </c>
      <c r="H169" s="361">
        <f t="shared" ca="1" si="44"/>
        <v>0</v>
      </c>
      <c r="I169" s="361">
        <f t="shared" ca="1" si="45"/>
        <v>31752</v>
      </c>
      <c r="J169" s="361">
        <f t="shared" ca="1" si="46"/>
        <v>0</v>
      </c>
      <c r="K169" s="362">
        <f t="shared" ca="1" si="47"/>
        <v>31752</v>
      </c>
    </row>
    <row r="170" spans="2:11">
      <c r="B170" s="507">
        <v>2</v>
      </c>
      <c r="C170" s="515" t="s">
        <v>593</v>
      </c>
      <c r="D170" s="358" t="str">
        <f ca="1">IF(ISERROR(OFFSET('HARGA SATUAN'!$D$6,MATCH(RAB!C170,'HARGA SATUAN'!$C$7:$C$1492,0),0)),"",OFFSET('HARGA SATUAN'!$D$6,MATCH(RAB!C170,'HARGA SATUAN'!$C$7:$C$1492,0),0))</f>
        <v>HDW</v>
      </c>
      <c r="E170" s="359" t="str">
        <f ca="1">IF(B170="+","Unit",IF(ISERROR(OFFSET('HARGA SATUAN'!$E$6,MATCH(RAB!C170,'HARGA SATUAN'!$C$7:$C$1492,0),0)),"",OFFSET('HARGA SATUAN'!$E$6,MATCH(RAB!C170,'HARGA SATUAN'!$C$7:$C$1492,0),0)))</f>
        <v>Bh</v>
      </c>
      <c r="F170" s="506">
        <f>F168*1</f>
        <v>1</v>
      </c>
      <c r="G170" s="360">
        <f ca="1">IF(ISERROR(OFFSET('HARGA SATUAN'!$I$6,MATCH(RAB!C170,'HARGA SATUAN'!$C$7:$C$1492,0),0)),0,OFFSET('HARGA SATUAN'!$I$6,MATCH(RAB!C170,'HARGA SATUAN'!$C$7:$C$1492,0),0))</f>
        <v>380500</v>
      </c>
      <c r="H170" s="361">
        <f t="shared" ca="1" si="44"/>
        <v>0</v>
      </c>
      <c r="I170" s="361">
        <f t="shared" ca="1" si="45"/>
        <v>380500</v>
      </c>
      <c r="J170" s="361">
        <f t="shared" ca="1" si="46"/>
        <v>0</v>
      </c>
      <c r="K170" s="362">
        <f t="shared" ca="1" si="47"/>
        <v>380500</v>
      </c>
    </row>
    <row r="171" spans="2:11">
      <c r="B171" s="507">
        <v>3</v>
      </c>
      <c r="C171" s="515" t="s">
        <v>248</v>
      </c>
      <c r="D171" s="358" t="str">
        <f ca="1">IF(ISERROR(OFFSET('HARGA SATUAN'!$D$6,MATCH(RAB!C171,'HARGA SATUAN'!$C$7:$C$1492,0),0)),"",OFFSET('HARGA SATUAN'!$D$6,MATCH(RAB!C171,'HARGA SATUAN'!$C$7:$C$1492,0),0))</f>
        <v>HDW</v>
      </c>
      <c r="E171" s="359" t="str">
        <f ca="1">IF(B171="+","Unit",IF(ISERROR(OFFSET('HARGA SATUAN'!$E$6,MATCH(RAB!C171,'HARGA SATUAN'!$C$7:$C$1492,0),0)),"",OFFSET('HARGA SATUAN'!$E$6,MATCH(RAB!C171,'HARGA SATUAN'!$C$7:$C$1492,0),0)))</f>
        <v>Bh</v>
      </c>
      <c r="F171" s="506">
        <f>F168*2</f>
        <v>2</v>
      </c>
      <c r="G171" s="360">
        <f ca="1">IF(ISERROR(OFFSET('HARGA SATUAN'!$I$6,MATCH(RAB!C171,'HARGA SATUAN'!$C$7:$C$1492,0),0)),0,OFFSET('HARGA SATUAN'!$I$6,MATCH(RAB!C171,'HARGA SATUAN'!$C$7:$C$1492,0),0))</f>
        <v>60300</v>
      </c>
      <c r="H171" s="361">
        <f t="shared" ca="1" si="44"/>
        <v>0</v>
      </c>
      <c r="I171" s="361">
        <f t="shared" ca="1" si="45"/>
        <v>120600</v>
      </c>
      <c r="J171" s="361">
        <f t="shared" ca="1" si="46"/>
        <v>0</v>
      </c>
      <c r="K171" s="362">
        <f t="shared" ca="1" si="47"/>
        <v>120600</v>
      </c>
    </row>
    <row r="172" spans="2:11">
      <c r="B172" s="507">
        <v>4</v>
      </c>
      <c r="C172" s="508" t="s">
        <v>595</v>
      </c>
      <c r="D172" s="358" t="str">
        <f ca="1">IF(ISERROR(OFFSET('HARGA SATUAN'!$D$6,MATCH(RAB!C172,'HARGA SATUAN'!$C$7:$C$1492,0),0)),"",OFFSET('HARGA SATUAN'!$D$6,MATCH(RAB!C172,'HARGA SATUAN'!$C$7:$C$1492,0),0))</f>
        <v>HDW</v>
      </c>
      <c r="E172" s="359" t="str">
        <f ca="1">IF(B172="+","Unit",IF(ISERROR(OFFSET('HARGA SATUAN'!$E$6,MATCH(RAB!C172,'HARGA SATUAN'!$C$7:$C$1492,0),0)),"",OFFSET('HARGA SATUAN'!$E$6,MATCH(RAB!C172,'HARGA SATUAN'!$C$7:$C$1492,0),0)))</f>
        <v>Bh</v>
      </c>
      <c r="F172" s="484">
        <f>F168*1</f>
        <v>1</v>
      </c>
      <c r="G172" s="360">
        <f ca="1">IF(ISERROR(OFFSET('HARGA SATUAN'!$I$6,MATCH(RAB!C172,'HARGA SATUAN'!$C$7:$C$1492,0),0)),0,OFFSET('HARGA SATUAN'!$I$6,MATCH(RAB!C172,'HARGA SATUAN'!$C$7:$C$1492,0),0))</f>
        <v>78500</v>
      </c>
      <c r="H172" s="361">
        <f t="shared" ca="1" si="44"/>
        <v>0</v>
      </c>
      <c r="I172" s="361">
        <f t="shared" ca="1" si="45"/>
        <v>78500</v>
      </c>
      <c r="J172" s="361">
        <f t="shared" ca="1" si="46"/>
        <v>0</v>
      </c>
      <c r="K172" s="362">
        <f t="shared" ca="1" si="47"/>
        <v>78500</v>
      </c>
    </row>
    <row r="173" spans="2:11">
      <c r="B173" s="507">
        <v>5</v>
      </c>
      <c r="C173" s="508" t="s">
        <v>229</v>
      </c>
      <c r="D173" s="358" t="str">
        <f ca="1">IF(ISERROR(OFFSET('HARGA SATUAN'!$D$6,MATCH(RAB!C173,'HARGA SATUAN'!$C$7:$C$1492,0),0)),"",OFFSET('HARGA SATUAN'!$D$6,MATCH(RAB!C173,'HARGA SATUAN'!$C$7:$C$1492,0),0))</f>
        <v>HDW</v>
      </c>
      <c r="E173" s="359" t="str">
        <f ca="1">IF(B173="+","Unit",IF(ISERROR(OFFSET('HARGA SATUAN'!$E$6,MATCH(RAB!C173,'HARGA SATUAN'!$C$7:$C$1492,0),0)),"",OFFSET('HARGA SATUAN'!$E$6,MATCH(RAB!C173,'HARGA SATUAN'!$C$7:$C$1492,0),0)))</f>
        <v>Bh</v>
      </c>
      <c r="F173" s="484">
        <f>F168*1</f>
        <v>1</v>
      </c>
      <c r="G173" s="360">
        <f ca="1">IF(ISERROR(OFFSET('HARGA SATUAN'!$I$6,MATCH(RAB!C173,'HARGA SATUAN'!$C$7:$C$1492,0),0)),0,OFFSET('HARGA SATUAN'!$I$6,MATCH(RAB!C173,'HARGA SATUAN'!$C$7:$C$1492,0),0))</f>
        <v>4212</v>
      </c>
      <c r="H173" s="361">
        <f t="shared" ca="1" si="44"/>
        <v>0</v>
      </c>
      <c r="I173" s="361">
        <f t="shared" ca="1" si="45"/>
        <v>4212</v>
      </c>
      <c r="J173" s="361">
        <f t="shared" ca="1" si="46"/>
        <v>0</v>
      </c>
      <c r="K173" s="362">
        <f t="shared" ca="1" si="47"/>
        <v>4212</v>
      </c>
    </row>
    <row r="174" spans="2:11">
      <c r="B174" s="507">
        <v>6</v>
      </c>
      <c r="C174" s="508" t="s">
        <v>266</v>
      </c>
      <c r="D174" s="358" t="str">
        <f ca="1">IF(ISERROR(OFFSET('HARGA SATUAN'!$D$6,MATCH(RAB!C174,'HARGA SATUAN'!$C$7:$C$1492,0),0)),"",OFFSET('HARGA SATUAN'!$D$6,MATCH(RAB!C174,'HARGA SATUAN'!$C$7:$C$1492,0),0))</f>
        <v>HDW</v>
      </c>
      <c r="E174" s="359" t="str">
        <f ca="1">IF(B174="+","Unit",IF(ISERROR(OFFSET('HARGA SATUAN'!$E$6,MATCH(RAB!C174,'HARGA SATUAN'!$C$7:$C$1492,0),0)),"",OFFSET('HARGA SATUAN'!$E$6,MATCH(RAB!C174,'HARGA SATUAN'!$C$7:$C$1492,0),0)))</f>
        <v>Mtr</v>
      </c>
      <c r="F174" s="484">
        <f>F168*1</f>
        <v>1</v>
      </c>
      <c r="G174" s="360">
        <f ca="1">IF(ISERROR(OFFSET('HARGA SATUAN'!$I$6,MATCH(RAB!C174,'HARGA SATUAN'!$C$7:$C$1492,0),0)),0,OFFSET('HARGA SATUAN'!$I$6,MATCH(RAB!C174,'HARGA SATUAN'!$C$7:$C$1492,0),0))</f>
        <v>23310</v>
      </c>
      <c r="H174" s="361">
        <f t="shared" ca="1" si="44"/>
        <v>0</v>
      </c>
      <c r="I174" s="361">
        <f t="shared" ca="1" si="45"/>
        <v>23310</v>
      </c>
      <c r="J174" s="361">
        <f t="shared" ca="1" si="46"/>
        <v>0</v>
      </c>
      <c r="K174" s="362">
        <f t="shared" ca="1" si="47"/>
        <v>23310</v>
      </c>
    </row>
    <row r="175" spans="2:11">
      <c r="B175" s="507">
        <v>7</v>
      </c>
      <c r="C175" s="508" t="s">
        <v>35</v>
      </c>
      <c r="D175" s="358" t="str">
        <f ca="1">IF(ISERROR(OFFSET('HARGA SATUAN'!$D$6,MATCH(RAB!C175,'HARGA SATUAN'!$C$7:$C$1492,0),0)),"",OFFSET('HARGA SATUAN'!$D$6,MATCH(RAB!C175,'HARGA SATUAN'!$C$7:$C$1492,0),0))</f>
        <v>HDW</v>
      </c>
      <c r="E175" s="359" t="str">
        <f ca="1">IF(B175="+","Unit",IF(ISERROR(OFFSET('HARGA SATUAN'!$E$6,MATCH(RAB!C175,'HARGA SATUAN'!$C$7:$C$1492,0),0)),"",OFFSET('HARGA SATUAN'!$E$6,MATCH(RAB!C175,'HARGA SATUAN'!$C$7:$C$1492,0),0)))</f>
        <v>Bh</v>
      </c>
      <c r="F175" s="484">
        <f>F168*1</f>
        <v>1</v>
      </c>
      <c r="G175" s="360">
        <f ca="1">IF(ISERROR(OFFSET('HARGA SATUAN'!$I$6,MATCH(RAB!C175,'HARGA SATUAN'!$C$7:$C$1492,0),0)),0,OFFSET('HARGA SATUAN'!$I$6,MATCH(RAB!C175,'HARGA SATUAN'!$C$7:$C$1492,0),0))</f>
        <v>2300</v>
      </c>
      <c r="H175" s="361">
        <f t="shared" ca="1" si="44"/>
        <v>0</v>
      </c>
      <c r="I175" s="361">
        <f t="shared" ca="1" si="45"/>
        <v>2300</v>
      </c>
      <c r="J175" s="361">
        <f t="shared" ca="1" si="46"/>
        <v>0</v>
      </c>
      <c r="K175" s="362">
        <f t="shared" ca="1" si="47"/>
        <v>2300</v>
      </c>
    </row>
    <row r="176" spans="2:11">
      <c r="B176" s="507"/>
      <c r="C176" s="508"/>
      <c r="D176" s="358"/>
      <c r="E176" s="359"/>
      <c r="F176" s="484"/>
      <c r="G176" s="360"/>
      <c r="H176" s="361"/>
      <c r="I176" s="361"/>
      <c r="J176" s="361"/>
      <c r="K176" s="362"/>
    </row>
    <row r="177" spans="2:13">
      <c r="B177" s="507" t="s">
        <v>1035</v>
      </c>
      <c r="C177" s="508" t="s">
        <v>1630</v>
      </c>
      <c r="D177" s="358" t="str">
        <f ca="1">IF(ISERROR(OFFSET('HARGA SATUAN'!$D$6,MATCH(RAB!C177,'HARGA SATUAN'!$C$7:$C$1492,0),0)),"",OFFSET('HARGA SATUAN'!$D$6,MATCH(RAB!C177,'HARGA SATUAN'!$C$7:$C$1492,0),0))</f>
        <v/>
      </c>
      <c r="E177" s="359" t="str">
        <f ca="1">IF(B177="+","Unit",IF(ISERROR(OFFSET('HARGA SATUAN'!$E$6,MATCH(RAB!C177,'HARGA SATUAN'!$C$7:$C$1492,0),0)),"",OFFSET('HARGA SATUAN'!$E$6,MATCH(RAB!C177,'HARGA SATUAN'!$C$7:$C$1492,0),0)))</f>
        <v>Unit</v>
      </c>
      <c r="F177" s="484">
        <v>1</v>
      </c>
      <c r="G177" s="360">
        <f ca="1">IF(ISERROR(OFFSET('HARGA SATUAN'!$I$6,MATCH(RAB!C177,'HARGA SATUAN'!$C$7:$C$1492,0),0)),0,OFFSET('HARGA SATUAN'!$I$6,MATCH(RAB!C177,'HARGA SATUAN'!$C$7:$C$1492,0),0))</f>
        <v>0</v>
      </c>
      <c r="H177" s="361">
        <f t="shared" ca="1" si="44"/>
        <v>0</v>
      </c>
      <c r="I177" s="361">
        <f t="shared" ca="1" si="45"/>
        <v>0</v>
      </c>
      <c r="J177" s="361">
        <f t="shared" ca="1" si="46"/>
        <v>0</v>
      </c>
      <c r="K177" s="362">
        <f t="shared" ca="1" si="47"/>
        <v>0</v>
      </c>
    </row>
    <row r="178" spans="2:13">
      <c r="B178" s="507">
        <v>1</v>
      </c>
      <c r="C178" s="508" t="s">
        <v>29</v>
      </c>
      <c r="D178" s="358" t="str">
        <f ca="1">IF(ISERROR(OFFSET('HARGA SATUAN'!$D$6,MATCH(RAB!C178,'HARGA SATUAN'!$C$7:$C$1492,0),0)),"",OFFSET('HARGA SATUAN'!$D$6,MATCH(RAB!C178,'HARGA SATUAN'!$C$7:$C$1492,0),0))</f>
        <v>HDW</v>
      </c>
      <c r="E178" s="359" t="str">
        <f ca="1">IF(B178="+","Unit",IF(ISERROR(OFFSET('HARGA SATUAN'!$E$6,MATCH(RAB!C178,'HARGA SATUAN'!$C$7:$C$1492,0),0)),"",OFFSET('HARGA SATUAN'!$E$6,MATCH(RAB!C178,'HARGA SATUAN'!$C$7:$C$1492,0),0)))</f>
        <v>Bh</v>
      </c>
      <c r="F178" s="484">
        <f>F177*1</f>
        <v>1</v>
      </c>
      <c r="G178" s="360">
        <f ca="1">IF(ISERROR(OFFSET('HARGA SATUAN'!$I$6,MATCH(RAB!C178,'HARGA SATUAN'!$C$7:$C$1492,0),0)),0,OFFSET('HARGA SATUAN'!$I$6,MATCH(RAB!C178,'HARGA SATUAN'!$C$7:$C$1492,0),0))</f>
        <v>185200</v>
      </c>
      <c r="H178" s="361">
        <f t="shared" ca="1" si="44"/>
        <v>0</v>
      </c>
      <c r="I178" s="361">
        <f t="shared" ca="1" si="45"/>
        <v>185200</v>
      </c>
      <c r="J178" s="361">
        <f t="shared" ca="1" si="46"/>
        <v>0</v>
      </c>
      <c r="K178" s="362">
        <f t="shared" ca="1" si="47"/>
        <v>185200</v>
      </c>
    </row>
    <row r="179" spans="2:13">
      <c r="B179" s="507">
        <v>2</v>
      </c>
      <c r="C179" s="508" t="s">
        <v>30</v>
      </c>
      <c r="D179" s="358" t="str">
        <f ca="1">IF(ISERROR(OFFSET('HARGA SATUAN'!$D$6,MATCH(RAB!C179,'HARGA SATUAN'!$C$7:$C$1492,0),0)),"",OFFSET('HARGA SATUAN'!$D$6,MATCH(RAB!C179,'HARGA SATUAN'!$C$7:$C$1492,0),0))</f>
        <v>HDW</v>
      </c>
      <c r="E179" s="359" t="str">
        <f ca="1">IF(B179="+","Unit",IF(ISERROR(OFFSET('HARGA SATUAN'!$E$6,MATCH(RAB!C179,'HARGA SATUAN'!$C$7:$C$1492,0),0)),"",OFFSET('HARGA SATUAN'!$E$6,MATCH(RAB!C179,'HARGA SATUAN'!$C$7:$C$1492,0),0)))</f>
        <v>Bh</v>
      </c>
      <c r="F179" s="484">
        <f>F177*1</f>
        <v>1</v>
      </c>
      <c r="G179" s="360">
        <f ca="1">IF(ISERROR(OFFSET('HARGA SATUAN'!$I$6,MATCH(RAB!C179,'HARGA SATUAN'!$C$7:$C$1492,0),0)),0,OFFSET('HARGA SATUAN'!$I$6,MATCH(RAB!C179,'HARGA SATUAN'!$C$7:$C$1492,0),0))</f>
        <v>47459</v>
      </c>
      <c r="H179" s="361">
        <f t="shared" ca="1" si="44"/>
        <v>0</v>
      </c>
      <c r="I179" s="361">
        <f t="shared" ca="1" si="45"/>
        <v>47459</v>
      </c>
      <c r="J179" s="361">
        <f t="shared" ca="1" si="46"/>
        <v>0</v>
      </c>
      <c r="K179" s="362">
        <f t="shared" ca="1" si="47"/>
        <v>47459</v>
      </c>
    </row>
    <row r="180" spans="2:13">
      <c r="B180" s="507">
        <v>3</v>
      </c>
      <c r="C180" s="508" t="s">
        <v>32</v>
      </c>
      <c r="D180" s="358" t="str">
        <f ca="1">IF(ISERROR(OFFSET('HARGA SATUAN'!$D$6,MATCH(RAB!C180,'HARGA SATUAN'!$C$7:$C$1492,0),0)),"",OFFSET('HARGA SATUAN'!$D$6,MATCH(RAB!C180,'HARGA SATUAN'!$C$7:$C$1492,0),0))</f>
        <v>HDW</v>
      </c>
      <c r="E180" s="359" t="str">
        <f ca="1">IF(B180="+","Unit",IF(ISERROR(OFFSET('HARGA SATUAN'!$E$6,MATCH(RAB!C180,'HARGA SATUAN'!$C$7:$C$1492,0),0)),"",OFFSET('HARGA SATUAN'!$E$6,MATCH(RAB!C180,'HARGA SATUAN'!$C$7:$C$1492,0),0)))</f>
        <v>Mtr</v>
      </c>
      <c r="F180" s="484">
        <f>F177*1.5</f>
        <v>1.5</v>
      </c>
      <c r="G180" s="360">
        <f ca="1">IF(ISERROR(OFFSET('HARGA SATUAN'!$I$6,MATCH(RAB!C180,'HARGA SATUAN'!$C$7:$C$1492,0),0)),0,OFFSET('HARGA SATUAN'!$I$6,MATCH(RAB!C180,'HARGA SATUAN'!$C$7:$C$1492,0),0))</f>
        <v>30000</v>
      </c>
      <c r="H180" s="361">
        <f t="shared" ca="1" si="44"/>
        <v>0</v>
      </c>
      <c r="I180" s="361">
        <f t="shared" ca="1" si="45"/>
        <v>45000</v>
      </c>
      <c r="J180" s="361">
        <f t="shared" ca="1" si="46"/>
        <v>0</v>
      </c>
      <c r="K180" s="362">
        <f t="shared" ca="1" si="47"/>
        <v>45000</v>
      </c>
    </row>
    <row r="181" spans="2:13">
      <c r="B181" s="507">
        <v>4</v>
      </c>
      <c r="C181" s="508" t="s">
        <v>33</v>
      </c>
      <c r="D181" s="358" t="str">
        <f ca="1">IF(ISERROR(OFFSET('HARGA SATUAN'!$D$6,MATCH(RAB!C181,'HARGA SATUAN'!$C$7:$C$1492,0),0)),"",OFFSET('HARGA SATUAN'!$D$6,MATCH(RAB!C181,'HARGA SATUAN'!$C$7:$C$1492,0),0))</f>
        <v>HDW</v>
      </c>
      <c r="E181" s="359" t="str">
        <f ca="1">IF(B181="+","Unit",IF(ISERROR(OFFSET('HARGA SATUAN'!$E$6,MATCH(RAB!C181,'HARGA SATUAN'!$C$7:$C$1492,0),0)),"",OFFSET('HARGA SATUAN'!$E$6,MATCH(RAB!C181,'HARGA SATUAN'!$C$7:$C$1492,0),0)))</f>
        <v>Bh</v>
      </c>
      <c r="F181" s="484">
        <f>F177*2</f>
        <v>2</v>
      </c>
      <c r="G181" s="360">
        <f ca="1">IF(ISERROR(OFFSET('HARGA SATUAN'!$I$6,MATCH(RAB!C181,'HARGA SATUAN'!$C$7:$C$1492,0),0)),0,OFFSET('HARGA SATUAN'!$I$6,MATCH(RAB!C181,'HARGA SATUAN'!$C$7:$C$1492,0),0))</f>
        <v>9500</v>
      </c>
      <c r="H181" s="361">
        <f t="shared" ca="1" si="44"/>
        <v>0</v>
      </c>
      <c r="I181" s="361">
        <f t="shared" ca="1" si="45"/>
        <v>19000</v>
      </c>
      <c r="J181" s="361">
        <f t="shared" ca="1" si="46"/>
        <v>0</v>
      </c>
      <c r="K181" s="362">
        <f t="shared" ca="1" si="47"/>
        <v>19000</v>
      </c>
    </row>
    <row r="182" spans="2:13">
      <c r="B182" s="507">
        <v>5</v>
      </c>
      <c r="C182" s="508" t="s">
        <v>735</v>
      </c>
      <c r="D182" s="358" t="str">
        <f ca="1">IF(ISERROR(OFFSET('HARGA SATUAN'!$D$6,MATCH(RAB!C182,'HARGA SATUAN'!$C$7:$C$1492,0),0)),"",OFFSET('HARGA SATUAN'!$D$6,MATCH(RAB!C182,'HARGA SATUAN'!$C$7:$C$1492,0),0))</f>
        <v>JASA</v>
      </c>
      <c r="E182" s="359" t="str">
        <f ca="1">IF(B182="+","Unit",IF(ISERROR(OFFSET('HARGA SATUAN'!$E$6,MATCH(RAB!C182,'HARGA SATUAN'!$C$7:$C$1492,0),0)),"",OFFSET('HARGA SATUAN'!$E$6,MATCH(RAB!C182,'HARGA SATUAN'!$C$7:$C$1492,0),0)))</f>
        <v>Unit</v>
      </c>
      <c r="F182" s="484">
        <f>F177*1</f>
        <v>1</v>
      </c>
      <c r="G182" s="360">
        <f ca="1">IF(ISERROR(OFFSET('HARGA SATUAN'!$I$6,MATCH(RAB!C182,'HARGA SATUAN'!$C$7:$C$1492,0),0)),0,OFFSET('HARGA SATUAN'!$I$6,MATCH(RAB!C182,'HARGA SATUAN'!$C$7:$C$1492,0),0))</f>
        <v>56400</v>
      </c>
      <c r="H182" s="361">
        <f t="shared" ca="1" si="44"/>
        <v>0</v>
      </c>
      <c r="I182" s="361">
        <f t="shared" ca="1" si="45"/>
        <v>0</v>
      </c>
      <c r="J182" s="361">
        <f t="shared" ca="1" si="46"/>
        <v>56400</v>
      </c>
      <c r="K182" s="362">
        <f t="shared" ca="1" si="47"/>
        <v>56400</v>
      </c>
    </row>
    <row r="183" spans="2:13">
      <c r="B183" s="507"/>
      <c r="C183" s="508"/>
      <c r="D183" s="358" t="str">
        <f ca="1">IF(ISERROR(OFFSET('HARGA SATUAN'!$D$6,MATCH(RAB!C183,'HARGA SATUAN'!$C$7:$C$1492,0),0)),"",OFFSET('HARGA SATUAN'!$D$6,MATCH(RAB!C183,'HARGA SATUAN'!$C$7:$C$1492,0),0))</f>
        <v/>
      </c>
      <c r="E183" s="359" t="str">
        <f ca="1">IF(B183="+","Unit",IF(ISERROR(OFFSET('HARGA SATUAN'!$E$6,MATCH(RAB!C183,'HARGA SATUAN'!$C$7:$C$1492,0),0)),"",OFFSET('HARGA SATUAN'!$E$6,MATCH(RAB!C183,'HARGA SATUAN'!$C$7:$C$1492,0),0)))</f>
        <v/>
      </c>
      <c r="F183" s="484"/>
      <c r="G183" s="360">
        <f ca="1">IF(ISERROR(OFFSET('HARGA SATUAN'!$I$6,MATCH(RAB!C183,'HARGA SATUAN'!$C$7:$C$1492,0),0)),0,OFFSET('HARGA SATUAN'!$I$6,MATCH(RAB!C183,'HARGA SATUAN'!$C$7:$C$1492,0),0))</f>
        <v>0</v>
      </c>
      <c r="H183" s="361">
        <f t="shared" ca="1" si="44"/>
        <v>0</v>
      </c>
      <c r="I183" s="361">
        <f t="shared" ca="1" si="45"/>
        <v>0</v>
      </c>
      <c r="J183" s="361">
        <f t="shared" ca="1" si="46"/>
        <v>0</v>
      </c>
      <c r="K183" s="362">
        <f t="shared" ca="1" si="47"/>
        <v>0</v>
      </c>
    </row>
    <row r="184" spans="2:13">
      <c r="B184" s="373" t="s">
        <v>1550</v>
      </c>
      <c r="C184" s="374" t="s">
        <v>1615</v>
      </c>
      <c r="D184" s="358" t="str">
        <f ca="1">IF(ISERROR(OFFSET('HARGA SATUAN'!$D$6,MATCH(RAB!C184,'HARGA SATUAN'!$C$7:$C$1492,0),0)),"",OFFSET('HARGA SATUAN'!$D$6,MATCH(RAB!C184,'HARGA SATUAN'!$C$7:$C$1492,0),0))</f>
        <v/>
      </c>
      <c r="E184" s="359" t="str">
        <f ca="1">IF(B184="+","Unit",IF(ISERROR(OFFSET('HARGA SATUAN'!$E$6,MATCH(RAB!C184,'HARGA SATUAN'!$C$7:$C$1492,0),0)),"",OFFSET('HARGA SATUAN'!$E$6,MATCH(RAB!C184,'HARGA SATUAN'!$C$7:$C$1492,0),0)))</f>
        <v/>
      </c>
      <c r="F184" s="484"/>
      <c r="G184" s="360">
        <f ca="1">IF(ISERROR(OFFSET('HARGA SATUAN'!$I$6,MATCH(RAB!C184,'HARGA SATUAN'!$C$7:$C$1492,0),0)),0,OFFSET('HARGA SATUAN'!$I$6,MATCH(RAB!C184,'HARGA SATUAN'!$C$7:$C$1492,0),0))</f>
        <v>0</v>
      </c>
      <c r="H184" s="361">
        <f t="shared" ca="1" si="44"/>
        <v>0</v>
      </c>
      <c r="I184" s="361">
        <f t="shared" ca="1" si="45"/>
        <v>0</v>
      </c>
      <c r="J184" s="361">
        <f t="shared" ca="1" si="46"/>
        <v>0</v>
      </c>
      <c r="K184" s="362">
        <f t="shared" ca="1" si="47"/>
        <v>0</v>
      </c>
    </row>
    <row r="185" spans="2:13">
      <c r="B185" s="375"/>
      <c r="C185" s="109"/>
      <c r="D185" s="358" t="str">
        <f ca="1">IF(ISERROR(OFFSET('HARGA SATUAN'!$D$6,MATCH(RAB!C185,'HARGA SATUAN'!$C$7:$C$1492,0),0)),"",OFFSET('HARGA SATUAN'!$D$6,MATCH(RAB!C185,'HARGA SATUAN'!$C$7:$C$1492,0),0))</f>
        <v/>
      </c>
      <c r="E185" s="359" t="str">
        <f ca="1">IF(B185="+","Unit",IF(ISERROR(OFFSET('HARGA SATUAN'!$E$6,MATCH(RAB!C185,'HARGA SATUAN'!$C$7:$C$1492,0),0)),"",OFFSET('HARGA SATUAN'!$E$6,MATCH(RAB!C185,'HARGA SATUAN'!$C$7:$C$1492,0),0)))</f>
        <v/>
      </c>
      <c r="F185" s="484"/>
      <c r="G185" s="360">
        <f ca="1">IF(ISERROR(OFFSET('HARGA SATUAN'!$I$6,MATCH(RAB!C185,'HARGA SATUAN'!$C$7:$C$1492,0),0)),0,OFFSET('HARGA SATUAN'!$I$6,MATCH(RAB!C185,'HARGA SATUAN'!$C$7:$C$1492,0),0))</f>
        <v>0</v>
      </c>
      <c r="H185" s="361">
        <f t="shared" ca="1" si="44"/>
        <v>0</v>
      </c>
      <c r="I185" s="361">
        <f t="shared" ca="1" si="45"/>
        <v>0</v>
      </c>
      <c r="J185" s="361">
        <f t="shared" ca="1" si="46"/>
        <v>0</v>
      </c>
      <c r="K185" s="362">
        <f t="shared" ca="1" si="47"/>
        <v>0</v>
      </c>
    </row>
    <row r="186" spans="2:13">
      <c r="B186" s="376"/>
      <c r="C186" s="377" t="s">
        <v>475</v>
      </c>
      <c r="D186" s="358" t="str">
        <f ca="1">IF(ISERROR(OFFSET('HARGA SATUAN'!$D$6,MATCH(RAB!C186,'HARGA SATUAN'!$C$7:$C$1492,0),0)),"",OFFSET('HARGA SATUAN'!$D$6,MATCH(RAB!C186,'HARGA SATUAN'!$C$7:$C$1492,0),0))</f>
        <v/>
      </c>
      <c r="E186" s="359" t="str">
        <f ca="1">IF(B186="+","Unit",IF(ISERROR(OFFSET('HARGA SATUAN'!$E$6,MATCH(RAB!C186,'HARGA SATUAN'!$C$7:$C$1492,0),0)),"",OFFSET('HARGA SATUAN'!$E$6,MATCH(RAB!C186,'HARGA SATUAN'!$C$7:$C$1492,0),0)))</f>
        <v/>
      </c>
      <c r="F186" s="484"/>
      <c r="G186" s="360">
        <f ca="1">IF(ISERROR(OFFSET('HARGA SATUAN'!$I$6,MATCH(RAB!C186,'HARGA SATUAN'!$C$7:$C$1492,0),0)),0,OFFSET('HARGA SATUAN'!$I$6,MATCH(RAB!C186,'HARGA SATUAN'!$C$7:$C$1492,0),0))</f>
        <v>0</v>
      </c>
      <c r="H186" s="361">
        <f t="shared" ca="1" si="40"/>
        <v>0</v>
      </c>
      <c r="I186" s="361">
        <f t="shared" ca="1" si="41"/>
        <v>0</v>
      </c>
      <c r="J186" s="361">
        <f t="shared" ca="1" si="42"/>
        <v>0</v>
      </c>
      <c r="K186" s="362">
        <f t="shared" ca="1" si="43"/>
        <v>0</v>
      </c>
    </row>
    <row r="187" spans="2:13">
      <c r="B187" s="379">
        <v>1</v>
      </c>
      <c r="C187" s="380" t="s">
        <v>1091</v>
      </c>
      <c r="D187" s="381" t="str">
        <f ca="1">IF(ISERROR(OFFSET('HARGA SATUAN'!$D$6,MATCH(RAB!C187,'HARGA SATUAN'!$C$7:$C$1492,0),0)),"",OFFSET('HARGA SATUAN'!$D$6,MATCH(RAB!C187,'HARGA SATUAN'!$C$7:$C$1492,0),0))</f>
        <v>JASA</v>
      </c>
      <c r="E187" s="382" t="str">
        <f ca="1">IF(ISERROR(OFFSET('HARGA SATUAN'!$E$6,MATCH(RAB!C187,'HARGA SATUAN'!$C$7:$C$1492,0),0)),"",OFFSET('HARGA SATUAN'!$E$6,MATCH(RAB!C187,'HARGA SATUAN'!$C$7:$C$1492,0),0))</f>
        <v>Lot</v>
      </c>
      <c r="F187" s="383">
        <v>1</v>
      </c>
      <c r="G187" s="384">
        <f ca="1">IF(ISERROR(OFFSET('HARGA SATUAN'!$I$6,MATCH(RAB!C187,'HARGA SATUAN'!$C$7:$C$1492,0),0)),0,OFFSET('HARGA SATUAN'!$I$6,MATCH(RAB!C187,'HARGA SATUAN'!$C$7:$C$1492,0),0))</f>
        <v>2.5000000000000001E-2</v>
      </c>
      <c r="H187" s="385">
        <f ca="1">2.5%*(SUM(H14:H186))</f>
        <v>2913383.75</v>
      </c>
      <c r="I187" s="385">
        <f t="shared" ref="I187" ca="1" si="48">2.5%*(SUM(I14:I186))</f>
        <v>1224809.0050000001</v>
      </c>
      <c r="J187" s="385">
        <f ca="1">2.5%*(SUM(J14:J186))</f>
        <v>148148.86666666667</v>
      </c>
      <c r="K187" s="386">
        <f ca="1">SUM(H187:J187)</f>
        <v>4286341.6216666661</v>
      </c>
    </row>
    <row r="188" spans="2:13">
      <c r="B188" s="387"/>
      <c r="C188" s="388"/>
      <c r="D188" s="358" t="str">
        <f ca="1">IF(ISERROR(OFFSET('HARGA SATUAN'!$D$6,MATCH(RAB!C188,'HARGA SATUAN'!$C$7:$C$1492,0),0)),"",OFFSET('HARGA SATUAN'!$D$6,MATCH(RAB!C188,'HARGA SATUAN'!$C$7:$C$1492,0),0))</f>
        <v/>
      </c>
      <c r="E188" s="359" t="str">
        <f ca="1">IF(ISERROR(OFFSET('HARGA SATUAN'!$E$6,MATCH(RAB!C188,'HARGA SATUAN'!$C$7:$C$1492,0),0)),"",OFFSET('HARGA SATUAN'!$E$6,MATCH(RAB!C188,'HARGA SATUAN'!$C$7:$C$1492,0),0))</f>
        <v/>
      </c>
      <c r="F188" s="378"/>
      <c r="G188" s="360" t="str">
        <f ca="1">IF(ISERROR(OFFSET('HARGA SATUAN'!$I$6,MATCH(RAB!C188,'HARGA SATUAN'!$C$7:$C$1492,0),0)),"",OFFSET('HARGA SATUAN'!$I$6,MATCH(RAB!C188,'HARGA SATUAN'!$C$7:$C$1492,0),0))</f>
        <v/>
      </c>
      <c r="H188" s="361">
        <f ca="1">IF(OR(D188="MDU",D188="MDU-KD"),IF(G188="PLN",0,G188*F188),0)</f>
        <v>0</v>
      </c>
      <c r="I188" s="361">
        <f ca="1">IF(D188="HDW",IF(G188="PLN",0,G188*F188),0)</f>
        <v>0</v>
      </c>
      <c r="J188" s="361">
        <f ca="1">IF(D188="JASA",IF(G188="PLN",0,G188*F188),0)</f>
        <v>0</v>
      </c>
      <c r="K188" s="362">
        <f ca="1">SUM(H188:J188)</f>
        <v>0</v>
      </c>
    </row>
    <row r="189" spans="2:13" ht="15.75" thickBot="1">
      <c r="B189" s="389"/>
      <c r="C189" s="390"/>
      <c r="D189" s="391"/>
      <c r="E189" s="392"/>
      <c r="F189" s="392"/>
      <c r="G189" s="392"/>
      <c r="H189" s="393"/>
      <c r="I189" s="393"/>
      <c r="J189" s="393"/>
      <c r="K189" s="394"/>
    </row>
    <row r="190" spans="2:13">
      <c r="B190" s="395"/>
      <c r="C190" s="626" t="s">
        <v>1008</v>
      </c>
      <c r="D190" s="626"/>
      <c r="E190" s="626"/>
      <c r="F190" s="626"/>
      <c r="G190" s="396" t="s">
        <v>9</v>
      </c>
      <c r="H190" s="397">
        <f ca="1">SUM(H14:H188)</f>
        <v>119448733.75</v>
      </c>
      <c r="I190" s="397">
        <f ca="1">SUM(I14:I188)</f>
        <v>50217169.205000006</v>
      </c>
      <c r="J190" s="397">
        <f ca="1">SUM(J14:J188)</f>
        <v>6074103.5333333332</v>
      </c>
      <c r="K190" s="397">
        <f ca="1">SUM(K14:K188)</f>
        <v>175740006.48833334</v>
      </c>
    </row>
    <row r="191" spans="2:13">
      <c r="B191" s="400"/>
      <c r="C191" s="642" t="s">
        <v>1460</v>
      </c>
      <c r="D191" s="642"/>
      <c r="E191" s="642"/>
      <c r="F191" s="642"/>
      <c r="G191" s="401" t="s">
        <v>9</v>
      </c>
      <c r="H191" s="402">
        <f ca="1">H190*0.11</f>
        <v>13139360.7125</v>
      </c>
      <c r="I191" s="402">
        <f ca="1">I190*0.11</f>
        <v>5523888.6125500007</v>
      </c>
      <c r="J191" s="402">
        <f ca="1">J190*0.11</f>
        <v>668151.38866666669</v>
      </c>
      <c r="K191" s="402">
        <f ca="1">K190*0.11</f>
        <v>19331400.713716667</v>
      </c>
    </row>
    <row r="192" spans="2:13" ht="15.75" thickBot="1">
      <c r="B192" s="400"/>
      <c r="C192" s="640" t="s">
        <v>463</v>
      </c>
      <c r="D192" s="640"/>
      <c r="E192" s="640"/>
      <c r="F192" s="640"/>
      <c r="G192" s="404" t="s">
        <v>9</v>
      </c>
      <c r="H192" s="405">
        <f ca="1">SUM(H190:H191)</f>
        <v>132588094.46250001</v>
      </c>
      <c r="I192" s="405">
        <f ca="1">SUM(I190:I191)</f>
        <v>55741057.817550004</v>
      </c>
      <c r="J192" s="404">
        <f ca="1">SUM(J190:J191)</f>
        <v>6742254.9220000003</v>
      </c>
      <c r="K192" s="404">
        <f ca="1">SUM(K190:K191)</f>
        <v>195071407.20205</v>
      </c>
      <c r="M192" s="488"/>
    </row>
    <row r="193" spans="2:11">
      <c r="B193" s="643" t="str">
        <f ca="1">"Terbilang : "&amp;PROPER(IF(K192=0,"nol",IF(K192&lt;0,"minus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IF(--MID(TEXT(ABS(K192),"000000000000000"),1,3)=0,"",MID(TEXT(ABS(K192),"000000000000000"),1,1)&amp;" ratus "&amp;MID(TEXT(ABS(K192),"000000000000000"),2,1)&amp;" puluh "&amp;MID(TEXT(ABS(K192),"000000000000000"),3,1)&amp;" trilyun ")&amp; IF(--MID(TEXT(ABS(K192),"000000000000000"),4,3)=0,"",MID(TEXT(ABS(K192),"000000000000000"),4,1)&amp;" ratus "&amp;MID(TEXT(ABS(K192),"000000000000000"),5,1)&amp;" puluh "&amp;MID(TEXT(ABS(K192),"000000000000000"),6,1)&amp;" milyar ")&amp; IF(--MID(TEXT(ABS(K192),"000000000000000"),7,3)=0,"",MID(TEXT(ABS(K192),"000000000000000"),7,1)&amp;" ratus "&amp;MID(TEXT(ABS(K192),"000000000000000"),8,1)&amp;" puluh "&amp;MID(TEXT(ABS(K192),"000000000000000"),9,1)&amp;" juta ")&amp; IF(--MID(TEXT(ABS(K192),"000000000000000"),10,3)=0,"",IF(--MID(TEXT(ABS(K192),"000000000000000"),10,3)=1,"*",MID(TEXT(ABS(K192),"000000000000000"),10,1)&amp;" ratus "&amp;MID(TEXT(ABS(K192),"000000000000000"),11,1)&amp;" puluh ")&amp;MID(TEXT(ABS(K192),"000000000000000"),12,1)&amp;" ribu ")&amp; IF(--MID(TEXT(ABS(K192),"000000000000000"),13,3)=0,"",MID(TEXT(ABS(K192),"000000000000000"),13,1)&amp;" ratus "&amp;MID(TEXT(ABS(K192),"000000000000000"),14,1)&amp;" puluh "&amp;MID(TEXT(ABS(K192),"000000000000000"),15,1)),1,"satu"),2,"dua"),3,"tiga"),4,"empat"),5,"lima"),6,"enam"),7,"tujuh"),8,"delapan"),9,"sembilan"),"0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Sembilan Puluh Lima Juta Tujuh Puluh Satu Ribu Empat Ratus Tujuh Rupiah</v>
      </c>
      <c r="C193" s="644"/>
      <c r="D193" s="644"/>
      <c r="E193" s="644"/>
      <c r="F193" s="644"/>
      <c r="G193" s="644"/>
      <c r="H193" s="644"/>
      <c r="I193" s="644"/>
      <c r="J193" s="644"/>
      <c r="K193" s="645"/>
    </row>
    <row r="194" spans="2:11">
      <c r="B194" s="646"/>
      <c r="C194" s="647"/>
      <c r="D194" s="647"/>
      <c r="E194" s="647"/>
      <c r="F194" s="647"/>
      <c r="G194" s="647"/>
      <c r="H194" s="647"/>
      <c r="I194" s="647"/>
      <c r="J194" s="647"/>
      <c r="K194" s="648"/>
    </row>
    <row r="195" spans="2:11" ht="15.75" thickBot="1">
      <c r="B195" s="407" t="str">
        <f>"Harga yang dipakai adalah "&amp;'HARGA SATUAN'!I5&amp;""</f>
        <v>Harga yang dipakai adalah RAB HSS 2023</v>
      </c>
      <c r="C195" s="408"/>
      <c r="D195" s="409"/>
      <c r="E195" s="409"/>
      <c r="F195" s="409"/>
      <c r="G195" s="410"/>
      <c r="H195" s="410"/>
      <c r="I195" s="410"/>
      <c r="J195" s="410"/>
      <c r="K195" s="411"/>
    </row>
    <row r="196" spans="2:11">
      <c r="C196" s="412"/>
      <c r="E196" s="414"/>
      <c r="F196" s="414"/>
      <c r="G196" s="414"/>
    </row>
    <row r="197" spans="2:11">
      <c r="C197" s="337"/>
      <c r="E197" s="414"/>
      <c r="F197" s="414"/>
      <c r="G197" s="414"/>
      <c r="H197" s="649"/>
      <c r="I197" s="649"/>
      <c r="J197" s="650"/>
      <c r="K197" s="650"/>
    </row>
    <row r="198" spans="2:11">
      <c r="C198" s="337"/>
      <c r="E198" s="414"/>
      <c r="F198" s="414"/>
      <c r="G198" s="414"/>
      <c r="H198" s="415"/>
      <c r="I198" s="639" t="s">
        <v>1613</v>
      </c>
      <c r="J198" s="639"/>
      <c r="K198" s="639"/>
    </row>
    <row r="199" spans="2:11">
      <c r="C199" s="337"/>
      <c r="E199" s="414"/>
      <c r="F199" s="414"/>
      <c r="G199" s="414"/>
      <c r="H199" s="415"/>
      <c r="I199" s="639" t="s">
        <v>1551</v>
      </c>
      <c r="J199" s="639"/>
      <c r="K199" s="639"/>
    </row>
    <row r="200" spans="2:11">
      <c r="C200" s="337"/>
      <c r="E200" s="414"/>
      <c r="F200" s="414"/>
      <c r="G200" s="414"/>
      <c r="H200" s="416"/>
      <c r="I200" s="417"/>
      <c r="J200" s="417"/>
      <c r="K200" s="417"/>
    </row>
    <row r="201" spans="2:11">
      <c r="C201" s="337"/>
      <c r="E201" s="414"/>
      <c r="F201" s="414"/>
      <c r="G201" s="414"/>
      <c r="H201" s="416"/>
      <c r="I201" s="416"/>
      <c r="J201" s="416"/>
      <c r="K201" s="416"/>
    </row>
    <row r="202" spans="2:11">
      <c r="C202" s="337"/>
      <c r="E202" s="414"/>
      <c r="F202" s="414"/>
      <c r="G202" s="414"/>
      <c r="H202" s="416"/>
      <c r="I202" s="416"/>
      <c r="J202" s="416"/>
      <c r="K202" s="416"/>
    </row>
    <row r="203" spans="2:11">
      <c r="C203" s="337"/>
      <c r="E203" s="414"/>
      <c r="F203" s="414"/>
      <c r="G203" s="414"/>
      <c r="H203" s="416"/>
      <c r="I203" s="416"/>
      <c r="J203" s="416"/>
      <c r="K203" s="416"/>
    </row>
    <row r="204" spans="2:11">
      <c r="C204" s="337"/>
      <c r="E204" s="414"/>
      <c r="F204" s="414"/>
      <c r="G204" s="414"/>
      <c r="H204" s="418"/>
      <c r="I204" s="639" t="s">
        <v>1552</v>
      </c>
      <c r="J204" s="639"/>
      <c r="K204" s="639"/>
    </row>
    <row r="205" spans="2:11">
      <c r="C205" s="412"/>
      <c r="E205" s="414"/>
      <c r="F205" s="414"/>
      <c r="G205" s="414"/>
      <c r="H205" s="416"/>
      <c r="I205" s="416"/>
      <c r="J205" s="416"/>
      <c r="K205" s="416"/>
    </row>
    <row r="206" spans="2:11">
      <c r="C206" s="412"/>
      <c r="E206" s="414"/>
      <c r="F206" s="414"/>
      <c r="G206" s="414"/>
      <c r="H206" s="416"/>
      <c r="I206" s="416"/>
      <c r="J206" s="416"/>
      <c r="K206" s="416"/>
    </row>
    <row r="207" spans="2:11">
      <c r="C207" s="412"/>
      <c r="E207" s="414"/>
      <c r="F207" s="414"/>
      <c r="G207" s="414"/>
      <c r="H207" s="416"/>
      <c r="I207" s="416"/>
      <c r="J207" s="416"/>
      <c r="K207" s="416"/>
    </row>
  </sheetData>
  <sheetProtection sort="0" autoFilter="0"/>
  <protectedRanges>
    <protectedRange sqref="B185 B140:B147" name="Range1_1"/>
    <protectedRange sqref="F14:F16 F21:F23" name="Range1_1_2_2"/>
    <protectedRange sqref="B184:C184 B58:C59 B89:C90 B91:B94 B159:C159 B95:C111 B126:C127 C140:C147 C118 B83:C83" name="Range1_1_1"/>
    <protectedRange sqref="C131" name="Range1_1_2_2_1"/>
    <protectedRange sqref="C185" name="Range1_1_3_12"/>
    <protectedRange sqref="C40 C42:C57" name="Range1_1_3_2"/>
    <protectedRange sqref="F18:F20" name="Range1_1_2_2_1_1"/>
    <protectedRange sqref="B27:C27 B29:C38 B24:B26" name="Range1_1_1_1"/>
    <protectedRange sqref="B28:C28" name="Range1_6_1_1"/>
    <protectedRange sqref="F24:F38" name="Range1_1_2_2_1_3"/>
    <protectedRange sqref="C25 C121 C61:C62" name="Range1_1_3_3"/>
    <protectedRange sqref="C26" name="Range1_1_3_4"/>
    <protectedRange sqref="C41 C63" name="Range1_1_3_5"/>
    <protectedRange sqref="C91" name="Range1_1_3_6"/>
    <protectedRange sqref="C92" name="Range1_1_3_8"/>
    <protectedRange sqref="C93" name="Range1_1_3_9"/>
    <protectedRange sqref="C94" name="Range1_1_3_10"/>
    <protectedRange sqref="C132" name="Range1_1_3_16"/>
    <protectedRange sqref="C136" name="Range1_1_3_17"/>
    <protectedRange sqref="C129" name="Range1_1_3_11"/>
    <protectedRange sqref="C165" name="Range1_1_3"/>
  </protectedRanges>
  <mergeCells count="22">
    <mergeCell ref="I199:K199"/>
    <mergeCell ref="I204:K204"/>
    <mergeCell ref="C192:F192"/>
    <mergeCell ref="G6:K6"/>
    <mergeCell ref="I198:K198"/>
    <mergeCell ref="C191:F191"/>
    <mergeCell ref="B193:K194"/>
    <mergeCell ref="H197:K197"/>
    <mergeCell ref="H11:K11"/>
    <mergeCell ref="H12:H13"/>
    <mergeCell ref="J12:J13"/>
    <mergeCell ref="K12:K13"/>
    <mergeCell ref="O3:P4"/>
    <mergeCell ref="B4:K4"/>
    <mergeCell ref="C190:F190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">
    <cfRule type="cellIs" dxfId="20" priority="479" operator="equal">
      <formula>0</formula>
    </cfRule>
  </conditionalFormatting>
  <conditionalFormatting sqref="C17:C20">
    <cfRule type="cellIs" dxfId="19" priority="64" operator="equal">
      <formula>0</formula>
    </cfRule>
  </conditionalFormatting>
  <conditionalFormatting sqref="C25:C26">
    <cfRule type="cellIs" dxfId="18" priority="59" operator="equal">
      <formula>0</formula>
    </cfRule>
  </conditionalFormatting>
  <conditionalFormatting sqref="C41">
    <cfRule type="cellIs" dxfId="17" priority="54" operator="equal">
      <formula>0</formula>
    </cfRule>
  </conditionalFormatting>
  <conditionalFormatting sqref="C91:C94">
    <cfRule type="cellIs" dxfId="16" priority="48" operator="equal">
      <formula>0</formula>
    </cfRule>
  </conditionalFormatting>
  <conditionalFormatting sqref="C121">
    <cfRule type="cellIs" dxfId="15" priority="21" operator="equal">
      <formula>0</formula>
    </cfRule>
  </conditionalFormatting>
  <conditionalFormatting sqref="C132:C133">
    <cfRule type="cellIs" dxfId="13" priority="25" operator="equal">
      <formula>0</formula>
    </cfRule>
  </conditionalFormatting>
  <conditionalFormatting sqref="C136">
    <cfRule type="cellIs" dxfId="12" priority="24" operator="equal">
      <formula>0</formula>
    </cfRule>
  </conditionalFormatting>
  <conditionalFormatting sqref="C147">
    <cfRule type="cellIs" dxfId="11" priority="70" operator="equal">
      <formula>0</formula>
    </cfRule>
  </conditionalFormatting>
  <conditionalFormatting sqref="C185">
    <cfRule type="cellIs" dxfId="8" priority="77" operator="equal">
      <formula>0</formula>
    </cfRule>
  </conditionalFormatting>
  <conditionalFormatting sqref="E1:E3 G1:G13 E5:E13 H12:I12 O13 S14:V57 E187:G187 H187:K189 E188:H188 E189:F189 E14:K59 E60:E82 G60:K82 E83:K186">
    <cfRule type="cellIs" dxfId="7" priority="1059" stopIfTrue="1" operator="equal">
      <formula>0</formula>
    </cfRule>
  </conditionalFormatting>
  <conditionalFormatting sqref="G188:G65654 E193:E65654">
    <cfRule type="cellIs" dxfId="6" priority="193" stopIfTrue="1" operator="equal">
      <formula>0</formula>
    </cfRule>
  </conditionalFormatting>
  <conditionalFormatting sqref="C61">
    <cfRule type="cellIs" dxfId="5" priority="6" operator="equal">
      <formula>0</formula>
    </cfRule>
  </conditionalFormatting>
  <conditionalFormatting sqref="C62">
    <cfRule type="cellIs" dxfId="4" priority="5" operator="equal">
      <formula>0</formula>
    </cfRule>
  </conditionalFormatting>
  <conditionalFormatting sqref="C63">
    <cfRule type="cellIs" dxfId="3" priority="4" operator="equal">
      <formula>0</formula>
    </cfRule>
  </conditionalFormatting>
  <conditionalFormatting sqref="C129">
    <cfRule type="cellIs" dxfId="2" priority="3" operator="equal">
      <formula>0</formula>
    </cfRule>
  </conditionalFormatting>
  <conditionalFormatting sqref="C162">
    <cfRule type="cellIs" dxfId="1" priority="2" operator="equal">
      <formula>0</formula>
    </cfRule>
  </conditionalFormatting>
  <conditionalFormatting sqref="C16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67 F172:F186 C130:C131 F24:F39 F110:F160 F59 F83:F108 H14:K18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32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4" zoomScaleNormal="115" zoomScaleSheetLayoutView="100" workbookViewId="0">
      <selection activeCell="F26" sqref="F25:F26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3" t="s">
        <v>1439</v>
      </c>
      <c r="X2" s="654"/>
      <c r="Y2" s="654"/>
      <c r="Z2" s="654"/>
      <c r="AA2" s="654"/>
      <c r="AB2" s="654"/>
      <c r="AC2" s="654"/>
      <c r="AD2" s="655"/>
    </row>
    <row r="3" spans="3:30">
      <c r="C3" s="238"/>
      <c r="W3" s="656"/>
      <c r="X3" s="657"/>
      <c r="Y3" s="657"/>
      <c r="Z3" s="657"/>
      <c r="AA3" s="657"/>
      <c r="AB3" s="657"/>
      <c r="AC3" s="657"/>
      <c r="AD3" s="65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9" t="s">
        <v>990</v>
      </c>
      <c r="Y5" s="659"/>
      <c r="Z5" s="659"/>
      <c r="AA5" s="659" t="s">
        <v>988</v>
      </c>
      <c r="AB5" s="659"/>
      <c r="AC5" s="659" t="s">
        <v>989</v>
      </c>
      <c r="AD5" s="660"/>
    </row>
    <row r="6" spans="3:30">
      <c r="C6" s="238"/>
      <c r="W6" s="241">
        <v>1</v>
      </c>
      <c r="X6" s="659" t="s">
        <v>993</v>
      </c>
      <c r="Y6" s="659"/>
      <c r="Z6" s="659"/>
      <c r="AA6" s="659"/>
      <c r="AB6" s="659"/>
      <c r="AC6" s="659"/>
      <c r="AD6" s="660"/>
    </row>
    <row r="7" spans="3:30">
      <c r="C7" s="238"/>
      <c r="E7" s="494" t="str">
        <f>PETA!C6</f>
        <v>KOORDINAT : -6.927520, 110.632417</v>
      </c>
      <c r="W7" s="241">
        <v>2</v>
      </c>
      <c r="X7" s="659" t="s">
        <v>994</v>
      </c>
      <c r="Y7" s="659"/>
      <c r="Z7" s="659"/>
      <c r="AA7" s="659"/>
      <c r="AB7" s="659"/>
      <c r="AC7" s="659"/>
      <c r="AD7" s="660"/>
    </row>
    <row r="8" spans="3:30">
      <c r="C8" s="238"/>
      <c r="W8" s="241">
        <v>3</v>
      </c>
      <c r="X8" s="659" t="s">
        <v>995</v>
      </c>
      <c r="Y8" s="659"/>
      <c r="Z8" s="659"/>
      <c r="AA8" s="659"/>
      <c r="AB8" s="659"/>
      <c r="AC8" s="659"/>
      <c r="AD8" s="660"/>
    </row>
    <row r="9" spans="3:30" ht="12.75">
      <c r="C9" s="238"/>
      <c r="O9" s="523"/>
      <c r="W9" s="241">
        <v>4</v>
      </c>
      <c r="X9" s="659" t="s">
        <v>996</v>
      </c>
      <c r="Y9" s="659"/>
      <c r="Z9" s="659"/>
      <c r="AA9" s="659"/>
      <c r="AB9" s="659"/>
      <c r="AC9" s="659"/>
      <c r="AD9" s="660"/>
    </row>
    <row r="10" spans="3:30">
      <c r="C10" s="238"/>
      <c r="W10" s="241">
        <v>5</v>
      </c>
      <c r="X10" s="659" t="s">
        <v>997</v>
      </c>
      <c r="Y10" s="659"/>
      <c r="Z10" s="659"/>
      <c r="AA10" s="659"/>
      <c r="AB10" s="659"/>
      <c r="AC10" s="659"/>
      <c r="AD10" s="660"/>
    </row>
    <row r="11" spans="3:30">
      <c r="C11" s="238"/>
      <c r="W11" s="241">
        <v>6</v>
      </c>
      <c r="X11" s="659" t="s">
        <v>998</v>
      </c>
      <c r="Y11" s="659"/>
      <c r="Z11" s="659"/>
      <c r="AA11" s="659"/>
      <c r="AB11" s="659"/>
      <c r="AC11" s="659"/>
      <c r="AD11" s="660"/>
    </row>
    <row r="12" spans="3:30">
      <c r="C12" s="238"/>
      <c r="W12" s="241">
        <v>7</v>
      </c>
      <c r="X12" s="659" t="s">
        <v>999</v>
      </c>
      <c r="Y12" s="659"/>
      <c r="Z12" s="659"/>
      <c r="AA12" s="659"/>
      <c r="AB12" s="659"/>
      <c r="AC12" s="659"/>
      <c r="AD12" s="660"/>
    </row>
    <row r="13" spans="3:30" ht="12.75" customHeight="1">
      <c r="C13" s="238"/>
      <c r="W13" s="241">
        <v>8</v>
      </c>
      <c r="X13" s="659" t="s">
        <v>1000</v>
      </c>
      <c r="Y13" s="659"/>
      <c r="Z13" s="659"/>
      <c r="AA13" s="659"/>
      <c r="AB13" s="659"/>
      <c r="AC13" s="659"/>
      <c r="AD13" s="660"/>
    </row>
    <row r="14" spans="3:30">
      <c r="C14" s="238"/>
      <c r="W14" s="241">
        <v>9</v>
      </c>
      <c r="X14" s="659" t="s">
        <v>1001</v>
      </c>
      <c r="Y14" s="659"/>
      <c r="Z14" s="659"/>
      <c r="AA14" s="659"/>
      <c r="AB14" s="659"/>
      <c r="AC14" s="659"/>
      <c r="AD14" s="660"/>
    </row>
    <row r="15" spans="3:30">
      <c r="C15" s="238"/>
      <c r="W15" s="241">
        <v>10</v>
      </c>
      <c r="X15" s="659" t="s">
        <v>1010</v>
      </c>
      <c r="Y15" s="659"/>
      <c r="Z15" s="659"/>
      <c r="AA15" s="659"/>
      <c r="AB15" s="659"/>
      <c r="AC15" s="659"/>
      <c r="AD15" s="660"/>
    </row>
    <row r="16" spans="3:30">
      <c r="C16" s="238"/>
      <c r="W16" s="241">
        <v>11</v>
      </c>
      <c r="X16" s="659" t="s">
        <v>1458</v>
      </c>
      <c r="Y16" s="659"/>
      <c r="Z16" s="659"/>
      <c r="AA16" s="659"/>
      <c r="AB16" s="659"/>
      <c r="AC16" s="659"/>
      <c r="AD16" s="660"/>
    </row>
    <row r="17" spans="3:30">
      <c r="C17" s="238"/>
      <c r="S17" s="242"/>
      <c r="W17" s="241">
        <v>12</v>
      </c>
      <c r="X17" s="659" t="s">
        <v>1011</v>
      </c>
      <c r="Y17" s="659"/>
      <c r="Z17" s="659"/>
      <c r="AA17" s="659"/>
      <c r="AB17" s="659"/>
      <c r="AC17" s="659"/>
      <c r="AD17" s="660"/>
    </row>
    <row r="18" spans="3:30">
      <c r="C18" s="243"/>
      <c r="D18" s="244"/>
      <c r="E18" s="244"/>
      <c r="W18" s="241">
        <v>13</v>
      </c>
      <c r="X18" s="659"/>
      <c r="Y18" s="659"/>
      <c r="Z18" s="659"/>
      <c r="AA18" s="659"/>
      <c r="AB18" s="659"/>
      <c r="AC18" s="659"/>
      <c r="AD18" s="660"/>
    </row>
    <row r="19" spans="3:30">
      <c r="C19" s="238"/>
      <c r="W19" s="245"/>
      <c r="X19" s="676"/>
      <c r="Y19" s="676"/>
      <c r="Z19" s="676"/>
      <c r="AA19" s="676"/>
      <c r="AB19" s="676"/>
      <c r="AC19" s="676"/>
      <c r="AD19" s="677"/>
    </row>
    <row r="20" spans="3:30">
      <c r="C20" s="238"/>
      <c r="W20" s="661" t="s">
        <v>992</v>
      </c>
      <c r="X20" s="662"/>
      <c r="Y20" s="662"/>
      <c r="Z20" s="662"/>
      <c r="AA20" s="662"/>
      <c r="AB20" s="662"/>
      <c r="AC20" s="662"/>
      <c r="AD20" s="663"/>
    </row>
    <row r="21" spans="3:30">
      <c r="C21" s="238"/>
      <c r="W21" s="664" t="s">
        <v>985</v>
      </c>
      <c r="X21" s="665"/>
      <c r="Y21" s="665"/>
      <c r="Z21" s="666"/>
      <c r="AA21" s="667" t="s">
        <v>986</v>
      </c>
      <c r="AB21" s="668"/>
      <c r="AC21" s="668"/>
      <c r="AD21" s="669"/>
    </row>
    <row r="22" spans="3:30">
      <c r="C22" s="238"/>
      <c r="W22" s="670" t="s">
        <v>1637</v>
      </c>
      <c r="X22" s="671"/>
      <c r="Y22" s="496">
        <v>2</v>
      </c>
      <c r="Z22" s="503"/>
      <c r="AA22" s="672"/>
      <c r="AB22" s="673"/>
      <c r="AC22" s="248"/>
      <c r="AD22" s="249"/>
    </row>
    <row r="23" spans="3:30">
      <c r="C23" s="238"/>
      <c r="W23" s="670" t="s">
        <v>1638</v>
      </c>
      <c r="X23" s="671"/>
      <c r="Y23" s="496">
        <v>2</v>
      </c>
      <c r="Z23" s="503"/>
      <c r="AA23" s="674"/>
      <c r="AB23" s="675"/>
      <c r="AC23" s="248"/>
      <c r="AD23" s="249"/>
    </row>
    <row r="24" spans="3:30">
      <c r="C24" s="238"/>
      <c r="W24" s="680" t="s">
        <v>1621</v>
      </c>
      <c r="X24" s="681"/>
      <c r="Y24" s="246">
        <v>2</v>
      </c>
      <c r="Z24" s="247"/>
      <c r="AA24" s="682"/>
      <c r="AB24" s="683"/>
      <c r="AC24" s="248"/>
      <c r="AD24" s="249"/>
    </row>
    <row r="25" spans="3:30">
      <c r="C25" s="238"/>
      <c r="W25" s="680"/>
      <c r="X25" s="681"/>
      <c r="Y25" s="246"/>
      <c r="Z25" s="247"/>
      <c r="AA25" s="674"/>
      <c r="AB25" s="675"/>
      <c r="AC25" s="248"/>
      <c r="AD25" s="249"/>
    </row>
    <row r="26" spans="3:30">
      <c r="C26" s="238"/>
      <c r="W26" s="485" t="s">
        <v>1622</v>
      </c>
      <c r="X26" s="486"/>
      <c r="Y26" s="246">
        <v>2</v>
      </c>
      <c r="Z26" s="247"/>
      <c r="AA26" s="674"/>
      <c r="AB26" s="675"/>
      <c r="AC26" s="248"/>
      <c r="AD26" s="249"/>
    </row>
    <row r="27" spans="3:30">
      <c r="C27" s="238"/>
      <c r="W27" s="485" t="s">
        <v>1639</v>
      </c>
      <c r="X27" s="486"/>
      <c r="Y27" s="246">
        <v>2</v>
      </c>
      <c r="Z27" s="247"/>
      <c r="AA27" s="678"/>
      <c r="AB27" s="679"/>
      <c r="AC27" s="248"/>
      <c r="AD27" s="249"/>
    </row>
    <row r="28" spans="3:30">
      <c r="C28" s="238"/>
      <c r="W28" s="485" t="s">
        <v>1643</v>
      </c>
      <c r="X28" s="486"/>
      <c r="Y28" s="246"/>
      <c r="Z28" s="247"/>
      <c r="AA28" s="678"/>
      <c r="AB28" s="679"/>
      <c r="AC28" s="248"/>
      <c r="AD28" s="249"/>
    </row>
    <row r="29" spans="3:30">
      <c r="C29" s="238"/>
      <c r="W29" s="485" t="s">
        <v>1636</v>
      </c>
      <c r="X29" s="486"/>
      <c r="Y29" s="246">
        <v>3</v>
      </c>
      <c r="Z29" s="247"/>
      <c r="AA29" s="678"/>
      <c r="AB29" s="679"/>
      <c r="AC29" s="248"/>
      <c r="AD29" s="249"/>
    </row>
    <row r="30" spans="3:30" ht="11.25" customHeight="1">
      <c r="C30" s="238"/>
      <c r="W30" s="525" t="s">
        <v>1623</v>
      </c>
      <c r="X30" s="487"/>
      <c r="Y30" s="246">
        <v>3</v>
      </c>
      <c r="Z30" s="247"/>
      <c r="AA30" s="678"/>
      <c r="AB30" s="679"/>
      <c r="AC30" s="248"/>
      <c r="AD30" s="249"/>
    </row>
    <row r="31" spans="3:30">
      <c r="C31" s="238"/>
      <c r="U31" s="250"/>
      <c r="W31" s="485" t="s">
        <v>1627</v>
      </c>
      <c r="X31" s="486"/>
      <c r="Y31" s="246">
        <v>2</v>
      </c>
      <c r="Z31" s="247"/>
      <c r="AA31" s="678"/>
      <c r="AB31" s="679"/>
      <c r="AC31" s="248"/>
      <c r="AD31" s="249"/>
    </row>
    <row r="32" spans="3:30">
      <c r="C32" s="238"/>
      <c r="U32" s="250"/>
      <c r="W32" s="485" t="s">
        <v>1640</v>
      </c>
      <c r="X32" s="486"/>
      <c r="Y32" s="246">
        <v>1</v>
      </c>
      <c r="Z32" s="247"/>
      <c r="AA32" s="678"/>
      <c r="AB32" s="679"/>
      <c r="AC32" s="248"/>
      <c r="AD32" s="249"/>
    </row>
    <row r="33" spans="3:30">
      <c r="C33" s="238"/>
      <c r="W33" s="485" t="s">
        <v>1632</v>
      </c>
      <c r="X33" s="486"/>
      <c r="Y33" s="246">
        <v>3</v>
      </c>
      <c r="Z33" s="247"/>
      <c r="AA33" s="678"/>
      <c r="AB33" s="679"/>
      <c r="AC33" s="248"/>
      <c r="AD33" s="249"/>
    </row>
    <row r="34" spans="3:30">
      <c r="C34" s="238"/>
      <c r="W34" s="485" t="s">
        <v>1633</v>
      </c>
      <c r="X34" s="486"/>
      <c r="Y34" s="246">
        <v>3</v>
      </c>
      <c r="Z34" s="247"/>
      <c r="AA34" s="678"/>
      <c r="AB34" s="679"/>
      <c r="AC34" s="248"/>
      <c r="AD34" s="249"/>
    </row>
    <row r="35" spans="3:30">
      <c r="C35" s="238"/>
      <c r="W35" s="680" t="s">
        <v>1642</v>
      </c>
      <c r="X35" s="693"/>
      <c r="Y35" s="246">
        <v>1</v>
      </c>
      <c r="Z35" s="247"/>
      <c r="AA35" s="678"/>
      <c r="AB35" s="679"/>
      <c r="AC35" s="248"/>
      <c r="AD35" s="249"/>
    </row>
    <row r="36" spans="3:30">
      <c r="C36" s="238"/>
      <c r="W36" s="684"/>
      <c r="X36" s="685"/>
      <c r="Y36" s="246"/>
      <c r="Z36" s="251"/>
      <c r="AA36" s="686"/>
      <c r="AB36" s="679"/>
      <c r="AC36" s="248"/>
      <c r="AD36" s="249"/>
    </row>
    <row r="37" spans="3:30" ht="12.75" customHeight="1">
      <c r="C37" s="238"/>
      <c r="W37" s="687"/>
      <c r="X37" s="688"/>
      <c r="Y37" s="246"/>
      <c r="Z37" s="251"/>
      <c r="AA37" s="689"/>
      <c r="AB37" s="690"/>
      <c r="AC37" s="252"/>
      <c r="AD37" s="253"/>
    </row>
    <row r="38" spans="3:30" ht="12.75" customHeight="1">
      <c r="C38" s="238"/>
      <c r="W38" s="687"/>
      <c r="X38" s="68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7"/>
      <c r="X39" s="688"/>
      <c r="Y39" s="254"/>
      <c r="Z39" s="257"/>
      <c r="AA39" s="691"/>
      <c r="AB39" s="692"/>
      <c r="AC39" s="252"/>
      <c r="AD39" s="253"/>
    </row>
    <row r="40" spans="3:30" ht="12" customHeight="1">
      <c r="C40" s="238"/>
      <c r="W40" s="697"/>
      <c r="X40" s="69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9"/>
      <c r="X41" s="700"/>
      <c r="Y41" s="260"/>
      <c r="Z41" s="261"/>
      <c r="AA41" s="691"/>
      <c r="AB41" s="692"/>
      <c r="AC41" s="252"/>
      <c r="AD41" s="253"/>
    </row>
    <row r="42" spans="3:30" ht="12" customHeight="1">
      <c r="C42" s="238"/>
      <c r="W42" s="701" t="s">
        <v>1459</v>
      </c>
      <c r="X42" s="702"/>
      <c r="Y42" s="702"/>
      <c r="Z42" s="70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4" t="s">
        <v>11</v>
      </c>
      <c r="X44" s="695"/>
      <c r="Y44" s="659"/>
      <c r="Z44" s="659"/>
      <c r="AA44" s="659"/>
      <c r="AB44" s="659"/>
      <c r="AC44" s="659"/>
      <c r="AD44" s="660"/>
    </row>
    <row r="45" spans="3:30" ht="14.25">
      <c r="C45" s="268"/>
      <c r="D45" s="269"/>
      <c r="E45" s="269"/>
      <c r="F45" s="269"/>
      <c r="G45" s="269"/>
      <c r="H45" s="269"/>
      <c r="I45" s="269"/>
      <c r="J45" s="269"/>
      <c r="K45" s="524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4" t="s">
        <v>984</v>
      </c>
      <c r="X45" s="695"/>
      <c r="Y45" s="659">
        <v>1</v>
      </c>
      <c r="Z45" s="659"/>
      <c r="AA45" s="659"/>
      <c r="AB45" s="659" t="s">
        <v>12</v>
      </c>
      <c r="AC45" s="65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4" t="s">
        <v>15</v>
      </c>
      <c r="X46" s="695"/>
      <c r="Y46" s="696"/>
      <c r="Z46" s="696"/>
      <c r="AA46" s="696"/>
      <c r="AB46" s="659" t="s">
        <v>16</v>
      </c>
      <c r="AC46" s="65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7" t="s">
        <v>17</v>
      </c>
      <c r="X47" s="707"/>
      <c r="Y47" s="707"/>
      <c r="Z47" s="707"/>
      <c r="AA47" s="707"/>
      <c r="AB47" s="707"/>
      <c r="AC47" s="707"/>
      <c r="AD47" s="70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9" t="str">
        <f>RAB!G6</f>
        <v>AGR MUSTAIN</v>
      </c>
      <c r="X48" s="709"/>
      <c r="Y48" s="709"/>
      <c r="Z48" s="709"/>
      <c r="AA48" s="709"/>
      <c r="AB48" s="709"/>
      <c r="AC48" s="709"/>
      <c r="AD48" s="71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9"/>
      <c r="X49" s="709"/>
      <c r="Y49" s="709"/>
      <c r="Z49" s="709"/>
      <c r="AA49" s="709"/>
      <c r="AB49" s="709"/>
      <c r="AC49" s="709"/>
      <c r="AD49" s="71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9"/>
      <c r="X50" s="709"/>
      <c r="Y50" s="709"/>
      <c r="Z50" s="709"/>
      <c r="AA50" s="709"/>
      <c r="AB50" s="709"/>
      <c r="AC50" s="709"/>
      <c r="AD50" s="71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1"/>
      <c r="X51" s="711"/>
      <c r="Y51" s="711"/>
      <c r="Z51" s="711"/>
      <c r="AA51" s="711"/>
      <c r="AB51" s="711"/>
      <c r="AC51" s="711"/>
      <c r="AD51" s="71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4" t="s">
        <v>18</v>
      </c>
      <c r="X52" s="695"/>
      <c r="Y52" s="659" t="s">
        <v>1616</v>
      </c>
      <c r="Z52" s="659"/>
      <c r="AA52" s="659"/>
      <c r="AB52" s="659"/>
      <c r="AC52" s="659"/>
      <c r="AD52" s="66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4" t="s">
        <v>19</v>
      </c>
      <c r="X53" s="695"/>
      <c r="Y53" s="659" t="s">
        <v>1617</v>
      </c>
      <c r="Z53" s="659"/>
      <c r="AA53" s="659"/>
      <c r="AB53" s="659"/>
      <c r="AC53" s="659"/>
      <c r="AD53" s="66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4" t="s">
        <v>20</v>
      </c>
      <c r="X54" s="695"/>
      <c r="Y54" s="703" t="s">
        <v>1618</v>
      </c>
      <c r="Z54" s="703"/>
      <c r="AA54" s="703"/>
      <c r="AB54" s="659"/>
      <c r="AC54" s="659"/>
      <c r="AD54" s="66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4" t="s">
        <v>21</v>
      </c>
      <c r="X55" s="705"/>
      <c r="Y55" s="703" t="s">
        <v>1554</v>
      </c>
      <c r="Z55" s="703"/>
      <c r="AA55" s="703"/>
      <c r="AB55" s="703"/>
      <c r="AC55" s="703"/>
      <c r="AD55" s="706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B52" sqref="AB52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3" t="s">
        <v>1531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17"/>
      <c r="AE4" s="216"/>
      <c r="AF4" s="216"/>
    </row>
    <row r="5" spans="2:32" ht="13.5" customHeight="1">
      <c r="B5" s="215"/>
      <c r="C5" s="215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17"/>
      <c r="AE5" s="216"/>
      <c r="AF5" s="216"/>
    </row>
    <row r="6" spans="2:32" ht="12.75" customHeight="1">
      <c r="B6" s="215"/>
      <c r="C6" s="215"/>
      <c r="D6" s="716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  <c r="P6" s="717"/>
      <c r="Q6" s="717"/>
      <c r="R6" s="717"/>
      <c r="S6" s="717"/>
      <c r="T6" s="717"/>
      <c r="U6" s="717"/>
      <c r="V6" s="717"/>
      <c r="W6" s="717"/>
      <c r="X6" s="717"/>
      <c r="Y6" s="717"/>
      <c r="Z6" s="717"/>
      <c r="AA6" s="717"/>
      <c r="AB6" s="717"/>
      <c r="AC6" s="718"/>
      <c r="AE6" s="216"/>
      <c r="AF6" s="216"/>
    </row>
    <row r="7" spans="2:32" ht="12.75" customHeight="1" thickBot="1">
      <c r="B7" s="215"/>
      <c r="C7" s="215"/>
      <c r="D7" s="719"/>
      <c r="E7" s="720"/>
      <c r="F7" s="720"/>
      <c r="G7" s="720"/>
      <c r="H7" s="720"/>
      <c r="I7" s="720"/>
      <c r="J7" s="720"/>
      <c r="K7" s="720"/>
      <c r="L7" s="720"/>
      <c r="M7" s="720"/>
      <c r="N7" s="720"/>
      <c r="O7" s="720"/>
      <c r="P7" s="720"/>
      <c r="Q7" s="720"/>
      <c r="R7" s="720"/>
      <c r="S7" s="720"/>
      <c r="T7" s="720"/>
      <c r="U7" s="720"/>
      <c r="V7" s="720"/>
      <c r="W7" s="720"/>
      <c r="X7" s="720"/>
      <c r="Y7" s="720"/>
      <c r="Z7" s="720"/>
      <c r="AA7" s="720"/>
      <c r="AB7" s="720"/>
      <c r="AC7" s="72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4" zoomScale="85" zoomScaleNormal="40" zoomScaleSheetLayoutView="85" workbookViewId="0">
      <selection activeCell="C8" sqref="C8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7" t="s">
        <v>1530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22" t="s">
        <v>1641</v>
      </c>
      <c r="D6" s="722"/>
      <c r="E6" s="722"/>
      <c r="F6" s="722"/>
      <c r="G6" s="722"/>
      <c r="H6" s="722"/>
      <c r="I6" s="722"/>
      <c r="J6" s="722"/>
      <c r="K6" s="722"/>
      <c r="L6" s="722"/>
      <c r="M6" s="722"/>
      <c r="W6" s="182"/>
      <c r="Y6" s="432"/>
      <c r="Z6" s="432"/>
      <c r="AA6" s="432"/>
      <c r="AB6" s="433"/>
      <c r="AC6" s="433"/>
    </row>
    <row r="7" spans="1:29" ht="18" customHeight="1">
      <c r="A7" s="181"/>
      <c r="C7" s="722"/>
      <c r="D7" s="722"/>
      <c r="E7" s="722"/>
      <c r="F7" s="722"/>
      <c r="G7" s="722"/>
      <c r="H7" s="722"/>
      <c r="I7" s="722"/>
      <c r="J7" s="722"/>
      <c r="K7" s="722"/>
      <c r="L7" s="722"/>
      <c r="M7" s="722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2023-02-27T08:00:50Z</cp:lastPrinted>
  <dcterms:created xsi:type="dcterms:W3CDTF">2011-02-06T11:57:38Z</dcterms:created>
  <dcterms:modified xsi:type="dcterms:W3CDTF">2024-03-06T03:42:45Z</dcterms:modified>
</cp:coreProperties>
</file>