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2A0FA0B7-8C25-4A00-9C80-9AAD0FC23CB9}" xr6:coauthVersionLast="47" xr6:coauthVersionMax="47" xr10:uidLastSave="{00000000-0000-0000-0000-000000000000}"/>
  <bookViews>
    <workbookView xWindow="-120" yWindow="-120" windowWidth="29040" windowHeight="1572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2" i="11" l="1"/>
  <c r="F71" i="11"/>
  <c r="F70" i="11"/>
  <c r="F69" i="11"/>
  <c r="F68" i="11"/>
  <c r="F67" i="11"/>
  <c r="F66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5" i="11"/>
  <c r="G6" i="11" l="1"/>
  <c r="G22" i="11"/>
  <c r="G24" i="11"/>
  <c r="D22" i="11"/>
  <c r="J22" i="11" s="1"/>
  <c r="E22" i="11"/>
  <c r="D24" i="11"/>
  <c r="I24" i="11" s="1"/>
  <c r="E24" i="11"/>
  <c r="F79" i="11"/>
  <c r="F78" i="11"/>
  <c r="F77" i="11"/>
  <c r="F76" i="11"/>
  <c r="F75" i="11"/>
  <c r="F63" i="11"/>
  <c r="F61" i="11"/>
  <c r="F60" i="11"/>
  <c r="F59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4" i="11"/>
  <c r="G75" i="11"/>
  <c r="G76" i="11"/>
  <c r="G77" i="11"/>
  <c r="G78" i="11"/>
  <c r="G79" i="11"/>
  <c r="G80" i="11"/>
  <c r="G81" i="11"/>
  <c r="G82" i="11"/>
  <c r="D55" i="11"/>
  <c r="H55" i="11" s="1"/>
  <c r="E55" i="11"/>
  <c r="D56" i="11"/>
  <c r="J56" i="11" s="1"/>
  <c r="E56" i="11"/>
  <c r="D57" i="11"/>
  <c r="I57" i="11" s="1"/>
  <c r="E57" i="11"/>
  <c r="D58" i="11"/>
  <c r="H58" i="11" s="1"/>
  <c r="E58" i="11"/>
  <c r="D59" i="11"/>
  <c r="E59" i="11"/>
  <c r="D60" i="11"/>
  <c r="J60" i="11" s="1"/>
  <c r="E60" i="11"/>
  <c r="D61" i="11"/>
  <c r="E61" i="11"/>
  <c r="D62" i="11"/>
  <c r="E62" i="11"/>
  <c r="D63" i="11"/>
  <c r="H63" i="11" s="1"/>
  <c r="E63" i="11"/>
  <c r="D64" i="11"/>
  <c r="I64" i="11" s="1"/>
  <c r="E64" i="11"/>
  <c r="D65" i="11"/>
  <c r="H65" i="11" s="1"/>
  <c r="E65" i="11"/>
  <c r="D66" i="11"/>
  <c r="H66" i="11" s="1"/>
  <c r="E66" i="11"/>
  <c r="D67" i="11"/>
  <c r="J67" i="11" s="1"/>
  <c r="E67" i="11"/>
  <c r="D68" i="11"/>
  <c r="E68" i="11"/>
  <c r="D69" i="11"/>
  <c r="H69" i="11" s="1"/>
  <c r="E69" i="11"/>
  <c r="D70" i="11"/>
  <c r="H70" i="11" s="1"/>
  <c r="E70" i="11"/>
  <c r="D71" i="11"/>
  <c r="J71" i="11" s="1"/>
  <c r="E71" i="11"/>
  <c r="D72" i="11"/>
  <c r="E72" i="11"/>
  <c r="D74" i="11"/>
  <c r="H74" i="11" s="1"/>
  <c r="E74" i="11"/>
  <c r="D75" i="11"/>
  <c r="H75" i="11" s="1"/>
  <c r="E75" i="11"/>
  <c r="D76" i="11"/>
  <c r="J76" i="11" s="1"/>
  <c r="E76" i="11"/>
  <c r="D77" i="11"/>
  <c r="E77" i="11"/>
  <c r="D78" i="11"/>
  <c r="H78" i="11" s="1"/>
  <c r="E78" i="11"/>
  <c r="D79" i="11"/>
  <c r="H79" i="11" s="1"/>
  <c r="E79" i="11"/>
  <c r="D80" i="11"/>
  <c r="J80" i="11" s="1"/>
  <c r="E80" i="11"/>
  <c r="F54" i="11"/>
  <c r="F53" i="11"/>
  <c r="F52" i="11"/>
  <c r="F51" i="11"/>
  <c r="F50" i="11"/>
  <c r="F49" i="11"/>
  <c r="F48" i="11"/>
  <c r="F47" i="11"/>
  <c r="F46" i="11"/>
  <c r="D25" i="11"/>
  <c r="J25" i="11" s="1"/>
  <c r="E25" i="11"/>
  <c r="G25" i="11"/>
  <c r="D26" i="11"/>
  <c r="E26" i="11"/>
  <c r="G26" i="11"/>
  <c r="D27" i="11"/>
  <c r="E27" i="11"/>
  <c r="G27" i="11"/>
  <c r="D28" i="11"/>
  <c r="J28" i="11" s="1"/>
  <c r="E28" i="11"/>
  <c r="G28" i="11"/>
  <c r="D29" i="11"/>
  <c r="J29" i="11" s="1"/>
  <c r="E29" i="11"/>
  <c r="G29" i="11"/>
  <c r="D30" i="11"/>
  <c r="I30" i="11" s="1"/>
  <c r="E30" i="11"/>
  <c r="G30" i="11"/>
  <c r="D31" i="11"/>
  <c r="E31" i="11"/>
  <c r="G31" i="11"/>
  <c r="D32" i="11"/>
  <c r="H32" i="11" s="1"/>
  <c r="E32" i="11"/>
  <c r="G32" i="11"/>
  <c r="D33" i="11"/>
  <c r="J33" i="11" s="1"/>
  <c r="E33" i="11"/>
  <c r="G33" i="11"/>
  <c r="D34" i="11"/>
  <c r="J34" i="11" s="1"/>
  <c r="E34" i="11"/>
  <c r="G34" i="11"/>
  <c r="D35" i="11"/>
  <c r="H35" i="11" s="1"/>
  <c r="E35" i="11"/>
  <c r="G35" i="11"/>
  <c r="D36" i="11"/>
  <c r="H36" i="11" s="1"/>
  <c r="E36" i="11"/>
  <c r="G36" i="11"/>
  <c r="D37" i="11"/>
  <c r="J37" i="11" s="1"/>
  <c r="E37" i="11"/>
  <c r="G37" i="11"/>
  <c r="D38" i="11"/>
  <c r="J38" i="11" s="1"/>
  <c r="E38" i="11"/>
  <c r="G38" i="11"/>
  <c r="D39" i="11"/>
  <c r="H39" i="11" s="1"/>
  <c r="E39" i="11"/>
  <c r="G39" i="11"/>
  <c r="D40" i="11"/>
  <c r="H40" i="11" s="1"/>
  <c r="E40" i="11"/>
  <c r="G40" i="11"/>
  <c r="D41" i="11"/>
  <c r="J41" i="11" s="1"/>
  <c r="E41" i="11"/>
  <c r="G41" i="11"/>
  <c r="D42" i="11"/>
  <c r="H42" i="11" s="1"/>
  <c r="E42" i="11"/>
  <c r="G42" i="11"/>
  <c r="D43" i="11"/>
  <c r="H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J49" i="11" s="1"/>
  <c r="E49" i="11"/>
  <c r="G49" i="11"/>
  <c r="D50" i="11"/>
  <c r="H50" i="11" s="1"/>
  <c r="E50" i="11"/>
  <c r="G50" i="11"/>
  <c r="D51" i="11"/>
  <c r="H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H54" i="11" s="1"/>
  <c r="E54" i="11"/>
  <c r="G54" i="11"/>
  <c r="D81" i="11"/>
  <c r="I81" i="11" s="1"/>
  <c r="E81" i="11"/>
  <c r="D82" i="11"/>
  <c r="H82" i="11" s="1"/>
  <c r="E82" i="11"/>
  <c r="D83" i="11"/>
  <c r="I83" i="11" s="1"/>
  <c r="E83" i="11"/>
  <c r="G83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19" i="11"/>
  <c r="H19" i="11" s="1"/>
  <c r="E19" i="11"/>
  <c r="G19" i="11"/>
  <c r="D20" i="11"/>
  <c r="H20" i="11" s="1"/>
  <c r="E20" i="11"/>
  <c r="G20" i="11"/>
  <c r="I31" i="11" l="1"/>
  <c r="H27" i="11"/>
  <c r="H24" i="11"/>
  <c r="I22" i="11"/>
  <c r="I77" i="11"/>
  <c r="I72" i="11"/>
  <c r="I68" i="11"/>
  <c r="H22" i="11"/>
  <c r="J24" i="11"/>
  <c r="H59" i="11"/>
  <c r="H62" i="11"/>
  <c r="I61" i="11"/>
  <c r="J63" i="11"/>
  <c r="I56" i="11"/>
  <c r="J79" i="11"/>
  <c r="I71" i="11"/>
  <c r="H64" i="11"/>
  <c r="I76" i="11"/>
  <c r="H68" i="11"/>
  <c r="J66" i="11"/>
  <c r="I60" i="11"/>
  <c r="I80" i="11"/>
  <c r="H72" i="11"/>
  <c r="J70" i="11"/>
  <c r="H57" i="11"/>
  <c r="J55" i="11"/>
  <c r="J30" i="11"/>
  <c r="H77" i="11"/>
  <c r="J75" i="11"/>
  <c r="I67" i="11"/>
  <c r="H61" i="11"/>
  <c r="J59" i="11"/>
  <c r="H81" i="11"/>
  <c r="J82" i="11"/>
  <c r="H80" i="11"/>
  <c r="I79" i="11"/>
  <c r="J78" i="11"/>
  <c r="H76" i="11"/>
  <c r="I75" i="11"/>
  <c r="J74" i="11"/>
  <c r="H71" i="11"/>
  <c r="I70" i="11"/>
  <c r="J69" i="11"/>
  <c r="H67" i="11"/>
  <c r="I66" i="11"/>
  <c r="J65" i="11"/>
  <c r="I63" i="11"/>
  <c r="J62" i="11"/>
  <c r="H60" i="11"/>
  <c r="I59" i="11"/>
  <c r="J58" i="11"/>
  <c r="H56" i="11"/>
  <c r="I55" i="11"/>
  <c r="I82" i="11"/>
  <c r="J81" i="11"/>
  <c r="I78" i="11"/>
  <c r="J77" i="11"/>
  <c r="I74" i="11"/>
  <c r="J72" i="11"/>
  <c r="I69" i="11"/>
  <c r="J68" i="11"/>
  <c r="I65" i="11"/>
  <c r="J64" i="11"/>
  <c r="I62" i="11"/>
  <c r="J61" i="11"/>
  <c r="I58" i="11"/>
  <c r="J57" i="11"/>
  <c r="I49" i="11"/>
  <c r="H49" i="11"/>
  <c r="J45" i="11"/>
  <c r="H30" i="11"/>
  <c r="J32" i="11"/>
  <c r="I28" i="11"/>
  <c r="J40" i="11"/>
  <c r="J83" i="11"/>
  <c r="I45" i="11"/>
  <c r="I43" i="11"/>
  <c r="J42" i="11"/>
  <c r="J51" i="11"/>
  <c r="H26" i="11"/>
  <c r="I51" i="11"/>
  <c r="I42" i="11"/>
  <c r="I40" i="11"/>
  <c r="I26" i="11"/>
  <c r="I34" i="11"/>
  <c r="I32" i="11"/>
  <c r="J36" i="11"/>
  <c r="H34" i="11"/>
  <c r="H31" i="11"/>
  <c r="H28" i="11"/>
  <c r="I27" i="11"/>
  <c r="J26" i="11"/>
  <c r="I47" i="11"/>
  <c r="H53" i="11"/>
  <c r="H38" i="11"/>
  <c r="I36" i="11"/>
  <c r="H83" i="11"/>
  <c r="I50" i="11"/>
  <c r="I35" i="11"/>
  <c r="I25" i="11"/>
  <c r="I53" i="11"/>
  <c r="I38" i="11"/>
  <c r="H47" i="11"/>
  <c r="I46" i="11"/>
  <c r="I54" i="11"/>
  <c r="I39" i="11"/>
  <c r="J54" i="11"/>
  <c r="H52" i="11"/>
  <c r="J50" i="11"/>
  <c r="H48" i="11"/>
  <c r="J46" i="11"/>
  <c r="H44" i="11"/>
  <c r="J43" i="11"/>
  <c r="H41" i="11"/>
  <c r="J39" i="11"/>
  <c r="H37" i="11"/>
  <c r="J35" i="11"/>
  <c r="H33" i="11"/>
  <c r="J31" i="11"/>
  <c r="H29" i="11"/>
  <c r="J27" i="11"/>
  <c r="H25" i="11"/>
  <c r="I52" i="11"/>
  <c r="I48" i="11"/>
  <c r="I44" i="11"/>
  <c r="I33" i="11"/>
  <c r="I41" i="11"/>
  <c r="I37" i="11"/>
  <c r="I29" i="11"/>
  <c r="J16" i="11"/>
  <c r="J19" i="11"/>
  <c r="I19" i="11"/>
  <c r="J18" i="11"/>
  <c r="I16" i="11"/>
  <c r="J20" i="11"/>
  <c r="I18" i="11"/>
  <c r="I17" i="11"/>
  <c r="I20" i="11"/>
  <c r="H17" i="11"/>
  <c r="K64" i="11" l="1"/>
  <c r="K78" i="11"/>
  <c r="K55" i="11"/>
  <c r="K56" i="11"/>
  <c r="K22" i="11"/>
  <c r="K75" i="11"/>
  <c r="K80" i="11"/>
  <c r="K57" i="11"/>
  <c r="K68" i="11"/>
  <c r="K76" i="11"/>
  <c r="K24" i="11"/>
  <c r="K62" i="11"/>
  <c r="K25" i="11"/>
  <c r="K63" i="11"/>
  <c r="K74" i="11"/>
  <c r="K42" i="11"/>
  <c r="K58" i="11"/>
  <c r="K72" i="11"/>
  <c r="K67" i="11"/>
  <c r="K79" i="11"/>
  <c r="K65" i="11"/>
  <c r="K82" i="11"/>
  <c r="K54" i="11"/>
  <c r="K43" i="11"/>
  <c r="K45" i="11"/>
  <c r="K61" i="11"/>
  <c r="K70" i="11"/>
  <c r="K30" i="11"/>
  <c r="K69" i="11"/>
  <c r="K66" i="11"/>
  <c r="K71" i="11"/>
  <c r="K83" i="11"/>
  <c r="K40" i="11"/>
  <c r="K59" i="11"/>
  <c r="K77" i="11"/>
  <c r="K60" i="11"/>
  <c r="K39" i="11"/>
  <c r="K49" i="11"/>
  <c r="K32" i="11"/>
  <c r="K81" i="11"/>
  <c r="K47" i="11"/>
  <c r="K26" i="11"/>
  <c r="K31" i="11"/>
  <c r="K28" i="11"/>
  <c r="K34" i="11"/>
  <c r="K29" i="11"/>
  <c r="K36" i="11"/>
  <c r="K51" i="11"/>
  <c r="K27" i="11"/>
  <c r="K46" i="11"/>
  <c r="K44" i="11"/>
  <c r="K38" i="11"/>
  <c r="K53" i="11"/>
  <c r="K35" i="11"/>
  <c r="K50" i="11"/>
  <c r="K52" i="11"/>
  <c r="K33" i="11"/>
  <c r="K41" i="11"/>
  <c r="K48" i="11"/>
  <c r="K37" i="11"/>
  <c r="K16" i="11"/>
  <c r="K19" i="11"/>
  <c r="K17" i="11"/>
  <c r="K18" i="11"/>
  <c r="K20" i="11"/>
  <c r="D21" i="59" l="1"/>
  <c r="K6" i="60"/>
  <c r="D15" i="11" l="1"/>
  <c r="H15" i="11" s="1"/>
  <c r="E15" i="11"/>
  <c r="G15" i="11"/>
  <c r="D16" i="60"/>
  <c r="J15" i="11" l="1"/>
  <c r="I15" i="11"/>
  <c r="K15" i="11" l="1"/>
  <c r="D14" i="11" l="1"/>
  <c r="J14" i="11" s="1"/>
  <c r="J84" i="11" s="1"/>
  <c r="E14" i="11"/>
  <c r="G14" i="11"/>
  <c r="K19" i="60"/>
  <c r="D19" i="60"/>
  <c r="H14" i="11" l="1"/>
  <c r="H84" i="11" s="1"/>
  <c r="I14" i="11"/>
  <c r="I84" i="11" s="1"/>
  <c r="K84" i="11" l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19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8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4" i="11"/>
  <c r="D85" i="11"/>
  <c r="H85" i="11" s="1"/>
  <c r="E8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8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2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9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5" i="11"/>
  <c r="I85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67" i="29"/>
  <c r="E247" i="29"/>
  <c r="F302" i="29"/>
  <c r="F284" i="29"/>
  <c r="F266" i="29"/>
  <c r="E245" i="29"/>
  <c r="F294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85" i="11"/>
  <c r="F278" i="29" l="1"/>
  <c r="E236" i="29"/>
  <c r="E227" i="29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7" i="11"/>
  <c r="H88" i="11" s="1"/>
  <c r="I87" i="11"/>
  <c r="I88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17" i="29" l="1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89" i="11"/>
  <c r="I8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87" i="11"/>
  <c r="K88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87" i="11"/>
  <c r="J8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89" i="11"/>
  <c r="B90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7" i="41" l="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<sst xmlns="http://schemas.openxmlformats.org/spreadsheetml/2006/main" count="4748" uniqueCount="1633">
  <si>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</si>
  <si>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</si>
  <si>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</si>
  <si>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</si>
  <si>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</si>
  <si>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</si>
  <si>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</si>
  <si>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</si>
  <si>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</si>
  <si>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</si>
  <si>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</si>
  <si>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</si>
  <si>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</si>
  <si>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</si>
  <si>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</si>
  <si>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</si>
  <si>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</si>
  <si>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</si>
  <si>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</si>
  <si>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</si>
  <si>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</si>
  <si>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</si>
  <si>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</si>
  <si>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</si>
  <si>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</si>
  <si>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</si>
  <si>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</si>
  <si>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</si>
  <si>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</si>
  <si>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</si>
  <si>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</si>
  <si>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</si>
  <si>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</si>
  <si>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</si>
  <si>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</si>
  <si>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</si>
  <si>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</si>
  <si>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</si>
  <si>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</si>
  <si>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</si>
  <si>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</si>
  <si>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</si>
  <si>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</si>
  <si>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</si>
  <si>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</si>
  <si>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</si>
  <si>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</si>
  <si>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</si>
  <si>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</si>
  <si>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</si>
  <si>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</si>
  <si>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</si>
  <si>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</si>
  <si>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</si>
  <si>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</si>
  <si>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</si>
  <si>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</si>
  <si>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</si>
  <si>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</si>
  <si>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</si>
  <si>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</si>
  <si>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</si>
  <si>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</si>
  <si>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</si>
  <si>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</si>
  <si>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</si>
  <si>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</si>
  <si>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</si>
  <si>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</si>
  <si>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</si>
  <si>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</si>
  <si>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</si>
  <si>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</si>
  <si>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</si>
  <si>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</si>
  <si>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</si>
  <si>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</si>
  <si>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</si>
  <si>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</si>
  <si>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</si>
  <si>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</si>
  <si>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</si>
  <si>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</si>
  <si>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</si>
  <si>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</si>
  <si>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</si>
  <si>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</si>
  <si>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</si>
  <si>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</si>
  <si>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</si>
  <si>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</si>
  <si>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</si>
  <si>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</si>
  <si>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</si>
  <si>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</si>
  <si>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</si>
  <si>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</si>
  <si>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</si>
  <si>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</si>
  <si>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</si>
  <si>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</si>
  <si>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</si>
  <si>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</si>
  <si>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</si>
  <si>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</si>
  <si>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</si>
  <si>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</si>
  <si>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</si>
  <si>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</si>
  <si>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</si>
  <si>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</si>
  <si>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</si>
  <si>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</si>
  <si>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</si>
  <si>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</si>
  <si>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</si>
  <si>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</si>
  <si>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</si>
  <si>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</si>
  <si>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</si>
  <si>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</si>
  <si>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</si>
  <si>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</si>
  <si>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</si>
  <si>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</si>
  <si>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</si>
  <si>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</si>
  <si>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</si>
  <si>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</si>
  <si>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</si>
  <si>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</si>
  <si>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</si>
  <si>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</si>
  <si>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</si>
  <si>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</si>
  <si>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</si>
  <si>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</si>
  <si>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</si>
  <si>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</si>
  <si>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</si>
  <si>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</si>
  <si>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</si>
  <si>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</si>
  <si>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</si>
  <si>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</si>
  <si>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</si>
  <si>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</si>
  <si>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</si>
  <si>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</si>
  <si>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</si>
  <si>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</si>
  <si>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</si>
  <si>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</si>
  <si>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</si>
  <si>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</si>
  <si>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</si>
  <si>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</si>
  <si>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</si>
  <si>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</si>
  <si>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</si>
  <si>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</si>
  <si>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</si>
  <si>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</si>
  <si>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</si>
  <si>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</si>
  <si>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</si>
  <si>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</si>
  <si>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</si>
  <si>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</si>
  <si>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</si>
  <si>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</si>
  <si>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</si>
  <si>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</si>
  <si>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</si>
  <si>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</si>
  <si>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</si>
  <si>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</si>
  <si>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</si>
  <si>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</si>
  <si>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</si>
  <si>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</si>
  <si>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</si>
  <si>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</si>
  <si>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</si>
  <si>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</si>
  <si>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</si>
  <si>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</si>
  <si>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</si>
  <si>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</si>
  <si>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</si>
  <si>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</si>
  <si>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</si>
  <si>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</si>
  <si>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</si>
  <si>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</si>
  <si>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</si>
  <si>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</si>
  <si>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</si>
  <si>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</si>
  <si>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</si>
  <si>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</si>
  <si>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</si>
  <si>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</si>
  <si>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</si>
  <si>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</si>
  <si>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</si>
  <si>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</si>
  <si>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</si>
  <si>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</si>
  <si>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</si>
  <si>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</si>
  <si>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</si>
  <si>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</si>
  <si>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</si>
  <si>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</si>
  <si>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</si>
  <si>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</si>
  <si>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</si>
  <si>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</si>
  <si>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</si>
  <si>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</si>
  <si>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</si>
  <si>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</si>
  <si>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</si>
  <si>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</si>
  <si>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</si>
  <si>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</si>
  <si>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</si>
  <si>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</si>
  <si>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</si>
  <si>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</si>
  <si>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</si>
  <si>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</si>
  <si>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</si>
  <si>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</si>
  <si>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</si>
  <si>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</si>
  <si>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</si>
  <si>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</si>
  <si>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</si>
  <si>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</si>
  <si>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</si>
  <si>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</si>
  <si>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</si>
  <si>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</si>
  <si>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</si>
  <si>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</si>
  <si>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</si>
  <si>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</si>
  <si>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</si>
  <si>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</si>
  <si>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</si>
  <si>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</si>
  <si>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</si>
  <si>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</si>
  <si>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</si>
  <si>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</si>
  <si>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</si>
  <si>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</si>
  <si>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</si>
  <si>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</si>
  <si>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</si>
  <si>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</si>
  <si>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</si>
  <si>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</si>
  <si>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</si>
  <si>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</si>
  <si>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</si>
  <si>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</si>
  <si>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</si>
  <si>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</si>
  <si>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</si>
  <si>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</si>
  <si>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</si>
  <si>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</si>
  <si>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</si>
  <si>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</si>
  <si>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</si>
  <si>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</si>
  <si>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</si>
  <si>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</si>
  <si>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</si>
  <si>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</si>
  <si>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</si>
  <si>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</si>
  <si>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</si>
  <si>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</si>
  <si>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</si>
  <si>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</si>
  <si>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</si>
  <si>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</si>
  <si>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</si>
  <si>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</si>
  <si>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</si>
  <si>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</si>
  <si>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</si>
  <si>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</si>
  <si>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</si>
  <si>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</si>
  <si>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</si>
  <si>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</si>
  <si>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</si>
  <si>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</si>
  <si>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</si>
  <si>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</si>
  <si>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</si>
  <si>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</si>
  <si>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</si>
  <si>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</si>
  <si>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</si>
  <si>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</si>
  <si>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</si>
  <si>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</si>
  <si>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</si>
  <si>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</si>
  <si>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</si>
  <si>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</si>
  <si>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</si>
  <si>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</si>
  <si>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</si>
  <si>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</si>
  <si>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</si>
  <si>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</si>
  <si>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</si>
  <si>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</si>
  <si>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</si>
  <si>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</si>
  <si>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</si>
  <si>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</si>
  <si>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</si>
  <si>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</si>
  <si>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</si>
  <si>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</si>
  <si>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</si>
  <si>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</si>
  <si>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</si>
  <si>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</si>
  <si>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</si>
  <si>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</si>
  <si>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</si>
  <si>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</si>
  <si>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</si>
  <si>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</si>
  <si>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</si>
  <si>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</si>
  <si>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</si>
  <si>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</si>
  <si>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</si>
  <si>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</si>
  <si>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</si>
  <si>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</si>
  <si>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</si>
  <si>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</si>
  <si>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</si>
  <si>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</si>
  <si>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</si>
  <si>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</si>
  <si>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</si>
  <si>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</si>
  <si>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</si>
  <si>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</si>
  <si>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</si>
  <si>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</si>
  <si>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</si>
  <si>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</si>
  <si>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</si>
  <si>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</si>
  <si>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</si>
  <si>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</si>
  <si>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</si>
  <si>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</si>
  <si>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</si>
  <si>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</si>
  <si>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</si>
  <si>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</si>
  <si>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</si>
  <si>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</si>
  <si>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</si>
  <si>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</si>
  <si>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</si>
  <si>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</si>
  <si>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</si>
  <si>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</si>
  <si>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</si>
  <si>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</si>
  <si>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</si>
  <si>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</si>
  <si>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</si>
  <si>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</si>
  <si>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</si>
  <si>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</si>
  <si>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</si>
  <si>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</si>
  <si>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</si>
  <si>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</si>
  <si>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</si>
  <si>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</si>
  <si>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</si>
  <si>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</si>
  <si>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</si>
  <si>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</si>
  <si>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</si>
  <si>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</si>
  <si>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</si>
  <si>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</si>
  <si>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</si>
  <si>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</si>
  <si>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</si>
  <si>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</si>
  <si>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</si>
  <si>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</si>
  <si>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</si>
  <si>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</si>
  <si>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</si>
  <si>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</si>
  <si>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</si>
  <si>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</si>
  <si>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</si>
  <si>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</si>
  <si>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</si>
  <si>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</si>
  <si>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</si>
  <si>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</si>
  <si>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</si>
  <si>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</si>
  <si>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</si>
  <si>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</si>
  <si>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</si>
  <si>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</si>
  <si>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</si>
  <si>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</si>
  <si>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</si>
  <si>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</si>
  <si>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</si>
  <si>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</si>
  <si>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</si>
  <si>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</si>
  <si>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</si>
  <si>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</si>
  <si>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</si>
  <si>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</si>
  <si>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</si>
  <si>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</si>
  <si>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</si>
  <si>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</si>
  <si>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</si>
  <si>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</si>
  <si>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</si>
  <si>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</si>
  <si>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</si>
  <si>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</si>
  <si>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</si>
  <si>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</si>
  <si>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</si>
  <si>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</si>
  <si>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</si>
  <si>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</si>
  <si>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</si>
  <si>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</si>
  <si>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</si>
  <si>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</si>
  <si>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</si>
  <si>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</si>
  <si>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</si>
  <si>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</si>
  <si>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</si>
  <si>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</si>
  <si>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</si>
  <si>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</si>
  <si>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</si>
  <si>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</si>
  <si>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</si>
  <si>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</si>
  <si>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</si>
  <si>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</si>
  <si>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</si>
  <si>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</si>
  <si>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</si>
  <si>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</si>
  <si>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</si>
  <si>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</si>
  <si>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</si>
  <si>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</si>
  <si>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</si>
  <si>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</si>
  <si>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</si>
  <si>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</si>
  <si>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</si>
  <si>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</si>
  <si>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</si>
  <si>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</si>
  <si>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</si>
  <si>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</si>
  <si>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</si>
  <si>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</si>
  <si>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</si>
  <si>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</si>
  <si>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</si>
  <si>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</si>
  <si>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</si>
  <si>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</si>
  <si>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</si>
  <si>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</si>
  <si>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</si>
  <si>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</si>
  <si>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</si>
  <si>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</si>
  <si>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</si>
  <si>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</si>
  <si>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</si>
  <si>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</si>
  <si>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</si>
  <si>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</si>
  <si>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</si>
  <si>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</si>
  <si>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</si>
  <si>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</si>
  <si>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</si>
  <si>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</si>
  <si>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</si>
  <si>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</si>
  <si>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</si>
  <si>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</si>
  <si>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</si>
  <si>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</si>
  <si>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</si>
  <si>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</si>
  <si>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</si>
  <si>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</si>
  <si>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</si>
  <si>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</si>
  <si>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</si>
  <si>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</si>
  <si>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</si>
  <si>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</si>
  <si>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</si>
  <si>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</si>
  <si>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</si>
  <si>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</si>
  <si>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</si>
  <si>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</si>
  <si>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</si>
  <si>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</si>
  <si>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</si>
  <si>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</si>
  <si>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</si>
  <si>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</si>
  <si>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</si>
  <si>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</si>
  <si>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</si>
  <si>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</si>
  <si>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</si>
  <si>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</si>
  <si>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</si>
  <si>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</si>
  <si>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</si>
  <si>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</si>
  <si>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</si>
  <si>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</si>
  <si>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</si>
  <si>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</si>
  <si>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</si>
  <si>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</si>
  <si>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</si>
  <si>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</si>
  <si>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</si>
  <si>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</si>
  <si>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</si>
  <si>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</si>
  <si>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</si>
  <si>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</si>
  <si>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</si>
  <si>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</si>
  <si>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</si>
  <si>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</si>
  <si>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</si>
  <si>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</si>
  <si>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</si>
  <si>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</si>
  <si>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</si>
  <si>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</si>
  <si>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</si>
  <si>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</si>
  <si>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</si>
  <si>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</si>
  <si>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</si>
  <si>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</si>
  <si>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</si>
  <si>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</si>
  <si>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</si>
  <si>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</si>
  <si>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</si>
  <si>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</si>
  <si>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</si>
  <si>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</si>
  <si>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</si>
  <si>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</si>
  <si>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</si>
  <si>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</si>
  <si>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</si>
  <si>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</si>
  <si>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</si>
  <si>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</si>
  <si>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</si>
  <si>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</si>
  <si>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</si>
  <si>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</si>
  <si>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</si>
  <si>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</si>
  <si>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</si>
  <si>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</si>
  <si>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</si>
  <si>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</si>
  <si>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</si>
  <si>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</si>
  <si>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</si>
  <si>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</si>
  <si>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</si>
  <si>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</si>
  <si>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</si>
  <si>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</si>
  <si>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</si>
  <si>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</si>
  <si>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</si>
  <si>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</si>
  <si>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</si>
  <si>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</si>
  <si>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</si>
  <si>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</si>
  <si>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</si>
  <si>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</si>
  <si>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</si>
  <si>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</si>
  <si>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</si>
  <si>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</si>
  <si>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</si>
  <si>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</si>
  <si>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</si>
  <si>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</si>
  <si>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</si>
  <si>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</si>
  <si>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</si>
  <si>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</si>
  <si>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</si>
  <si>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</si>
  <si>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</si>
  <si>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</si>
  <si>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</si>
  <si>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</si>
  <si>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</si>
  <si>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</si>
  <si>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</si>
  <si>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</si>
  <si>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</si>
  <si>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</si>
  <si>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</si>
  <si>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</si>
  <si>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</si>
  <si>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</si>
  <si>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</si>
  <si>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</si>
  <si>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</si>
  <si>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</si>
  <si>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</si>
  <si>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</si>
  <si>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</si>
  <si>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</si>
  <si>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</si>
  <si>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</si>
  <si>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</si>
  <si>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</si>
  <si>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</si>
  <si>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</si>
  <si>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</si>
  <si>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</si>
  <si>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</si>
  <si>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</si>
  <si>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</si>
  <si>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</si>
  <si>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</si>
  <si>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</si>
  <si>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</si>
  <si>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</si>
  <si>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</si>
  <si>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</si>
  <si>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</si>
  <si>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</si>
  <si>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</si>
  <si>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</si>
  <si>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</si>
  <si>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</si>
  <si>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</si>
  <si>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</si>
  <si>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</si>
  <si>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</si>
  <si>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</si>
  <si>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</si>
  <si>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</si>
  <si>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</si>
  <si>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</si>
  <si>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</si>
  <si>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</si>
  <si>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</si>
  <si>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</si>
  <si>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</si>
  <si>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</si>
  <si>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</si>
  <si>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</si>
  <si>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</si>
  <si>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</si>
  <si>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</si>
  <si>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</si>
  <si>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</si>
  <si>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</si>
  <si>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</si>
  <si>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</si>
  <si>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</si>
  <si>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</si>
  <si>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</si>
  <si>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</si>
  <si>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</si>
  <si>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</si>
  <si>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</si>
  <si>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</si>
  <si>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</si>
  <si>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</si>
  <si>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</si>
  <si>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</si>
  <si>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</si>
  <si>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</si>
  <si>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</si>
  <si>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</si>
  <si>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</si>
  <si>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</si>
  <si>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</si>
  <si>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</si>
  <si>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</si>
  <si>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</si>
  <si>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</si>
  <si>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</si>
  <si>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</si>
  <si>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</si>
  <si>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</si>
  <si>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</si>
  <si>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</si>
  <si>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</si>
  <si>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</si>
  <si>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</si>
  <si>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</si>
  <si>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</si>
  <si>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</si>
  <si>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</si>
  <si>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</si>
  <si>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</si>
  <si>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</si>
  <si>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</si>
  <si>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</si>
  <si>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</si>
  <si>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</si>
  <si>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</si>
  <si>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</si>
  <si>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</si>
  <si>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</si>
  <si>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</si>
  <si>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</si>
  <si>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</si>
  <si>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</si>
  <si>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</si>
  <si>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</si>
  <si>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</si>
  <si>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</si>
  <si>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</si>
  <si>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</si>
  <si>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</si>
  <si>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</si>
  <si>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</si>
  <si>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</si>
  <si>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</si>
  <si>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</si>
  <si>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</si>
  <si>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</si>
  <si>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</si>
  <si>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</si>
  <si>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</si>
  <si>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</si>
  <si>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</si>
  <si>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</si>
  <si>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</si>
  <si>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</si>
  <si>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</si>
  <si>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</si>
  <si>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</si>
  <si>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</si>
  <si>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</si>
  <si>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</si>
  <si>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</si>
  <si>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</si>
  <si>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</si>
  <si>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</si>
  <si>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</si>
  <si>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</si>
  <si>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</si>
  <si>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</si>
  <si>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</si>
  <si>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</si>
  <si>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</si>
  <si>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</si>
  <si>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</si>
  <si>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</si>
  <si>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</si>
  <si>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</si>
  <si>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</si>
  <si>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</si>
  <si>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</si>
  <si>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</si>
  <si>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</si>
  <si>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</si>
  <si>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</si>
  <si>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</si>
  <si>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</si>
  <si>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</si>
  <si>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</si>
  <si>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</si>
  <si>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</si>
  <si>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</si>
  <si>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</si>
  <si>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</si>
  <si>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</si>
  <si>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</si>
  <si>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</si>
  <si>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</si>
  <si>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</si>
  <si>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</si>
  <si>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</si>
  <si>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</si>
  <si>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</si>
  <si>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</si>
  <si>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</si>
  <si>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</si>
  <si>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</si>
  <si>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</si>
  <si>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</si>
  <si>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</si>
  <si>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</si>
  <si>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</si>
  <si>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</si>
  <si>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</si>
  <si>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</si>
  <si>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</si>
  <si>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</si>
  <si>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</si>
  <si>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</si>
  <si>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</si>
  <si>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</si>
  <si>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</si>
  <si>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</si>
  <si>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</si>
  <si>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</si>
  <si>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</si>
  <si>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</si>
  <si>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</si>
  <si>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</si>
  <si>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</si>
  <si>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</si>
  <si>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</si>
  <si>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</si>
  <si>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</si>
  <si>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</si>
  <si>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</si>
  <si>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</si>
  <si>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</si>
  <si>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</si>
  <si>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</si>
  <si>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</si>
  <si>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</si>
  <si>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</si>
  <si>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</si>
  <si>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</si>
  <si>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</si>
  <si>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</si>
  <si>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</si>
  <si>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</si>
  <si>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</si>
  <si>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</si>
  <si>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</si>
  <si>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</si>
  <si>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</si>
  <si>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</si>
  <si>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</si>
  <si>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</si>
  <si>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</si>
  <si>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</si>
  <si>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</si>
  <si>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</si>
  <si>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</si>
  <si>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</si>
  <si>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</si>
  <si>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</si>
  <si>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</si>
  <si>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</si>
  <si>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</si>
  <si>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</si>
  <si>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</si>
  <si>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</si>
  <si>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</si>
  <si>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</si>
  <si>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</si>
  <si>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</si>
  <si>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</si>
  <si>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</si>
  <si>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</si>
  <si>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</si>
  <si>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</si>
  <si>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</si>
  <si>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</si>
  <si>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</si>
  <si>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</si>
  <si>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</si>
  <si>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</si>
  <si>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</si>
  <si>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</si>
  <si>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</si>
  <si>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</si>
  <si>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</si>
  <si>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</si>
  <si>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</si>
  <si>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</si>
  <si>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</si>
  <si>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</si>
  <si>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</si>
  <si>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</si>
  <si>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</si>
  <si>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</si>
  <si>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</si>
  <si>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</si>
  <si>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</si>
  <si>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</si>
  <si>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</si>
  <si>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</si>
  <si>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</si>
  <si>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</si>
  <si>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</si>
  <si>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</si>
  <si>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</si>
  <si>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</si>
  <si>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</si>
  <si>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</si>
  <si>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</si>
  <si>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</si>
  <si>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</si>
  <si>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</si>
  <si>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</si>
  <si>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</si>
  <si>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</si>
  <si>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</si>
  <si>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</si>
  <si>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</si>
  <si>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</si>
  <si>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</si>
  <si>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</si>
  <si>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</si>
  <si>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</si>
  <si>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</si>
  <si>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</si>
  <si>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</si>
  <si>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</si>
  <si>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</si>
  <si>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</si>
  <si>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</si>
  <si>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</si>
  <si>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</si>
  <si>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</si>
  <si>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</si>
  <si>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</si>
  <si>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</si>
  <si>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</si>
  <si>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</si>
  <si>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</si>
  <si>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</si>
  <si>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</si>
  <si>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</si>
  <si>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</si>
  <si>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</si>
  <si>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</si>
  <si>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</si>
  <si>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</si>
  <si>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</si>
  <si>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</si>
  <si>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</si>
  <si>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</si>
  <si>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</si>
  <si>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</si>
  <si>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</si>
  <si>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</si>
  <si>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</si>
  <si>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</si>
  <si>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</si>
  <si>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</si>
  <si>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</si>
  <si>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</si>
  <si>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</si>
  <si>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</si>
  <si>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</si>
  <si>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</si>
  <si>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</si>
  <si>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</si>
  <si>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</si>
  <si>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</si>
  <si>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</si>
  <si>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</si>
  <si>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</si>
  <si>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</si>
  <si>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</si>
  <si>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</si>
  <si>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</si>
  <si>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</si>
  <si>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</si>
  <si>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</si>
  <si>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</si>
  <si>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</si>
  <si>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</si>
  <si>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</si>
  <si>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</si>
  <si>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</si>
  <si>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</si>
  <si>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</si>
  <si>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</si>
  <si>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</si>
  <si>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</si>
  <si>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</si>
  <si>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</si>
  <si>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</si>
  <si>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</si>
  <si>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</si>
  <si>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</si>
  <si>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</si>
  <si>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</si>
  <si>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</si>
  <si>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</si>
  <si>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</si>
  <si>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</si>
  <si>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</si>
  <si>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</si>
  <si>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</si>
  <si>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</si>
  <si>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</si>
  <si>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</si>
  <si>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</si>
  <si>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</si>
  <si>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</si>
  <si>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</si>
  <si>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</si>
  <si>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</si>
  <si>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</si>
  <si>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</si>
  <si>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</si>
  <si>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</si>
  <si>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</si>
  <si>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</si>
  <si>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</si>
  <si>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</si>
  <si>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</si>
  <si>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</si>
  <si>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</si>
  <si>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</si>
  <si>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</si>
  <si>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</si>
  <si>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</si>
  <si>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</si>
  <si>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</si>
  <si>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</si>
  <si>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</si>
  <si>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</si>
  <si>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</si>
  <si>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</si>
  <si>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</si>
  <si>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</si>
  <si>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</si>
  <si>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</si>
  <si>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</si>
  <si>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</si>
  <si>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</si>
  <si>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</si>
  <si>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</si>
  <si>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</si>
  <si>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</si>
  <si>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</si>
  <si>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</si>
  <si>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</si>
  <si>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</si>
  <si>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</si>
  <si>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</si>
  <si>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</si>
  <si>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</si>
  <si>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</si>
  <si>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</si>
  <si>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</si>
  <si>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</si>
  <si>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</si>
  <si>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</si>
  <si>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</si>
  <si>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</si>
  <si>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</si>
  <si>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</si>
  <si>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</si>
  <si>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</si>
  <si>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</si>
  <si>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</si>
  <si>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</si>
  <si>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</si>
  <si>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</si>
  <si>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</si>
  <si>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</si>
  <si>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</si>
  <si>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</si>
  <si>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</si>
  <si>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</si>
  <si>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</si>
  <si>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</si>
  <si>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</si>
  <si>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</si>
  <si>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</si>
  <si>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</si>
  <si>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</si>
  <si>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</si>
  <si>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</si>
  <si>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</si>
  <si>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</si>
  <si>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</si>
  <si>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</si>
  <si>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</si>
  <si>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</si>
  <si>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</si>
  <si>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</si>
  <si>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</si>
  <si>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</si>
  <si>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</si>
  <si>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</si>
  <si>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</si>
  <si>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</si>
  <si>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</si>
  <si>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</si>
  <si>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</si>
  <si>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</si>
  <si>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</si>
  <si>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</si>
  <si>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</si>
  <si>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</si>
  <si>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</si>
  <si>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</si>
  <si>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</si>
  <si>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</si>
  <si>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</si>
  <si>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</si>
  <si>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</si>
  <si>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</si>
  <si>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</si>
  <si>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</si>
  <si>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</si>
  <si>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</si>
  <si>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</si>
  <si>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</si>
  <si>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</si>
  <si>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</si>
  <si>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</si>
  <si>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</si>
  <si>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</si>
  <si>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</si>
  <si>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</si>
  <si>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</si>
  <si>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</si>
  <si>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</si>
  <si>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</si>
  <si>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</si>
  <si>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</si>
  <si>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</si>
  <si>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</si>
  <si>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</si>
  <si>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</si>
  <si>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</si>
  <si>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</si>
  <si>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</si>
  <si>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</si>
  <si>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</si>
  <si>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</si>
  <si>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</si>
  <si>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</si>
  <si>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</si>
  <si>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</si>
  <si>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</si>
  <si>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</si>
  <si>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</si>
  <si>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</si>
  <si>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</si>
  <si>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</si>
  <si>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</si>
  <si>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</si>
  <si>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</si>
  <si>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</si>
  <si>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</si>
  <si>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</si>
  <si>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</si>
  <si>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</si>
  <si>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</si>
  <si>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</si>
  <si>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</si>
  <si>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</si>
  <si>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</si>
  <si>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</si>
  <si>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</si>
  <si>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</si>
  <si>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</si>
  <si>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</si>
  <si>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</si>
  <si>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</si>
  <si>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</si>
  <si>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</si>
  <si>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</si>
  <si>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</si>
  <si>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</si>
  <si>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</si>
  <si>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</si>
  <si>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</si>
  <si>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</si>
  <si>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</si>
  <si>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</si>
  <si>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</si>
  <si>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</si>
  <si>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</si>
  <si>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</si>
  <si>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</si>
  <si>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</si>
  <si>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</si>
  <si>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</si>
  <si>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</si>
  <si>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</si>
  <si>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</si>
  <si>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</si>
  <si>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</si>
  <si>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</si>
  <si>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</si>
  <si>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</si>
  <si>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</si>
  <si>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</si>
  <si>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</si>
  <si>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</si>
  <si>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</si>
  <si>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</si>
  <si>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</si>
  <si>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</si>
  <si>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</si>
  <si>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</si>
  <si>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</si>
  <si>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</si>
  <si>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</si>
  <si>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</si>
  <si>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</si>
  <si>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</si>
  <si>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</si>
  <si>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</si>
  <si>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</si>
  <si>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</si>
  <si>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</si>
  <si>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</si>
  <si>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</si>
  <si>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</si>
  <si>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</si>
  <si>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</si>
  <si>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</si>
  <si>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</si>
  <si>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</si>
  <si>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</si>
  <si>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</si>
  <si>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</si>
  <si>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</si>
  <si>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</si>
  <si>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</si>
  <si>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</si>
  <si>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</si>
  <si>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</si>
  <si>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</si>
  <si>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</si>
  <si>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</si>
  <si>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</si>
  <si>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</si>
  <si>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</si>
  <si>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</si>
  <si>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</si>
  <si>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</si>
  <si>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</si>
  <si>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</si>
  <si>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</si>
  <si>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</si>
  <si>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</si>
  <si>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</si>
  <si>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</si>
  <si>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</si>
  <si>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</si>
  <si>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</si>
  <si>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</si>
  <si>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</si>
  <si>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</si>
  <si>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</si>
  <si>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</si>
  <si>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</si>
  <si>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</si>
  <si>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</si>
  <si>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</si>
  <si>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</si>
  <si>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</si>
  <si>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</si>
  <si>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</si>
  <si>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</si>
  <si>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</si>
  <si>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</si>
  <si>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</si>
  <si>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</si>
  <si>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</si>
  <si>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</si>
  <si>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</si>
  <si>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</si>
  <si>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</si>
  <si>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</si>
  <si>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</si>
  <si>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</si>
  <si>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</si>
  <si>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</si>
  <si>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</si>
  <si>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</si>
  <si>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</si>
  <si>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</si>
  <si>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</si>
  <si>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</si>
  <si>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</si>
  <si>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</si>
  <si>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</si>
  <si>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</si>
  <si>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</si>
  <si>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</si>
  <si>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</si>
  <si>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</si>
  <si>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</si>
  <si>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</si>
  <si>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</si>
  <si>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</si>
  <si>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</si>
  <si>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</si>
  <si>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</si>
  <si>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</si>
  <si>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</si>
  <si>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</si>
  <si>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</si>
  <si>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</si>
  <si>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</si>
  <si>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</si>
  <si>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</si>
  <si>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</si>
  <si>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</si>
  <si>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</si>
  <si>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</si>
  <si>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</si>
  <si>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</si>
  <si>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</si>
  <si>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</si>
  <si>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</si>
  <si>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</si>
  <si>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</si>
  <si>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</si>
  <si>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</si>
  <si>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</si>
  <si>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</si>
  <si>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</si>
  <si>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</si>
  <si>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</si>
  <si>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</si>
  <si>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</si>
  <si>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</si>
  <si>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</si>
  <si>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</si>
  <si>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</si>
  <si>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</si>
  <si>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</si>
  <si>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</si>
  <si>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</si>
  <si>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</si>
  <si>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</si>
  <si>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</si>
  <si>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</si>
  <si>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</si>
  <si>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</si>
  <si>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</si>
  <si>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</si>
  <si>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</si>
  <si>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</si>
  <si>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</si>
  <si>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</si>
  <si>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</si>
  <si>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</si>
  <si>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</si>
  <si>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</si>
  <si>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</si>
  <si>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</si>
  <si>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</si>
  <si>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</si>
  <si>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</si>
  <si>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</si>
  <si>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</si>
  <si>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</si>
  <si>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</si>
  <si>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</si>
  <si>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</si>
  <si>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</si>
  <si>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</si>
  <si>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</si>
  <si>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</si>
  <si>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</si>
  <si>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</si>
  <si>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</si>
  <si>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</si>
  <si>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</si>
  <si>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</si>
  <si>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</si>
  <si>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</si>
  <si>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</si>
  <si>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</si>
  <si>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</si>
  <si>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</si>
  <si>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</si>
  <si>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</si>
  <si>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</si>
  <si>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</si>
  <si>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</si>
  <si>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</si>
  <si>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</si>
  <si>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</si>
  <si>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</si>
  <si>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</si>
  <si>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</si>
  <si>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</si>
  <si>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</si>
  <si>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</si>
  <si>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</si>
  <si>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</si>
  <si>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</si>
  <si>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</si>
  <si>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</si>
  <si>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</si>
  <si>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</si>
  <si>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</si>
  <si>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</si>
  <si>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</si>
  <si>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</si>
  <si>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</si>
  <si>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</si>
  <si>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</si>
  <si>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</si>
  <si>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</si>
  <si>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</si>
  <si>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</si>
  <si>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</si>
  <si>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</si>
  <si>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</si>
  <si>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</si>
  <si>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</si>
  <si>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</si>
  <si>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</si>
  <si>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</si>
  <si>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</si>
  <si>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</si>
  <si>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</si>
  <si>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</si>
  <si>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</si>
  <si>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</si>
  <si>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</si>
  <si>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</si>
  <si>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</si>
  <si>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</si>
  <si>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</si>
  <si>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</si>
  <si>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</si>
  <si>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</si>
  <si>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</si>
  <si>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</si>
  <si>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</si>
  <si>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</si>
  <si>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</si>
  <si>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</si>
  <si>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</si>
  <si>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</si>
  <si>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</si>
  <si>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</si>
  <si>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</si>
  <si>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</si>
  <si>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</si>
  <si>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</si>
  <si>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</si>
  <si>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</si>
  <si>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</si>
  <si>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</si>
  <si>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</si>
  <si>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</si>
  <si>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</si>
  <si>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</si>
  <si>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</si>
  <si>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</si>
  <si>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</si>
  <si>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</si>
  <si>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</si>
  <si>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</si>
  <si>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</si>
  <si>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</si>
  <si>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</si>
  <si>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</si>
  <si>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</si>
  <si>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</si>
  <si>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</si>
  <si>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</si>
  <si>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</si>
  <si>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</si>
  <si>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</si>
  <si>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</si>
  <si>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</si>
  <si>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</si>
  <si>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</si>
  <si>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</si>
  <si>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</si>
  <si>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</si>
  <si>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</si>
  <si>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</si>
  <si>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</si>
  <si>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</si>
  <si>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</si>
  <si>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</si>
  <si>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</si>
  <si>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</si>
  <si>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</si>
  <si>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</si>
  <si>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</si>
  <si>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</si>
  <si>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</si>
  <si>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</si>
  <si>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</si>
  <si>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</si>
  <si>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</si>
  <si>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</si>
  <si>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</si>
  <si>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</si>
  <si>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</si>
  <si>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</si>
  <si>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</si>
  <si>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</si>
  <si>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</si>
  <si>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</si>
  <si>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</si>
  <si>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</si>
  <si>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</si>
  <si>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</si>
  <si>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</si>
  <si>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</si>
  <si>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</si>
  <si>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</si>
  <si>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</si>
  <si>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</si>
  <si>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</si>
  <si>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</si>
  <si>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</si>
  <si>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</si>
  <si>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</si>
  <si>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</si>
  <si>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</si>
  <si>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</si>
  <si>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</si>
  <si>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</si>
  <si>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</si>
  <si>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</si>
  <si>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</si>
  <si>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</si>
  <si>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</si>
  <si>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</si>
  <si>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</si>
  <si>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</si>
  <si>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</si>
  <si>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</si>
  <si>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</si>
  <si>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</si>
  <si>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</si>
  <si>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</si>
  <si>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</si>
  <si>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</si>
  <si>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</si>
  <si>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</si>
  <si>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</si>
  <si>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</si>
  <si>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</si>
  <si>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</si>
  <si>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</si>
  <si>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</si>
  <si>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</si>
  <si>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</si>
  <si>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</si>
  <si>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</si>
  <si>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</si>
  <si>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</si>
  <si>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</si>
  <si>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</si>
  <si>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</si>
  <si>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</si>
  <si>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</si>
  <si>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</si>
  <si>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</si>
  <si>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</si>
  <si>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</si>
  <si>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</si>
  <si>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</si>
  <si>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UPAH LAIN-LAIN</t>
  </si>
  <si>
    <t>Staff Teknik</t>
  </si>
  <si>
    <t>TL. Teknik</t>
  </si>
  <si>
    <t>MULP</t>
  </si>
  <si>
    <t>PEMASANGAN TRAFO</t>
  </si>
  <si>
    <t>SYG 5 - 32</t>
  </si>
  <si>
    <t>SYG 05</t>
  </si>
  <si>
    <t>KOORDINAT : -6.917617, 110.661858</t>
  </si>
  <si>
    <t>I2</t>
  </si>
  <si>
    <t>PEMBANGUNAN JARINGAN TM</t>
  </si>
  <si>
    <t xml:space="preserve">Jumper Wire : </t>
  </si>
  <si>
    <t>CM2-11M</t>
  </si>
  <si>
    <t>Stainless Steel Strap 20 X 0.7 mm</t>
  </si>
  <si>
    <t>Daya 105.000 VA</t>
  </si>
  <si>
    <t>CM2-11</t>
  </si>
  <si>
    <t>DS SIDOMULYO 07/04 WONOSALAM</t>
  </si>
  <si>
    <t>Trafo 3 Fasa 100 KVA 1 Tiang (G312-A)</t>
  </si>
  <si>
    <t>Pemasangan APP 1 Fasa Di Bangunan</t>
  </si>
  <si>
    <t>AGR PUWANINGSIH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</si>
</sst>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43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178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7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18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204" fontId="19" fillId="0" borderId="0" applyFont="0" applyFill="0" applyBorder="0" applyAlignment="0" applyProtection="0"/>
    <xf numFmtId="20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4" fontId="33" fillId="0" borderId="3"/>
    <xf numFmtId="184" fontId="19" fillId="0" borderId="3"/>
    <xf numFmtId="42" fontId="20" fillId="0" borderId="0" applyFont="0" applyFill="0" applyBorder="0" applyAlignment="0" applyProtection="0"/>
    <xf numFmtId="42" fontId="45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67" fillId="0" borderId="0" applyFont="0" applyFill="0" applyBorder="0" applyAlignment="0" applyProtection="0"/>
    <xf numFmtId="186" fontId="69" fillId="0" borderId="0">
      <protection locked="0"/>
    </xf>
    <xf numFmtId="14" fontId="61" fillId="0" borderId="0" applyFill="0" applyBorder="0" applyAlignment="0"/>
    <xf numFmtId="187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88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89" fontId="74" fillId="0" borderId="0">
      <protection locked="0"/>
    </xf>
    <xf numFmtId="189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0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1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19" fillId="0" borderId="0"/>
    <xf numFmtId="191" fontId="33" fillId="0" borderId="0"/>
    <xf numFmtId="170" fontId="80" fillId="0" borderId="0"/>
    <xf numFmtId="170" fontId="81" fillId="0" borderId="0"/>
    <xf numFmtId="170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2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0" fontId="81" fillId="0" borderId="0"/>
    <xf numFmtId="0" fontId="81" fillId="0" borderId="0"/>
    <xf numFmtId="193" fontId="81" fillId="0" borderId="0"/>
    <xf numFmtId="194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3" fontId="81" fillId="0" borderId="0"/>
    <xf numFmtId="0" fontId="81" fillId="0" borderId="0"/>
    <xf numFmtId="0" fontId="33" fillId="0" borderId="0"/>
    <xf numFmtId="0" fontId="19" fillId="0" borderId="0"/>
    <xf numFmtId="180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6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5" fontId="81" fillId="0" borderId="0"/>
    <xf numFmtId="197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2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2" fontId="40" fillId="0" borderId="0"/>
    <xf numFmtId="192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4" fontId="33" fillId="0" borderId="0" applyFont="0" applyFill="0" applyBorder="0" applyAlignment="0" applyProtection="0"/>
    <xf numFmtId="174" fontId="19" fillId="0" borderId="0" applyFont="0" applyFill="0" applyBorder="0" applyAlignment="0" applyProtection="0"/>
    <xf numFmtId="198" fontId="33" fillId="0" borderId="0" applyFont="0" applyFill="0" applyBorder="0" applyAlignment="0" applyProtection="0"/>
    <xf numFmtId="198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1" fillId="0" borderId="0"/>
    <xf numFmtId="199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0" fontId="33" fillId="0" borderId="0" applyFill="0" applyBorder="0" applyAlignment="0"/>
    <xf numFmtId="200" fontId="19" fillId="0" borderId="0" applyFill="0" applyBorder="0" applyAlignment="0"/>
    <xf numFmtId="201" fontId="33" fillId="0" borderId="0" applyFill="0" applyBorder="0" applyAlignment="0"/>
    <xf numFmtId="201" fontId="19" fillId="0" borderId="0" applyFill="0" applyBorder="0" applyAlignment="0"/>
    <xf numFmtId="202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64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164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15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41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41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41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43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7" fontId="42" fillId="0" borderId="0" xfId="714" applyFont="1" applyFill="1" applyAlignment="1">
      <alignment horizontal="center" wrapText="1"/>
    </xf>
    <xf numFmtId="167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7" fontId="42" fillId="0" borderId="21" xfId="715" applyNumberFormat="1" applyFont="1" applyFill="1" applyBorder="1" applyAlignment="1">
      <alignment horizontal="center" vertical="center" wrapText="1"/>
    </xf>
    <xf numFmtId="167" fontId="42" fillId="0" borderId="21" xfId="714" applyFont="1" applyFill="1" applyBorder="1" applyAlignment="1">
      <alignment horizontal="center" vertical="center" wrapText="1"/>
    </xf>
    <xf numFmtId="167" fontId="42" fillId="0" borderId="33" xfId="714" applyFont="1" applyFill="1" applyBorder="1" applyAlignment="1">
      <alignment horizontal="center" vertical="center" wrapText="1"/>
    </xf>
    <xf numFmtId="43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43" fontId="41" fillId="0" borderId="0" xfId="1615" applyNumberFormat="1" applyFont="1" applyAlignment="1">
      <alignment horizontal="left" vertical="center"/>
    </xf>
    <xf numFmtId="43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5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41" fontId="93" fillId="0" borderId="0" xfId="1448" applyNumberFormat="1" applyFont="1" applyAlignment="1">
      <alignment wrapText="1"/>
    </xf>
    <xf numFmtId="41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7" fontId="42" fillId="0" borderId="21" xfId="717" applyNumberFormat="1" applyFont="1" applyFill="1" applyBorder="1" applyAlignment="1" applyProtection="1">
      <alignment horizontal="center" vertical="center" wrapText="1"/>
    </xf>
    <xf numFmtId="41" fontId="42" fillId="0" borderId="21" xfId="1451" applyNumberFormat="1" applyFont="1" applyBorder="1" applyAlignment="1">
      <alignment horizontal="center" vertical="center" wrapText="1"/>
    </xf>
    <xf numFmtId="167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7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7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7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43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41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7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0" fillId="0" borderId="0" xfId="1538"/>
    <xf numFmtId="43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43" fontId="0" fillId="0" borderId="3" xfId="1026" applyFont="1" applyFill="1" applyBorder="1" applyProtection="1"/>
    <xf numFmtId="43" fontId="110" fillId="0" borderId="3" xfId="1538" applyNumberFormat="1" applyBorder="1"/>
    <xf numFmtId="43" fontId="138" fillId="0" borderId="3" xfId="1026" applyFont="1" applyBorder="1" applyProtection="1"/>
    <xf numFmtId="43" fontId="0" fillId="0" borderId="3" xfId="1026" applyFont="1" applyBorder="1" applyProtection="1"/>
    <xf numFmtId="43" fontId="126" fillId="0" borderId="3" xfId="1538" applyNumberFormat="1" applyFont="1" applyBorder="1"/>
    <xf numFmtId="0" fontId="59" fillId="0" borderId="3" xfId="1538" applyFont="1" applyBorder="1"/>
    <xf numFmtId="41" fontId="110" fillId="0" borderId="3" xfId="1538" applyNumberFormat="1" applyBorder="1"/>
    <xf numFmtId="43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43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43" fontId="47" fillId="0" borderId="0" xfId="1538" applyNumberFormat="1" applyFont="1"/>
    <xf numFmtId="0" fontId="110" fillId="29" borderId="3" xfId="1538" applyFill="1" applyBorder="1"/>
    <xf numFmtId="167" fontId="110" fillId="29" borderId="3" xfId="1538" applyNumberFormat="1" applyFill="1" applyBorder="1" applyAlignment="1">
      <alignment horizontal="right"/>
    </xf>
    <xf numFmtId="165" fontId="110" fillId="0" borderId="0" xfId="1538" applyNumberFormat="1"/>
    <xf numFmtId="43" fontId="110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43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49" fillId="0" borderId="20" xfId="1653" applyFont="1" applyBorder="1" applyAlignment="1">
      <alignment horizontal="center" vertical="center"/>
    </xf>
    <xf numFmtId="0" fontId="149" fillId="0" borderId="21" xfId="1451" applyFont="1" applyBorder="1" applyAlignment="1">
      <alignment horizontal="left" vertical="center" wrapText="1"/>
    </xf>
    <xf numFmtId="0" fontId="150" fillId="0" borderId="21" xfId="1653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5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37" fontId="148" fillId="0" borderId="0" xfId="1614" applyNumberFormat="1" applyFont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0" xfId="1614" applyNumberFormat="1" applyFont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47" fillId="0" borderId="0" xfId="1614" applyFont="1" applyAlignment="1">
      <alignment horizontal="center" vertic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41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43" fontId="139" fillId="40" borderId="85" xfId="2672" applyFont="1" applyFill="1" applyBorder="1" applyAlignment="1" applyProtection="1">
      <alignment horizontal="right" vertical="center" wrapText="1"/>
      <protection locked="0"/>
    </xf>
    <xf numFmtId="43" fontId="139" fillId="40" borderId="87" xfId="2672" applyFont="1" applyFill="1" applyBorder="1" applyAlignment="1" applyProtection="1">
      <alignment horizontal="right" vertical="center"/>
      <protection locked="0"/>
    </xf>
    <xf numFmtId="167" fontId="139" fillId="40" borderId="87" xfId="2672" applyNumberFormat="1" applyFont="1" applyFill="1" applyBorder="1" applyAlignment="1" applyProtection="1">
      <alignment horizontal="right" vertical="center"/>
      <protection locked="0"/>
    </xf>
    <xf numFmtId="167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164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5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7" fontId="143" fillId="47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174" fillId="33" borderId="0" xfId="2678" applyFill="1"/>
    <xf numFmtId="0" fontId="2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2" fillId="0" borderId="21" xfId="1450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3" fontId="8" fillId="0" borderId="21" xfId="1599" applyNumberFormat="1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2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7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165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0" fontId="165" fillId="44" borderId="3" xfId="2673" applyFont="1" applyFill="1" applyBorder="1" applyAlignment="1">
      <alignment horizontal="center" vertical="center" wrapText="1"/>
    </xf>
    <xf numFmtId="0" fontId="165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165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165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54" fillId="35" borderId="3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13" fillId="33" borderId="44" xfId="0" applyFont="1" applyFill="1" applyBorder="1" applyAlignment="1">
      <alignment horizontal="center" vertical="center" wrapText="1"/>
    </xf>
    <xf numFmtId="0" fontId="113" fillId="33" borderId="45" xfId="0" applyFont="1" applyFill="1" applyBorder="1" applyAlignment="1">
      <alignment horizontal="center" vertical="center" wrapText="1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49" fontId="113" fillId="33" borderId="50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6" fontId="118" fillId="0" borderId="73" xfId="1450" applyNumberFormat="1" applyFont="1" applyBorder="1" applyAlignment="1">
      <alignment horizontal="left" vertical="center"/>
    </xf>
    <xf numFmtId="206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0.70000000000000018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5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5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99</xdr:row>
      <xdr:rowOff>81642</xdr:rowOff>
    </xdr:from>
    <xdr:to>
      <xdr:col>11</xdr:col>
      <xdr:colOff>93061</xdr:colOff>
      <xdr:row>102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201206</xdr:colOff>
      <xdr:row>17</xdr:row>
      <xdr:rowOff>62963</xdr:rowOff>
    </xdr:from>
    <xdr:to>
      <xdr:col>12</xdr:col>
      <xdr:colOff>34080</xdr:colOff>
      <xdr:row>19</xdr:row>
      <xdr:rowOff>113675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720E2FB3-E95F-438A-B5A5-746D593FA9A9}"/>
            </a:ext>
          </a:extLst>
        </xdr:cNvPr>
        <xdr:cNvSpPr txBox="1"/>
      </xdr:nvSpPr>
      <xdr:spPr>
        <a:xfrm rot="5400000">
          <a:off x="3861465" y="2716418"/>
          <a:ext cx="350069" cy="213874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2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19</xdr:col>
      <xdr:colOff>10849</xdr:colOff>
      <xdr:row>1</xdr:row>
      <xdr:rowOff>54428</xdr:rowOff>
    </xdr:from>
    <xdr:to>
      <xdr:col>21</xdr:col>
      <xdr:colOff>107148</xdr:colOff>
      <xdr:row>6</xdr:row>
      <xdr:rowOff>81879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D461F8-B1C8-4FA1-B8EF-3501ADDBD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87206" y="217714"/>
          <a:ext cx="858299" cy="789451"/>
        </a:xfrm>
        <a:prstGeom prst="rect">
          <a:avLst/>
        </a:prstGeom>
      </xdr:spPr>
    </xdr:pic>
    <xdr:clientData/>
  </xdr:twoCellAnchor>
  <xdr:twoCellAnchor>
    <xdr:from>
      <xdr:col>26</xdr:col>
      <xdr:colOff>65006</xdr:colOff>
      <xdr:row>5</xdr:row>
      <xdr:rowOff>40289</xdr:rowOff>
    </xdr:from>
    <xdr:to>
      <xdr:col>29</xdr:col>
      <xdr:colOff>354335</xdr:colOff>
      <xdr:row>17</xdr:row>
      <xdr:rowOff>35534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05115714-B700-464A-A407-0E81AE03C8E4}"/>
            </a:ext>
          </a:extLst>
        </xdr:cNvPr>
        <xdr:cNvGrpSpPr/>
      </xdr:nvGrpSpPr>
      <xdr:grpSpPr>
        <a:xfrm>
          <a:off x="9553371" y="824270"/>
          <a:ext cx="1490945" cy="1848956"/>
          <a:chOff x="9713886" y="808452"/>
          <a:chExt cx="1342558" cy="1766630"/>
        </a:xfrm>
      </xdr:grpSpPr>
      <xdr:grpSp>
        <xdr:nvGrpSpPr>
          <xdr:cNvPr id="122" name="Group 13">
            <a:extLst>
              <a:ext uri="{FF2B5EF4-FFF2-40B4-BE49-F238E27FC236}">
                <a16:creationId xmlns:a16="http://schemas.microsoft.com/office/drawing/2014/main" id="{322D9EED-0037-49FB-9725-68E4205BE03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4" name="Oval 1">
              <a:extLst>
                <a:ext uri="{FF2B5EF4-FFF2-40B4-BE49-F238E27FC236}">
                  <a16:creationId xmlns:a16="http://schemas.microsoft.com/office/drawing/2014/main" id="{4C7E8E0D-0112-41C7-9492-5761FB99658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5" name="Straight Connector 3">
              <a:extLst>
                <a:ext uri="{FF2B5EF4-FFF2-40B4-BE49-F238E27FC236}">
                  <a16:creationId xmlns:a16="http://schemas.microsoft.com/office/drawing/2014/main" id="{BEFFAADE-B334-48EC-B107-B60989DB8F47}"/>
                </a:ext>
              </a:extLst>
            </xdr:cNvPr>
            <xdr:cNvCxnSpPr>
              <a:stCxn id="251" idx="1"/>
              <a:endCxn id="25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7">
              <a:extLst>
                <a:ext uri="{FF2B5EF4-FFF2-40B4-BE49-F238E27FC236}">
                  <a16:creationId xmlns:a16="http://schemas.microsoft.com/office/drawing/2014/main" id="{1C691B42-4D67-4F97-851E-58DD76A23346}"/>
                </a:ext>
              </a:extLst>
            </xdr:cNvPr>
            <xdr:cNvCxnSpPr>
              <a:stCxn id="251" idx="3"/>
              <a:endCxn id="25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221F988-6436-45FB-A959-1AD9EBFE233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4" name="Group 123">
            <a:extLst>
              <a:ext uri="{FF2B5EF4-FFF2-40B4-BE49-F238E27FC236}">
                <a16:creationId xmlns:a16="http://schemas.microsoft.com/office/drawing/2014/main" id="{631092A4-9D8B-472B-BFC6-565ABBCB9A7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1" name="Oval 290">
              <a:extLst>
                <a:ext uri="{FF2B5EF4-FFF2-40B4-BE49-F238E27FC236}">
                  <a16:creationId xmlns:a16="http://schemas.microsoft.com/office/drawing/2014/main" id="{7031EA64-C986-4E93-9C9E-20D68B2455B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93ADC1E5-FF80-451B-BF66-6E7A0BD43F1D}"/>
                </a:ext>
              </a:extLst>
            </xdr:cNvPr>
            <xdr:cNvCxnSpPr>
              <a:stCxn id="291" idx="1"/>
              <a:endCxn id="29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Connector 292">
              <a:extLst>
                <a:ext uri="{FF2B5EF4-FFF2-40B4-BE49-F238E27FC236}">
                  <a16:creationId xmlns:a16="http://schemas.microsoft.com/office/drawing/2014/main" id="{EA6C8A38-A05B-467B-BA8B-7391B1582950}"/>
                </a:ext>
              </a:extLst>
            </xdr:cNvPr>
            <xdr:cNvCxnSpPr>
              <a:stCxn id="291" idx="3"/>
              <a:endCxn id="29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B78F020-B547-4273-9B71-87FC0C1F49C1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64B8EF6B-8869-4DC3-A94D-B05124330D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A124CCE-062E-4515-A623-E78CCF244AA9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25187F7D-B3C9-40B5-86AD-F2D1B83E8CC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BFD10CB-1E66-4D8A-ADD5-96ED88CD46F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3EAFC62F-44E1-4865-BBA6-BD763D1EF0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4E715725-1010-4D18-B0AA-2DD0CB79AB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F5D616DA-DF4F-4BA4-AD94-6EB92BACC3D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6705679-BB9A-49C3-B8D2-9699080137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5523762-7EDF-41DD-A1B2-2F17063E548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C46FB4A5-9165-4FBD-9A66-138278FD53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13A5078-27F3-4423-B473-D9A9B58C411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F1502A1-2DA7-43AB-9160-4D59D90DCC14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B89F7CB2-F58C-4BC0-985D-93842D3FE2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A4D5BE8-FDCD-4D9F-8BCE-E0C0012229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2">
            <a:extLst>
              <a:ext uri="{FF2B5EF4-FFF2-40B4-BE49-F238E27FC236}">
                <a16:creationId xmlns:a16="http://schemas.microsoft.com/office/drawing/2014/main" id="{FF53BE85-913B-4707-A9C0-831E4C4318F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9E3BF716-FBB1-4919-8EBF-61BED2317A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98BD33D-2E38-4EF4-981C-3E6D4C725071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E218835-804C-4CEF-A7C2-7D89375FB21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8C6D5ADD-30A2-450E-A6D0-F7FC0348D576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E0969FF-23A2-4034-B297-5FEA6ACEFCF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A86B9EB8-785C-41AC-B135-D66CDCCAE8D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4CAAF39F-51D9-4A48-AA83-D0B21F34DE6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993CF49-4A99-4FBA-ABF3-92AA2478A1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11FAD728-1FC9-4A18-A1D3-E61EB2D5155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3" name="Group 73">
            <a:extLst>
              <a:ext uri="{FF2B5EF4-FFF2-40B4-BE49-F238E27FC236}">
                <a16:creationId xmlns:a16="http://schemas.microsoft.com/office/drawing/2014/main" id="{8F3FE792-8157-4292-A6B4-847E2EE8C35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3EF49135-53FF-4926-B860-3BB22B3E60D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E2450D6-3D61-4C85-A169-FB242E5E60C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74">
            <a:extLst>
              <a:ext uri="{FF2B5EF4-FFF2-40B4-BE49-F238E27FC236}">
                <a16:creationId xmlns:a16="http://schemas.microsoft.com/office/drawing/2014/main" id="{D67E7275-C1C8-43A2-80D1-33FD1684518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7" name="TextBox 286">
              <a:extLst>
                <a:ext uri="{FF2B5EF4-FFF2-40B4-BE49-F238E27FC236}">
                  <a16:creationId xmlns:a16="http://schemas.microsoft.com/office/drawing/2014/main" id="{26E14622-662E-4469-B9A9-D5295A06DC2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5213537B-459B-4287-82F0-B67C094467A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89">
            <a:extLst>
              <a:ext uri="{FF2B5EF4-FFF2-40B4-BE49-F238E27FC236}">
                <a16:creationId xmlns:a16="http://schemas.microsoft.com/office/drawing/2014/main" id="{37AAF8B1-9866-4AD4-B0C8-5C9B0D04229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3" name="Straight Connector 282">
              <a:extLst>
                <a:ext uri="{FF2B5EF4-FFF2-40B4-BE49-F238E27FC236}">
                  <a16:creationId xmlns:a16="http://schemas.microsoft.com/office/drawing/2014/main" id="{D6197572-D248-4710-80E2-83370235AEA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79">
              <a:extLst>
                <a:ext uri="{FF2B5EF4-FFF2-40B4-BE49-F238E27FC236}">
                  <a16:creationId xmlns:a16="http://schemas.microsoft.com/office/drawing/2014/main" id="{2049E36F-1E40-4B48-AF5E-75793A3D545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0">
              <a:extLst>
                <a:ext uri="{FF2B5EF4-FFF2-40B4-BE49-F238E27FC236}">
                  <a16:creationId xmlns:a16="http://schemas.microsoft.com/office/drawing/2014/main" id="{ED19E9FF-C357-4ABA-8750-2044C56997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88">
              <a:extLst>
                <a:ext uri="{FF2B5EF4-FFF2-40B4-BE49-F238E27FC236}">
                  <a16:creationId xmlns:a16="http://schemas.microsoft.com/office/drawing/2014/main" id="{FCCC9C45-8FBC-4363-B895-303EB27C8F7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6" name="Group 90">
            <a:extLst>
              <a:ext uri="{FF2B5EF4-FFF2-40B4-BE49-F238E27FC236}">
                <a16:creationId xmlns:a16="http://schemas.microsoft.com/office/drawing/2014/main" id="{5D66F161-992A-47F3-AD7B-5625CAFB84E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B979314-FB79-4AEB-B09D-5A3E8FA1D39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4BD98B72-2416-438C-8212-7BA286D388A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A542C0A3-9694-4905-B2A0-C01FC058FCB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7AE4D199-69DF-4E4E-81C8-25BEE2B20E1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3B6C73D9-C9E9-4561-B2A0-7E5E5F403A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BB3A20F0-DD59-4638-8E0A-BAF8224B61B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87ABA211-5A30-4AE9-ABA6-4B57EEEE8AE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Arrow Connector 269">
            <a:extLst>
              <a:ext uri="{FF2B5EF4-FFF2-40B4-BE49-F238E27FC236}">
                <a16:creationId xmlns:a16="http://schemas.microsoft.com/office/drawing/2014/main" id="{908C0AB8-2D9E-45E0-834E-0409EB3D8E5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1" name="Group 155">
            <a:extLst>
              <a:ext uri="{FF2B5EF4-FFF2-40B4-BE49-F238E27FC236}">
                <a16:creationId xmlns:a16="http://schemas.microsoft.com/office/drawing/2014/main" id="{FD0D0E27-BB2A-4018-B4E8-C067D67FAD61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CDCF7C7D-D7C3-449E-A0CF-5FA1FF65BBC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6D846C6F-CF7A-4981-ABC4-9672C7617FFC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8" name="Isosceles Triangle 277">
              <a:extLst>
                <a:ext uri="{FF2B5EF4-FFF2-40B4-BE49-F238E27FC236}">
                  <a16:creationId xmlns:a16="http://schemas.microsoft.com/office/drawing/2014/main" id="{A389252E-9C22-4CD3-8F48-D6D3745B757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2" name="Group 134">
            <a:extLst>
              <a:ext uri="{FF2B5EF4-FFF2-40B4-BE49-F238E27FC236}">
                <a16:creationId xmlns:a16="http://schemas.microsoft.com/office/drawing/2014/main" id="{D51EBE46-A9DD-4D69-9C90-180B511C5F9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4818A71E-3A2B-4A45-B33B-274A37C25F8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45E22B30-6C7B-4349-A0E6-C4A4576887C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30F7F71B-D06A-461F-A2E5-AD833F51C7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13</xdr:col>
      <xdr:colOff>122746</xdr:colOff>
      <xdr:row>17</xdr:row>
      <xdr:rowOff>134097</xdr:rowOff>
    </xdr:from>
    <xdr:to>
      <xdr:col>14</xdr:col>
      <xdr:colOff>334444</xdr:colOff>
      <xdr:row>17</xdr:row>
      <xdr:rowOff>144167</xdr:rowOff>
    </xdr:to>
    <xdr:cxnSp macro="">
      <xdr:nvCxnSpPr>
        <xdr:cNvPr id="297" name="Straight Connector 296">
          <a:extLst>
            <a:ext uri="{FF2B5EF4-FFF2-40B4-BE49-F238E27FC236}">
              <a16:creationId xmlns:a16="http://schemas.microsoft.com/office/drawing/2014/main" id="{381CBE35-14FD-4BAD-8C1D-62B480DB0460}"/>
            </a:ext>
          </a:extLst>
        </xdr:cNvPr>
        <xdr:cNvCxnSpPr>
          <a:cxnSpLocks/>
          <a:stCxn id="320" idx="6"/>
          <a:endCxn id="324" idx="2"/>
        </xdr:cNvCxnSpPr>
      </xdr:nvCxnSpPr>
      <xdr:spPr>
        <a:xfrm>
          <a:off x="4623989" y="2757554"/>
          <a:ext cx="592698" cy="1007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302529</xdr:colOff>
      <xdr:row>10</xdr:row>
      <xdr:rowOff>26129</xdr:rowOff>
    </xdr:from>
    <xdr:to>
      <xdr:col>11</xdr:col>
      <xdr:colOff>302529</xdr:colOff>
      <xdr:row>27</xdr:row>
      <xdr:rowOff>127485</xdr:rowOff>
    </xdr:to>
    <xdr:cxnSp macro="">
      <xdr:nvCxnSpPr>
        <xdr:cNvPr id="298" name="Straight Connector 297">
          <a:extLst>
            <a:ext uri="{FF2B5EF4-FFF2-40B4-BE49-F238E27FC236}">
              <a16:creationId xmlns:a16="http://schemas.microsoft.com/office/drawing/2014/main" id="{411DF9BD-E7F3-455E-8A6C-BA418A10E01C}"/>
            </a:ext>
          </a:extLst>
        </xdr:cNvPr>
        <xdr:cNvCxnSpPr/>
      </xdr:nvCxnSpPr>
      <xdr:spPr>
        <a:xfrm flipV="1">
          <a:off x="4040270" y="1563267"/>
          <a:ext cx="0" cy="268295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75186</xdr:colOff>
      <xdr:row>10</xdr:row>
      <xdr:rowOff>15321</xdr:rowOff>
    </xdr:from>
    <xdr:to>
      <xdr:col>11</xdr:col>
      <xdr:colOff>85939</xdr:colOff>
      <xdr:row>28</xdr:row>
      <xdr:rowOff>10426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D336887B-4057-4FA0-9CF2-E11904B5C442}"/>
            </a:ext>
          </a:extLst>
        </xdr:cNvPr>
        <xdr:cNvCxnSpPr/>
      </xdr:nvCxnSpPr>
      <xdr:spPr>
        <a:xfrm flipH="1">
          <a:off x="3803543" y="1539321"/>
          <a:ext cx="10753" cy="270292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35378</xdr:colOff>
      <xdr:row>14</xdr:row>
      <xdr:rowOff>91211</xdr:rowOff>
    </xdr:from>
    <xdr:to>
      <xdr:col>11</xdr:col>
      <xdr:colOff>181867</xdr:colOff>
      <xdr:row>19</xdr:row>
      <xdr:rowOff>148318</xdr:rowOff>
    </xdr:to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740737A1-6DDB-42AC-A7ED-9994EA1D1A1A}"/>
            </a:ext>
          </a:extLst>
        </xdr:cNvPr>
        <xdr:cNvSpPr txBox="1"/>
      </xdr:nvSpPr>
      <xdr:spPr>
        <a:xfrm>
          <a:off x="3393621" y="2257468"/>
          <a:ext cx="527489" cy="81910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K3-341 /68A</a:t>
          </a:r>
        </a:p>
        <a:p>
          <a:pPr algn="l"/>
          <a:endParaRPr lang="en-US" sz="6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C14-350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11</xdr:col>
      <xdr:colOff>271778</xdr:colOff>
      <xdr:row>23</xdr:row>
      <xdr:rowOff>105843</xdr:rowOff>
    </xdr:from>
    <xdr:to>
      <xdr:col>12</xdr:col>
      <xdr:colOff>1296</xdr:colOff>
      <xdr:row>24</xdr:row>
      <xdr:rowOff>74646</xdr:rowOff>
    </xdr:to>
    <xdr:grpSp>
      <xdr:nvGrpSpPr>
        <xdr:cNvPr id="301" name="Group 300">
          <a:extLst>
            <a:ext uri="{FF2B5EF4-FFF2-40B4-BE49-F238E27FC236}">
              <a16:creationId xmlns:a16="http://schemas.microsoft.com/office/drawing/2014/main" id="{6B1F80E1-1A56-4408-AF3A-48D384631A5C}"/>
            </a:ext>
          </a:extLst>
        </xdr:cNvPr>
        <xdr:cNvGrpSpPr/>
      </xdr:nvGrpSpPr>
      <xdr:grpSpPr>
        <a:xfrm>
          <a:off x="4008509" y="3666728"/>
          <a:ext cx="110518" cy="1226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2" name="Oval 301">
            <a:extLst>
              <a:ext uri="{FF2B5EF4-FFF2-40B4-BE49-F238E27FC236}">
                <a16:creationId xmlns:a16="http://schemas.microsoft.com/office/drawing/2014/main" id="{4409132B-D7EB-4DF6-B328-6EC86D61B03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id="{A1643975-A456-4EE4-9CB6-056458C85628}"/>
              </a:ext>
            </a:extLst>
          </xdr:cNvPr>
          <xdr:cNvCxnSpPr>
            <a:stCxn id="302" idx="1"/>
            <a:endCxn id="3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303">
            <a:extLst>
              <a:ext uri="{FF2B5EF4-FFF2-40B4-BE49-F238E27FC236}">
                <a16:creationId xmlns:a16="http://schemas.microsoft.com/office/drawing/2014/main" id="{EA6EFC2A-099B-4400-B3B3-C2C85237DC1A}"/>
              </a:ext>
            </a:extLst>
          </xdr:cNvPr>
          <xdr:cNvCxnSpPr>
            <a:stCxn id="302" idx="3"/>
            <a:endCxn id="3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223409</xdr:colOff>
      <xdr:row>15</xdr:row>
      <xdr:rowOff>136763</xdr:rowOff>
    </xdr:from>
    <xdr:to>
      <xdr:col>11</xdr:col>
      <xdr:colOff>333927</xdr:colOff>
      <xdr:row>16</xdr:row>
      <xdr:rowOff>100953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D2526469-0C69-4570-9794-A4386CF74ED3}"/>
            </a:ext>
          </a:extLst>
        </xdr:cNvPr>
        <xdr:cNvGrpSpPr/>
      </xdr:nvGrpSpPr>
      <xdr:grpSpPr>
        <a:xfrm>
          <a:off x="3960140" y="2466725"/>
          <a:ext cx="110518" cy="1180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6" name="Oval 305">
            <a:extLst>
              <a:ext uri="{FF2B5EF4-FFF2-40B4-BE49-F238E27FC236}">
                <a16:creationId xmlns:a16="http://schemas.microsoft.com/office/drawing/2014/main" id="{A5B88D9C-0E71-4BED-99DA-FD5638E66C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809ED240-3D15-4528-A87F-BF493DE55305}"/>
              </a:ext>
            </a:extLst>
          </xdr:cNvPr>
          <xdr:cNvCxnSpPr>
            <a:stCxn id="306" idx="1"/>
            <a:endCxn id="3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F8BFCC3C-BCDF-479C-ADCE-9CD35341AC58}"/>
              </a:ext>
            </a:extLst>
          </xdr:cNvPr>
          <xdr:cNvCxnSpPr>
            <a:stCxn id="306" idx="3"/>
            <a:endCxn id="3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284370</xdr:colOff>
      <xdr:row>10</xdr:row>
      <xdr:rowOff>142682</xdr:rowOff>
    </xdr:from>
    <xdr:to>
      <xdr:col>12</xdr:col>
      <xdr:colOff>13888</xdr:colOff>
      <xdr:row>11</xdr:row>
      <xdr:rowOff>106872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782BC621-98EB-4062-B930-C1F19EBE9DB4}"/>
            </a:ext>
          </a:extLst>
        </xdr:cNvPr>
        <xdr:cNvGrpSpPr/>
      </xdr:nvGrpSpPr>
      <xdr:grpSpPr>
        <a:xfrm>
          <a:off x="4021101" y="1695990"/>
          <a:ext cx="110518" cy="1180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2B667B68-A2DA-4DC8-8D2E-5C526B800C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74A6145-8F62-45BE-B4E3-2A53CC2BC0DB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B634D74A-7375-42CC-AF8E-D2BB49CDCA35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16329</xdr:colOff>
      <xdr:row>16</xdr:row>
      <xdr:rowOff>81643</xdr:rowOff>
    </xdr:from>
    <xdr:to>
      <xdr:col>13</xdr:col>
      <xdr:colOff>136071</xdr:colOff>
      <xdr:row>17</xdr:row>
      <xdr:rowOff>42622</xdr:rowOff>
    </xdr:to>
    <xdr:sp macro="" textlink="">
      <xdr:nvSpPr>
        <xdr:cNvPr id="313" name="Isosceles Triangle 312">
          <a:extLst>
            <a:ext uri="{FF2B5EF4-FFF2-40B4-BE49-F238E27FC236}">
              <a16:creationId xmlns:a16="http://schemas.microsoft.com/office/drawing/2014/main" id="{C5E653B7-DF5D-4AF2-A3C8-B00E86DD96D7}"/>
            </a:ext>
          </a:extLst>
        </xdr:cNvPr>
        <xdr:cNvSpPr/>
      </xdr:nvSpPr>
      <xdr:spPr>
        <a:xfrm>
          <a:off x="4517572" y="2552700"/>
          <a:ext cx="119742" cy="113379"/>
        </a:xfrm>
        <a:prstGeom prst="triangle">
          <a:avLst/>
        </a:prstGeom>
        <a:solidFill>
          <a:srgbClr val="FF0066"/>
        </a:solidFill>
        <a:ln w="3175">
          <a:solidFill>
            <a:srgbClr val="FF00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10885</xdr:colOff>
      <xdr:row>12</xdr:row>
      <xdr:rowOff>125186</xdr:rowOff>
    </xdr:from>
    <xdr:to>
      <xdr:col>15</xdr:col>
      <xdr:colOff>248268</xdr:colOff>
      <xdr:row>15</xdr:row>
      <xdr:rowOff>47025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A3203C31-58EE-4D2F-8C14-13D8C9E99CD1}"/>
            </a:ext>
          </a:extLst>
        </xdr:cNvPr>
        <xdr:cNvSpPr txBox="1"/>
      </xdr:nvSpPr>
      <xdr:spPr>
        <a:xfrm>
          <a:off x="4512128" y="1975757"/>
          <a:ext cx="999383" cy="3899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 PURWANINGSIH</a:t>
          </a:r>
        </a:p>
      </xdr:txBody>
    </xdr:sp>
    <xdr:clientData/>
  </xdr:twoCellAnchor>
  <xdr:twoCellAnchor>
    <xdr:from>
      <xdr:col>15</xdr:col>
      <xdr:colOff>248270</xdr:colOff>
      <xdr:row>12</xdr:row>
      <xdr:rowOff>126895</xdr:rowOff>
    </xdr:from>
    <xdr:to>
      <xdr:col>17</xdr:col>
      <xdr:colOff>291811</xdr:colOff>
      <xdr:row>16</xdr:row>
      <xdr:rowOff>128216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64509B9-B843-42C0-ADDF-987659CA7856}"/>
            </a:ext>
          </a:extLst>
        </xdr:cNvPr>
        <xdr:cNvSpPr txBox="1"/>
      </xdr:nvSpPr>
      <xdr:spPr>
        <a:xfrm>
          <a:off x="5511513" y="1977466"/>
          <a:ext cx="805541" cy="62180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AGR</a:t>
          </a:r>
        </a:p>
        <a:p>
          <a:pPr algn="ctr"/>
          <a:r>
            <a:rPr lang="en-US" sz="6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BAGUS</a:t>
          </a:r>
        </a:p>
        <a:p>
          <a:pPr algn="ctr"/>
          <a:r>
            <a:rPr lang="en-US" sz="6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FIRMANSYAH</a:t>
          </a:r>
        </a:p>
      </xdr:txBody>
    </xdr:sp>
    <xdr:clientData/>
  </xdr:twoCellAnchor>
  <xdr:twoCellAnchor>
    <xdr:from>
      <xdr:col>13</xdr:col>
      <xdr:colOff>18759</xdr:colOff>
      <xdr:row>17</xdr:row>
      <xdr:rowOff>75802</xdr:rowOff>
    </xdr:from>
    <xdr:to>
      <xdr:col>13</xdr:col>
      <xdr:colOff>122746</xdr:colOff>
      <xdr:row>18</xdr:row>
      <xdr:rowOff>39992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1FC1E7F7-20AE-49A6-8E2C-A58130108776}"/>
            </a:ext>
          </a:extLst>
        </xdr:cNvPr>
        <xdr:cNvGrpSpPr/>
      </xdr:nvGrpSpPr>
      <xdr:grpSpPr>
        <a:xfrm>
          <a:off x="4517490" y="2713494"/>
          <a:ext cx="103987" cy="11805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0" name="Oval 319">
            <a:extLst>
              <a:ext uri="{FF2B5EF4-FFF2-40B4-BE49-F238E27FC236}">
                <a16:creationId xmlns:a16="http://schemas.microsoft.com/office/drawing/2014/main" id="{B6F36E56-F8E9-4205-8983-07368969BB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DE7FB05A-9D4B-4AC8-B612-9329C471E870}"/>
              </a:ext>
            </a:extLst>
          </xdr:cNvPr>
          <xdr:cNvCxnSpPr>
            <a:stCxn id="320" idx="1"/>
            <a:endCxn id="3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AF3EC902-4C97-4351-A9B4-F643DF094203}"/>
              </a:ext>
            </a:extLst>
          </xdr:cNvPr>
          <xdr:cNvCxnSpPr>
            <a:stCxn id="320" idx="3"/>
            <a:endCxn id="3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334444</xdr:colOff>
      <xdr:row>17</xdr:row>
      <xdr:rowOff>87232</xdr:rowOff>
    </xdr:from>
    <xdr:to>
      <xdr:col>15</xdr:col>
      <xdr:colOff>63962</xdr:colOff>
      <xdr:row>18</xdr:row>
      <xdr:rowOff>48701</xdr:rowOff>
    </xdr:to>
    <xdr:grpSp>
      <xdr:nvGrpSpPr>
        <xdr:cNvPr id="323" name="Group 322">
          <a:extLst>
            <a:ext uri="{FF2B5EF4-FFF2-40B4-BE49-F238E27FC236}">
              <a16:creationId xmlns:a16="http://schemas.microsoft.com/office/drawing/2014/main" id="{F9A47A90-BB54-450C-ADB0-CDB883AD0122}"/>
            </a:ext>
          </a:extLst>
        </xdr:cNvPr>
        <xdr:cNvGrpSpPr/>
      </xdr:nvGrpSpPr>
      <xdr:grpSpPr>
        <a:xfrm>
          <a:off x="5214175" y="2724924"/>
          <a:ext cx="110518" cy="11533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4" name="Oval 323">
            <a:extLst>
              <a:ext uri="{FF2B5EF4-FFF2-40B4-BE49-F238E27FC236}">
                <a16:creationId xmlns:a16="http://schemas.microsoft.com/office/drawing/2014/main" id="{2657FBDE-1E90-4A78-8F18-DBC93873675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5" name="Straight Connector 324">
            <a:extLst>
              <a:ext uri="{FF2B5EF4-FFF2-40B4-BE49-F238E27FC236}">
                <a16:creationId xmlns:a16="http://schemas.microsoft.com/office/drawing/2014/main" id="{497745D9-426E-48B5-A985-5C43CBAACBF1}"/>
              </a:ext>
            </a:extLst>
          </xdr:cNvPr>
          <xdr:cNvCxnSpPr>
            <a:stCxn id="324" idx="1"/>
            <a:endCxn id="3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6" name="Straight Connector 325">
            <a:extLst>
              <a:ext uri="{FF2B5EF4-FFF2-40B4-BE49-F238E27FC236}">
                <a16:creationId xmlns:a16="http://schemas.microsoft.com/office/drawing/2014/main" id="{A059DA17-1DE2-462F-8460-B9B50E7FF1A2}"/>
              </a:ext>
            </a:extLst>
          </xdr:cNvPr>
          <xdr:cNvCxnSpPr>
            <a:stCxn id="324" idx="3"/>
            <a:endCxn id="3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52326</xdr:colOff>
      <xdr:row>17</xdr:row>
      <xdr:rowOff>147809</xdr:rowOff>
    </xdr:from>
    <xdr:to>
      <xdr:col>15</xdr:col>
      <xdr:colOff>282693</xdr:colOff>
      <xdr:row>17</xdr:row>
      <xdr:rowOff>147809</xdr:rowOff>
    </xdr:to>
    <xdr:cxnSp macro="">
      <xdr:nvCxnSpPr>
        <xdr:cNvPr id="329" name="Straight Arrow Connector 328">
          <a:extLst>
            <a:ext uri="{FF2B5EF4-FFF2-40B4-BE49-F238E27FC236}">
              <a16:creationId xmlns:a16="http://schemas.microsoft.com/office/drawing/2014/main" id="{759D0889-B960-4CD4-BC6B-35D774EF0743}"/>
            </a:ext>
          </a:extLst>
        </xdr:cNvPr>
        <xdr:cNvCxnSpPr/>
      </xdr:nvCxnSpPr>
      <xdr:spPr>
        <a:xfrm>
          <a:off x="5315569" y="2771266"/>
          <a:ext cx="230367" cy="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199606</xdr:colOff>
      <xdr:row>18</xdr:row>
      <xdr:rowOff>146294</xdr:rowOff>
    </xdr:from>
    <xdr:to>
      <xdr:col>14</xdr:col>
      <xdr:colOff>0</xdr:colOff>
      <xdr:row>24</xdr:row>
      <xdr:rowOff>119743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43328382-2638-43EB-BCAC-B98C1BA1F35A}"/>
            </a:ext>
          </a:extLst>
        </xdr:cNvPr>
        <xdr:cNvSpPr txBox="1"/>
      </xdr:nvSpPr>
      <xdr:spPr>
        <a:xfrm>
          <a:off x="4319849" y="2922151"/>
          <a:ext cx="562394" cy="88784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K3-341 /68A/1</a:t>
          </a:r>
          <a:endParaRPr lang="en-US" sz="6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6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CC2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  <a:b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 312A</a:t>
          </a:r>
          <a:b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  <xdr:twoCellAnchor>
    <xdr:from>
      <xdr:col>14</xdr:col>
      <xdr:colOff>231324</xdr:colOff>
      <xdr:row>18</xdr:row>
      <xdr:rowOff>136796</xdr:rowOff>
    </xdr:from>
    <xdr:to>
      <xdr:col>16</xdr:col>
      <xdr:colOff>65389</xdr:colOff>
      <xdr:row>26</xdr:row>
      <xdr:rowOff>60247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404367A-AF58-4FCF-A371-B4C05797ED57}"/>
            </a:ext>
          </a:extLst>
        </xdr:cNvPr>
        <xdr:cNvSpPr txBox="1"/>
      </xdr:nvSpPr>
      <xdr:spPr>
        <a:xfrm>
          <a:off x="5113567" y="2912653"/>
          <a:ext cx="596065" cy="114265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K3-341 /68A/2</a:t>
          </a:r>
        </a:p>
        <a:p>
          <a:pPr algn="l"/>
          <a:endParaRPr lang="en-US" sz="6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6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 editAs="oneCell">
    <xdr:from>
      <xdr:col>7</xdr:col>
      <xdr:colOff>357255</xdr:colOff>
      <xdr:row>35</xdr:row>
      <xdr:rowOff>31425</xdr:rowOff>
    </xdr:from>
    <xdr:to>
      <xdr:col>15</xdr:col>
      <xdr:colOff>19050</xdr:colOff>
      <xdr:row>52</xdr:row>
      <xdr:rowOff>9488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007F2A-1AF2-422D-BF52-F033502A6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7055" y="5384475"/>
          <a:ext cx="2709795" cy="2692688"/>
        </a:xfrm>
        <a:prstGeom prst="rect">
          <a:avLst/>
        </a:prstGeom>
      </xdr:spPr>
    </xdr:pic>
    <xdr:clientData/>
  </xdr:twoCellAnchor>
  <xdr:twoCellAnchor>
    <xdr:from>
      <xdr:col>11</xdr:col>
      <xdr:colOff>317742</xdr:colOff>
      <xdr:row>16</xdr:row>
      <xdr:rowOff>83879</xdr:rowOff>
    </xdr:from>
    <xdr:to>
      <xdr:col>13</xdr:col>
      <xdr:colOff>18759</xdr:colOff>
      <xdr:row>17</xdr:row>
      <xdr:rowOff>134097</xdr:rowOff>
    </xdr:to>
    <xdr:cxnSp macro="">
      <xdr:nvCxnSpPr>
        <xdr:cNvPr id="332" name="Straight Connector 331">
          <a:extLst>
            <a:ext uri="{FF2B5EF4-FFF2-40B4-BE49-F238E27FC236}">
              <a16:creationId xmlns:a16="http://schemas.microsoft.com/office/drawing/2014/main" id="{1277F013-DE2B-4339-93C0-0BB2D9EF3325}"/>
            </a:ext>
          </a:extLst>
        </xdr:cNvPr>
        <xdr:cNvCxnSpPr>
          <a:stCxn id="306" idx="5"/>
          <a:endCxn id="320" idx="2"/>
        </xdr:cNvCxnSpPr>
      </xdr:nvCxnSpPr>
      <xdr:spPr>
        <a:xfrm>
          <a:off x="4056985" y="2554936"/>
          <a:ext cx="463017" cy="20261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206829</xdr:colOff>
      <xdr:row>17</xdr:row>
      <xdr:rowOff>97971</xdr:rowOff>
    </xdr:from>
    <xdr:to>
      <xdr:col>14</xdr:col>
      <xdr:colOff>317347</xdr:colOff>
      <xdr:row>18</xdr:row>
      <xdr:rowOff>59440</xdr:rowOff>
    </xdr:to>
    <xdr:grpSp>
      <xdr:nvGrpSpPr>
        <xdr:cNvPr id="101" name="Group 100">
          <a:extLst>
            <a:ext uri="{FF2B5EF4-FFF2-40B4-BE49-F238E27FC236}">
              <a16:creationId xmlns:a16="http://schemas.microsoft.com/office/drawing/2014/main" id="{7B9EEAE3-FAFD-4CDD-A938-40F6229CBDBB}"/>
            </a:ext>
          </a:extLst>
        </xdr:cNvPr>
        <xdr:cNvGrpSpPr/>
      </xdr:nvGrpSpPr>
      <xdr:grpSpPr>
        <a:xfrm>
          <a:off x="5086560" y="2735663"/>
          <a:ext cx="110518" cy="11533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D18D6BB3-574A-4220-8F77-D4A2C1A86A1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6C95F5D1-1459-4117-8C57-56215A86226B}"/>
              </a:ext>
            </a:extLst>
          </xdr:cNvPr>
          <xdr:cNvCxnSpPr>
            <a:stCxn id="102" idx="1"/>
            <a:endCxn id="1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BDABDB1-E53C-403E-81FA-6937CD3131D1}"/>
              </a:ext>
            </a:extLst>
          </xdr:cNvPr>
          <xdr:cNvCxnSpPr>
            <a:stCxn id="102" idx="3"/>
            <a:endCxn id="1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346365</xdr:colOff>
      <xdr:row>13</xdr:row>
      <xdr:rowOff>86590</xdr:rowOff>
    </xdr:from>
    <xdr:to>
      <xdr:col>21</xdr:col>
      <xdr:colOff>675410</xdr:colOff>
      <xdr:row>60</xdr:row>
      <xdr:rowOff>88513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4D833-406D-4DEA-9D91-8EDE46327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1" y="2078181"/>
          <a:ext cx="9421091" cy="7327514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11</xdr:col>
      <xdr:colOff>173182</xdr:colOff>
      <xdr:row>32</xdr:row>
      <xdr:rowOff>121227</xdr:rowOff>
    </xdr:from>
    <xdr:to>
      <xdr:col>11</xdr:col>
      <xdr:colOff>181841</xdr:colOff>
      <xdr:row>36</xdr:row>
      <xdr:rowOff>17318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>
          <a:stCxn id="6" idx="2"/>
        </xdr:cNvCxnSpPr>
      </xdr:nvCxnSpPr>
      <xdr:spPr>
        <a:xfrm flipH="1">
          <a:off x="5524500" y="5074227"/>
          <a:ext cx="8659" cy="51954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51955</xdr:colOff>
      <xdr:row>31</xdr:row>
      <xdr:rowOff>34637</xdr:rowOff>
    </xdr:from>
    <xdr:to>
      <xdr:col>11</xdr:col>
      <xdr:colOff>311727</xdr:colOff>
      <xdr:row>32</xdr:row>
      <xdr:rowOff>121227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5403273" y="4831773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/>
      <sheetData sheetId="241"/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1133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1134</v>
      </c>
      <c r="G7" s="524" t="s">
        <v>41</v>
      </c>
      <c r="H7" s="520" t="s">
        <v>1041</v>
      </c>
      <c r="I7" s="520" t="s">
        <v>1136</v>
      </c>
      <c r="J7" s="520" t="s">
        <v>1025</v>
      </c>
      <c r="K7" s="514" t="s">
        <v>1023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15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SUMIFS(RAB!$F$14:$F$83,RAB!$C$14:$C$83,C714)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SUMIFS(RAB!$F$14:$F$83,RAB!$C$14:$C$83,C715)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SUMIFS(RAB!$F$14:$F$83,RAB!$C$14:$C$83,C716)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SUMIFS(RAB!$F$14:$F$83,RAB!$C$14:$C$83,C717)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SUMIFS(RAB!$F$14:$F$83,RAB!$C$14:$C$83,C718)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SUMIFS(RAB!$F$14:$F$83,RAB!$C$14:$C$83,C719)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SUMIFS(RAB!$F$14:$F$83,RAB!$C$14:$C$83,C720)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SUMIFS(RAB!$F$14:$F$83,RAB!$C$14:$C$83,C721)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SUMIFS(RAB!$F$14:$F$83,RAB!$C$14:$C$83,C722)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SUMIFS(RAB!$F$14:$F$83,RAB!$C$14:$C$83,C723)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SUMIFS(RAB!$F$14:$F$83,RAB!$C$14:$C$83,C724)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SUMIFS(RAB!$F$14:$F$83,RAB!$C$14:$C$83,C725)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SUMIFS(RAB!$F$14:$F$83,RAB!$C$14:$C$83,C726)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SUMIFS(RAB!$F$14:$F$83,RAB!$C$14:$C$83,C727)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SUMIFS(RAB!$F$14:$F$83,RAB!$C$14:$C$83,C728)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SUMIFS(RAB!$F$14:$F$83,RAB!$C$14:$C$83,C729)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SUMIFS(RAB!$F$14:$F$83,RAB!$C$14:$C$83,C730)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SUMIFS(RAB!$F$14:$F$83,RAB!$C$14:$C$83,C731)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SUMIFS(RAB!$F$14:$F$83,RAB!$C$14:$C$83,C732)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SUMIFS(RAB!$F$14:$F$83,RAB!$C$14:$C$83,C733)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SUMIFS(RAB!$F$14:$F$83,RAB!$C$14:$C$83,C734)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SUMIFS(RAB!$F$14:$F$83,RAB!$C$14:$C$83,C735)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SUMIFS(RAB!$F$14:$F$83,RAB!$C$14:$C$83,C736)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SUMIFS(RAB!$F$14:$F$83,RAB!$C$14:$C$83,C737)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SUMIFS(RAB!$F$14:$F$83,RAB!$C$14:$C$83,C738)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SUMIFS(RAB!$F$14:$F$83,RAB!$C$14:$C$83,C739)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SUMIFS(RAB!$F$14:$F$83,RAB!$C$14:$C$83,C740)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SUMIFS(RAB!$F$14:$F$83,RAB!$C$14:$C$83,C741)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SUMIFS(RAB!$F$14:$F$83,RAB!$C$14:$C$83,C742)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SUMIFS(RAB!$F$14:$F$83,RAB!$C$14:$C$83,C743)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SUMIFS(RAB!$F$14:$F$83,RAB!$C$14:$C$83,C744)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SUMIFS(RAB!$F$14:$F$83,RAB!$C$14:$C$83,C745)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SUMIFS(RAB!$F$14:$F$83,RAB!$C$14:$C$83,C746)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SUMIFS(RAB!$F$14:$F$83,RAB!$C$14:$C$83,C747)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SUMIFS(RAB!$F$14:$F$83,RAB!$C$14:$C$83,C748)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SUMIFS(RAB!$F$14:$F$83,RAB!$C$14:$C$83,C749)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SUMIFS(RAB!$F$14:$F$83,RAB!$C$14:$C$83,C750)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SUMIFS(RAB!$F$14:$F$83,RAB!$C$14:$C$83,C751)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SUMIFS(RAB!$F$14:$F$83,RAB!$C$14:$C$83,C752)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SUMIFS(RAB!$F$14:$F$83,RAB!$C$14:$C$83,C753)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SUMIFS(RAB!$F$14:$F$83,RAB!$C$14:$C$83,C754)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SUMIFS(RAB!$F$14:$F$83,RAB!$C$14:$C$83,C755)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SUMIFS(RAB!$F$14:$F$83,RAB!$C$14:$C$83,C756)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SUMIFS(RAB!$F$14:$F$83,RAB!$C$14:$C$83,C757)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SUMIFS(RAB!$F$14:$F$83,RAB!$C$14:$C$83,C758)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SUMIFS(RAB!$F$14:$F$83,RAB!$C$14:$C$83,C759)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SUMIFS(RAB!$F$14:$F$83,RAB!$C$14:$C$83,C760)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SUMIFS(RAB!$F$14:$F$83,RAB!$C$14:$C$83,C761)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SUMIFS(RAB!$F$14:$F$83,RAB!$C$14:$C$83,C762)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SUMIFS(RAB!$F$14:$F$83,RAB!$C$14:$C$83,C763)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SUMIFS(RAB!$F$14:$F$83,RAB!$C$14:$C$83,C764)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SUMIFS(RAB!$F$14:$F$83,RAB!$C$14:$C$83,C765)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SUMIFS(RAB!$F$14:$F$83,RAB!$C$14:$C$83,C766)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SUMIFS(RAB!$F$14:$F$83,RAB!$C$14:$C$83,C767)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SUMIFS(RAB!$F$14:$F$83,RAB!$C$14:$C$83,C768)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SUMIFS(RAB!$F$14:$F$83,RAB!$C$14:$C$83,C769)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SUMIFS(RAB!$F$14:$F$83,RAB!$C$14:$C$83,C770)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SUMIFS(RAB!$F$14:$F$83,RAB!$C$14:$C$83,C771)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SUMIFS(RAB!$F$14:$F$83,RAB!$C$14:$C$83,C772)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SUMIFS(RAB!$F$14:$F$83,RAB!$C$14:$C$83,C773)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SUMIFS(RAB!$F$14:$F$83,RAB!$C$14:$C$83,C774)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SUMIFS(RAB!$F$14:$F$83,RAB!$C$14:$C$83,C775)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SUMIFS(RAB!$F$14:$F$83,RAB!$C$14:$C$83,C776)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SUMIFS(RAB!$F$14:$F$83,RAB!$C$14:$C$83,C777)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SUMIFS(RAB!$F$14:$F$83,RAB!$C$14:$C$83,C778)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SUMIFS(RAB!$F$14:$F$83,RAB!$C$14:$C$83,C779)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SUMIFS(RAB!$F$14:$F$83,RAB!$C$14:$C$83,C780)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SUMIFS(RAB!$F$14:$F$83,RAB!$C$14:$C$83,C781)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SUMIFS(RAB!$F$14:$F$83,RAB!$C$14:$C$83,C782)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SUMIFS(RAB!$F$14:$F$83,RAB!$C$14:$C$83,C783)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SUMIFS(RAB!$F$14:$F$83,RAB!$C$14:$C$83,C784)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SUMIFS(RAB!$F$14:$F$83,RAB!$C$14:$C$83,C785)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SUMIFS(RAB!$F$14:$F$83,RAB!$C$14:$C$83,C786)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SUMIFS(RAB!$F$14:$F$83,RAB!$C$14:$C$83,C787)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SUMIFS(RAB!$F$14:$F$83,RAB!$C$14:$C$83,C788)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SUMIFS(RAB!$F$14:$F$83,RAB!$C$14:$C$83,C789)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SUMIFS(RAB!$F$14:$F$83,RAB!$C$14:$C$83,C790)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SUMIFS(RAB!$F$14:$F$83,RAB!$C$14:$C$83,C791)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SUMIFS(RAB!$F$14:$F$83,RAB!$C$14:$C$83,C792)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SUMIFS(RAB!$F$14:$F$83,RAB!$C$14:$C$83,C793)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SUMIFS(RAB!$F$14:$F$83,RAB!$C$14:$C$83,C794)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SUMIFS(RAB!$F$14:$F$83,RAB!$C$14:$C$83,C795)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SUMIFS(RAB!$F$14:$F$83,RAB!$C$14:$C$83,C796)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SUMIFS(RAB!$F$14:$F$83,RAB!$C$14:$C$83,C797)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SUMIFS(RAB!$F$14:$F$83,RAB!$C$14:$C$83,C798)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SUMIFS(RAB!$F$14:$F$83,RAB!$C$14:$C$83,C799)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SUMIFS(RAB!$F$14:$F$83,RAB!$C$14:$C$83,C800)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SUMIFS(RAB!$F$14:$F$83,RAB!$C$14:$C$83,C801)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SUMIFS(RAB!$F$14:$F$83,RAB!$C$14:$C$83,C802)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SUMIFS(RAB!$F$14:$F$83,RAB!$C$14:$C$83,C803)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SUMIFS(RAB!$F$14:$F$83,RAB!$C$14:$C$83,C804)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SUMIFS(RAB!$F$14:$F$83,RAB!$C$14:$C$83,C805)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SUMIFS(RAB!$F$14:$F$83,RAB!$C$14:$C$83,C806)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SUMIFS(RAB!$F$14:$F$83,RAB!$C$14:$C$83,C807)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SUMIFS(RAB!$F$14:$F$83,RAB!$C$14:$C$83,C808)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SUMIFS(RAB!$F$14:$F$83,RAB!$C$14:$C$83,C809)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SUMIFS(RAB!$F$14:$F$83,RAB!$C$14:$C$83,C810)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SUMIFS(RAB!$F$14:$F$83,RAB!$C$14:$C$83,C811)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SUMIFS(RAB!$F$14:$F$83,RAB!$C$14:$C$83,C812)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SUMIFS(RAB!$F$14:$F$83,RAB!$C$14:$C$83,C813)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SUMIFS(RAB!$F$14:$F$83,RAB!$C$14:$C$83,C814)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SUMIFS(RAB!$F$14:$F$83,RAB!$C$14:$C$83,C815)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SUMIFS(RAB!$F$14:$F$83,RAB!$C$14:$C$83,C816)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SUMIFS(RAB!$F$14:$F$83,RAB!$C$14:$C$83,C817)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SUMIFS(RAB!$F$14:$F$83,RAB!$C$14:$C$83,C818)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SUMIFS(RAB!$F$14:$F$83,RAB!$C$14:$C$83,C819)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SUMIFS(RAB!$F$14:$F$83,RAB!$C$14:$C$83,C820)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SUMIFS(RAB!$F$14:$F$83,RAB!$C$14:$C$83,C821)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SUMIFS(RAB!$F$14:$F$83,RAB!$C$14:$C$83,C822)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SUMIFS(RAB!$F$14:$F$83,RAB!$C$14:$C$83,C823)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SUMIFS(RAB!$F$14:$F$83,RAB!$C$14:$C$83,C824)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SUMIFS(RAB!$F$14:$F$83,RAB!$C$14:$C$83,C825)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SUMIFS(RAB!$F$14:$F$83,RAB!$C$14:$C$83,C826)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SUMIFS(RAB!$F$14:$F$83,RAB!$C$14:$C$83,C827)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SUMIFS(RAB!$F$14:$F$83,RAB!$C$14:$C$83,C828)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SUMIFS(RAB!$F$14:$F$83,RAB!$C$14:$C$83,C829)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SUMIFS(RAB!$F$14:$F$83,RAB!$C$14:$C$83,C830)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SUMIFS(RAB!$F$14:$F$83,RAB!$C$14:$C$83,C831)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SUMIFS(RAB!$F$14:$F$83,RAB!$C$14:$C$83,C832)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SUMIFS(RAB!$F$14:$F$83,RAB!$C$14:$C$83,C833)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SUMIFS(RAB!$F$14:$F$83,RAB!$C$14:$C$83,C834)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SUMIFS(RAB!$F$14:$F$83,RAB!$C$14:$C$83,C835)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SUMIFS(RAB!$F$14:$F$83,RAB!$C$14:$C$83,C836)</f>
        <v>15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SUMIFS(RAB!$F$14:$F$83,RAB!$C$14:$C$83,C837)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SUMIFS(RAB!$F$14:$F$83,RAB!$C$14:$C$83,C838)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SUMIFS(RAB!$F$14:$F$83,RAB!$C$14:$C$83,C839)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SUMIFS(RAB!$F$14:$F$83,RAB!$C$14:$C$83,C840)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SUMIFS(RAB!$F$14:$F$83,RAB!$C$14:$C$83,C841)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SUMIFS(RAB!$F$14:$F$83,RAB!$C$14:$C$83,C842)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SUMIFS(RAB!$F$14:$F$83,RAB!$C$14:$C$83,C843)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SUMIFS(RAB!$F$14:$F$83,RAB!$C$14:$C$83,C844)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SUMIFS(RAB!$F$14:$F$83,RAB!$C$14:$C$83,C845)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SUMIFS(RAB!$F$14:$F$83,RAB!$C$14:$C$83,C846)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SUMIFS(RAB!$F$14:$F$83,RAB!$C$14:$C$83,C847)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SUMIFS(RAB!$F$14:$F$83,RAB!$C$14:$C$83,C848)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SUMIFS(RAB!$F$14:$F$83,RAB!$C$14:$C$83,C849)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SUMIFS(RAB!$F$14:$F$83,RAB!$C$14:$C$83,C850)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SUMIFS(RAB!$F$14:$F$83,RAB!$C$14:$C$83,C851)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SUMIFS(RAB!$F$14:$F$83,RAB!$C$14:$C$83,C852)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SUMIFS(RAB!$F$14:$F$83,RAB!$C$14:$C$83,C853)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SUMIFS(RAB!$F$14:$F$83,RAB!$C$14:$C$83,C854)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SUMIFS(RAB!$F$14:$F$83,RAB!$C$14:$C$83,C855)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SUMIFS(RAB!$F$14:$F$83,RAB!$C$14:$C$83,C856)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SUMIFS(RAB!$F$14:$F$83,RAB!$C$14:$C$83,C857)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SUMIFS(RAB!$F$14:$F$83,RAB!$C$14:$C$83,C858)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SUMIFS(RAB!$F$14:$F$83,RAB!$C$14:$C$83,C859)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SUMIFS(RAB!$F$14:$F$83,RAB!$C$14:$C$83,C860)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SUMIFS(RAB!$F$14:$F$83,RAB!$C$14:$C$83,C861)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SUMIFS(RAB!$F$14:$F$83,RAB!$C$14:$C$83,C862)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SUMIFS(RAB!$F$14:$F$83,RAB!$C$14:$C$83,C863)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SUMIFS(RAB!$F$14:$F$83,RAB!$C$14:$C$83,C864)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SUMIFS(RAB!$F$14:$F$83,RAB!$C$14:$C$83,C865)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SUMIFS(RAB!$F$14:$F$83,RAB!$C$14:$C$83,C866)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SUMIFS(RAB!$F$14:$F$83,RAB!$C$14:$C$83,C867)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SUMIFS(RAB!$F$14:$F$83,RAB!$C$14:$C$83,C868)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SUMIFS(RAB!$F$14:$F$83,RAB!$C$14:$C$83,C869)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SUMIFS(RAB!$F$14:$F$83,RAB!$C$14:$C$83,C870)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SUMIFS(RAB!$F$14:$F$83,RAB!$C$14:$C$83,C871)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SUMIFS(RAB!$F$14:$F$83,RAB!$C$14:$C$83,C872)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SUMIFS(RAB!$F$14:$F$83,RAB!$C$14:$C$83,C873)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SUMIFS(RAB!$F$14:$F$83,RAB!$C$14:$C$83,C874)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SUMIFS(RAB!$F$14:$F$83,RAB!$C$14:$C$83,C875)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SUMIFS(RAB!$F$14:$F$83,RAB!$C$14:$C$83,C876)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SUMIFS(RAB!$F$14:$F$83,RAB!$C$14:$C$83,C877)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SUMIFS(RAB!$F$14:$F$83,RAB!$C$14:$C$83,C878)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SUMIFS(RAB!$F$14:$F$83,RAB!$C$14:$C$83,C879)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SUMIFS(RAB!$F$14:$F$83,RAB!$C$14:$C$83,C880)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SUMIFS(RAB!$F$14:$F$83,RAB!$C$14:$C$83,C881)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SUMIFS(RAB!$F$14:$F$83,RAB!$C$14:$C$83,C882)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SUMIFS(RAB!$F$14:$F$83,RAB!$C$14:$C$83,C883)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SUMIFS(RAB!$F$14:$F$83,RAB!$C$14:$C$83,C884)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SUMIFS(RAB!$F$14:$F$83,RAB!$C$14:$C$83,C885)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SUMIFS(RAB!$F$14:$F$83,RAB!$C$14:$C$83,C886)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SUMIFS(RAB!$F$14:$F$83,RAB!$C$14:$C$83,C887)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SUMIFS(RAB!$F$14:$F$83,RAB!$C$14:$C$83,C888)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SUMIFS(RAB!$F$14:$F$83,RAB!$C$14:$C$83,C889)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SUMIFS(RAB!$F$14:$F$83,RAB!$C$14:$C$83,C890)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SUMIFS(RAB!$F$14:$F$83,RAB!$C$14:$C$83,C891)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SUMIFS(RAB!$F$14:$F$83,RAB!$C$14:$C$83,C892)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SUMIFS(RAB!$F$14:$F$83,RAB!$C$14:$C$83,C893)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SUMIFS(RAB!$F$14:$F$83,RAB!$C$14:$C$83,C894)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SUMIFS(RAB!$F$14:$F$83,RAB!$C$14:$C$83,C895)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SUMIFS(RAB!$F$14:$F$83,RAB!$C$14:$C$83,C896)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SUMIFS(RAB!$F$14:$F$83,RAB!$C$14:$C$83,C897)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SUMIFS(RAB!$F$14:$F$83,RAB!$C$14:$C$83,C898)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SUMIFS(RAB!$F$14:$F$83,RAB!$C$14:$C$83,C899)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SUMIFS(RAB!$F$14:$F$83,RAB!$C$14:$C$83,C900)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SUMIFS(RAB!$F$14:$F$83,RAB!$C$14:$C$83,C901)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SUMIFS(RAB!$F$14:$F$83,RAB!$C$14:$C$83,C902)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SUMIFS(RAB!$F$14:$F$83,RAB!$C$14:$C$83,C903)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SUMIFS(RAB!$F$14:$F$83,RAB!$C$14:$C$83,C904)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SUMIFS(RAB!$F$14:$F$83,RAB!$C$14:$C$83,C905)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SUMIFS(RAB!$F$14:$F$83,RAB!$C$14:$C$83,C906)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SUMIFS(RAB!$F$14:$F$83,RAB!$C$14:$C$83,C907)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SUMIFS(RAB!$F$14:$F$83,RAB!$C$14:$C$83,C908)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SUMIFS(RAB!$F$14:$F$83,RAB!$C$14:$C$83,C909)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SUMIFS(RAB!$F$14:$F$83,RAB!$C$14:$C$83,C910)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SUMIFS(RAB!$F$14:$F$83,RAB!$C$14:$C$83,C911)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SUMIFS(RAB!$F$14:$F$83,RAB!$C$14:$C$83,C912)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SUMIFS(RAB!$F$14:$F$83,RAB!$C$14:$C$83,C913)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SUMIFS(RAB!$F$14:$F$83,RAB!$C$14:$C$83,C914)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SUMIFS(RAB!$F$14:$F$83,RAB!$C$14:$C$83,C915)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SUMIFS(RAB!$F$14:$F$83,RAB!$C$14:$C$83,C916)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SUMIFS(RAB!$F$14:$F$83,RAB!$C$14:$C$83,C917)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SUMIFS(RAB!$F$14:$F$83,RAB!$C$14:$C$83,C918)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SUMIFS(RAB!$F$14:$F$83,RAB!$C$14:$C$83,C919)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SUMIFS(RAB!$F$14:$F$83,RAB!$C$14:$C$83,C920)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SUMIFS(RAB!$F$14:$F$83,RAB!$C$14:$C$83,C921)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SUMIFS(RAB!$F$14:$F$83,RAB!$C$14:$C$83,C922)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SUMIFS(RAB!$F$14:$F$83,RAB!$C$14:$C$83,C923)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SUMIFS(RAB!$F$14:$F$83,RAB!$C$14:$C$83,C924)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SUMIFS(RAB!$F$14:$F$83,RAB!$C$14:$C$83,C925)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SUMIFS(RAB!$F$14:$F$83,RAB!$C$14:$C$83,C926)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SUMIFS(RAB!$F$14:$F$83,RAB!$C$14:$C$83,C927)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SUMIFS(RAB!$F$14:$F$83,RAB!$C$14:$C$83,C928)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SUMIFS(RAB!$F$14:$F$83,RAB!$C$14:$C$83,C929)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SUMIFS(RAB!$F$14:$F$83,RAB!$C$14:$C$83,C930)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SUMIFS(RAB!$F$14:$F$83,RAB!$C$14:$C$83,C931)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SUMIFS(RAB!$F$14:$F$83,RAB!$C$14:$C$83,C932)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SUMIFS(RAB!$F$14:$F$83,RAB!$C$14:$C$83,C933)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SUMIFS(RAB!$F$14:$F$83,RAB!$C$14:$C$83,C934)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SUMIFS(RAB!$F$14:$F$83,RAB!$C$14:$C$83,C935)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SUMIFS(RAB!$F$14:$F$83,RAB!$C$14:$C$83,C936)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SUMIFS(RAB!$F$14:$F$83,RAB!$C$14:$C$83,C937)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SUMIFS(RAB!$F$14:$F$83,RAB!$C$14:$C$83,C938)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SUMIFS(RAB!$F$14:$F$83,RAB!$C$14:$C$83,C939)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SUMIFS(RAB!$F$14:$F$83,RAB!$C$14:$C$83,C940)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SUMIFS(RAB!$F$14:$F$83,RAB!$C$14:$C$83,C941)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SUMIFS(RAB!$F$14:$F$83,RAB!$C$14:$C$83,C942)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SUMIFS(RAB!$F$14:$F$83,RAB!$C$14:$C$83,C943)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SUMIFS(RAB!$F$14:$F$83,RAB!$C$14:$C$83,C944)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SUMIFS(RAB!$F$14:$F$83,RAB!$C$14:$C$83,C945)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SUMIFS(RAB!$F$14:$F$83,RAB!$C$14:$C$83,C946)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SUMIFS(RAB!$F$14:$F$83,RAB!$C$14:$C$83,C947)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SUMIFS(RAB!$F$14:$F$83,RAB!$C$14:$C$83,C948)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SUMIFS(RAB!$F$14:$F$83,RAB!$C$14:$C$83,C949)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SUMIFS(RAB!$F$14:$F$83,RAB!$C$14:$C$83,C950)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SUMIFS(RAB!$F$14:$F$83,RAB!$C$14:$C$83,C951)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SUMIFS(RAB!$F$14:$F$83,RAB!$C$14:$C$83,C952)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SUMIFS(RAB!$F$14:$F$83,RAB!$C$14:$C$83,C953)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SUMIFS(RAB!$F$14:$F$83,RAB!$C$14:$C$83,C954)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SUMIFS(RAB!$F$14:$F$83,RAB!$C$14:$C$83,C955)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SUMIFS(RAB!$F$14:$F$83,RAB!$C$14:$C$83,C956)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SUMIFS(RAB!$F$14:$F$83,RAB!$C$14:$C$83,C957)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SUMIFS(RAB!$F$14:$F$83,RAB!$C$14:$C$83,C958)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SUMIFS(RAB!$F$14:$F$83,RAB!$C$14:$C$83,C959)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SUMIFS(RAB!$F$14:$F$83,RAB!$C$14:$C$83,C960)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SUMIFS(RAB!$F$14:$F$83,RAB!$C$14:$C$83,C961)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SUMIFS(RAB!$F$14:$F$83,RAB!$C$14:$C$83,C962)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SUMIFS(RAB!$F$14:$F$83,RAB!$C$14:$C$83,C963)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SUMIFS(RAB!$F$14:$F$83,RAB!$C$14:$C$83,C964)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SUMIFS(RAB!$F$14:$F$83,RAB!$C$14:$C$83,C965)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SUMIFS(RAB!$F$14:$F$83,RAB!$C$14:$C$83,C966)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SUMIFS(RAB!$F$14:$F$83,RAB!$C$14:$C$83,C967)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SUMIFS(RAB!$F$14:$F$83,RAB!$C$14:$C$83,C968)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SUMIFS(RAB!$F$14:$F$83,RAB!$C$14:$C$83,C969)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SUMIFS(RAB!$F$14:$F$83,RAB!$C$14:$C$83,C970)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SUMIFS(RAB!$F$14:$F$83,RAB!$C$14:$C$83,C971)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SUMIFS(RAB!$F$14:$F$83,RAB!$C$14:$C$83,C972)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SUMIFS(RAB!$F$14:$F$83,RAB!$C$14:$C$83,C973)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SUMIFS(RAB!$F$14:$F$83,RAB!$C$14:$C$83,C974)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SUMIFS(RAB!$F$14:$F$83,RAB!$C$14:$C$83,C975)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SUMIFS(RAB!$F$14:$F$83,RAB!$C$14:$C$83,C976)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SUMIFS(RAB!$F$14:$F$83,RAB!$C$14:$C$83,C977)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SUMIFS(RAB!$F$14:$F$83,RAB!$C$14:$C$83,C978)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SUMIFS(RAB!$F$14:$F$83,RAB!$C$14:$C$83,C979)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SUMIFS(RAB!$F$14:$F$83,RAB!$C$14:$C$83,C980)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SUMIFS(RAB!$F$14:$F$83,RAB!$C$14:$C$83,C981)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SUMIFS(RAB!$F$14:$F$83,RAB!$C$14:$C$83,C982)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SUMIFS(RAB!$F$14:$F$83,RAB!$C$14:$C$83,C983)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SUMIFS(RAB!$F$14:$F$83,RAB!$C$14:$C$83,C984)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SUMIFS(RAB!$F$14:$F$83,RAB!$C$14:$C$83,C985)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SUMIFS(RAB!$F$14:$F$83,RAB!$C$14:$C$83,C986)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SUMIFS(RAB!$F$14:$F$83,RAB!$C$14:$C$83,C987)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SUMIFS(RAB!$F$14:$F$83,RAB!$C$14:$C$83,C988)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SUMIFS(RAB!$F$14:$F$83,RAB!$C$14:$C$83,C989)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SUMIFS(RAB!$F$14:$F$83,RAB!$C$14:$C$83,C990)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SUMIFS(RAB!$F$14:$F$83,RAB!$C$14:$C$83,C991)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SUMIFS(RAB!$F$14:$F$83,RAB!$C$14:$C$83,C992)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SUMIFS(RAB!$F$14:$F$83,RAB!$C$14:$C$83,C993)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SUMIFS(RAB!$F$14:$F$83,RAB!$C$14:$C$83,C994)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SUMIFS(RAB!$F$14:$F$83,RAB!$C$14:$C$83,C995)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SUMIFS(RAB!$F$14:$F$83,RAB!$C$14:$C$83,C996)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SUMIFS(RAB!$F$14:$F$83,RAB!$C$14:$C$83,C997)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SUMIFS(RAB!$F$14:$F$83,RAB!$C$14:$C$83,C998)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SUMIFS(RAB!$F$14:$F$83,RAB!$C$14:$C$83,C999)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SUMIFS(RAB!$F$14:$F$83,RAB!$C$14:$C$83,C1000)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SUMIFS(RAB!$F$14:$F$83,RAB!$C$14:$C$83,C1001)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SUMIFS(RAB!$F$14:$F$83,RAB!$C$14:$C$83,C1002)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SUMIFS(RAB!$F$14:$F$83,RAB!$C$14:$C$83,C1003)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SUMIFS(RAB!$F$14:$F$83,RAB!$C$14:$C$83,C1004)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SUMIFS(RAB!$F$14:$F$83,RAB!$C$14:$C$83,C1005)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SUMIFS(RAB!$F$14:$F$83,RAB!$C$14:$C$83,C1006)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SUMIFS(RAB!$F$14:$F$83,RAB!$C$14:$C$83,C1007)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SUMIFS(RAB!$F$14:$F$83,RAB!$C$14:$C$83,C1008)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SUMIFS(RAB!$F$14:$F$83,RAB!$C$14:$C$83,C1009)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SUMIFS(RAB!$F$14:$F$83,RAB!$C$14:$C$83,C1010)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SUMIFS(RAB!$F$14:$F$83,RAB!$C$14:$C$83,C1011)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SUMIFS(RAB!$F$14:$F$83,RAB!$C$14:$C$83,C1012)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SUMIFS(RAB!$F$14:$F$83,RAB!$C$14:$C$83,C1013)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SUMIFS(RAB!$F$14:$F$83,RAB!$C$14:$C$83,C1014)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SUMIFS(RAB!$F$14:$F$83,RAB!$C$14:$C$83,C1015)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SUMIFS(RAB!$F$14:$F$83,RAB!$C$14:$C$83,C1016)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SUMIFS(RAB!$F$14:$F$83,RAB!$C$14:$C$83,C1017)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SUMIFS(RAB!$F$14:$F$83,RAB!$C$14:$C$83,C1018)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SUMIFS(RAB!$F$14:$F$83,RAB!$C$14:$C$83,C1019)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SUMIFS(RAB!$F$14:$F$83,RAB!$C$14:$C$83,C1020)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SUMIFS(RAB!$F$14:$F$83,RAB!$C$14:$C$83,C1021)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SUMIFS(RAB!$F$14:$F$83,RAB!$C$14:$C$83,C1022)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SUMIFS(RAB!$F$14:$F$83,RAB!$C$14:$C$83,C1023)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SUMIFS(RAB!$F$14:$F$83,RAB!$C$14:$C$83,C1024)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SUMIFS(RAB!$F$14:$F$83,RAB!$C$14:$C$83,C1025)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SUMIFS(RAB!$F$14:$F$83,RAB!$C$14:$C$83,C1026)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SUMIFS(RAB!$F$14:$F$83,RAB!$C$14:$C$83,C1027)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SUMIFS(RAB!$F$14:$F$83,RAB!$C$14:$C$83,C1028)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SUMIFS(RAB!$F$14:$F$83,RAB!$C$14:$C$83,C1029)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SUMIFS(RAB!$F$14:$F$83,RAB!$C$14:$C$83,C1030)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SUMIFS(RAB!$F$14:$F$83,RAB!$C$14:$C$83,C1031)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SUMIFS(RAB!$F$14:$F$83,RAB!$C$14:$C$83,C1032)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SUMIFS(RAB!$F$14:$F$83,RAB!$C$14:$C$83,C1033)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SUMIFS(RAB!$F$14:$F$83,RAB!$C$14:$C$83,C1034)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SUMIFS(RAB!$F$14:$F$83,RAB!$C$14:$C$83,C1035)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SUMIFS(RAB!$F$14:$F$83,RAB!$C$14:$C$83,C1036)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SUMIFS(RAB!$F$14:$F$83,RAB!$C$14:$C$83,C1037)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SUMIFS(RAB!$F$14:$F$83,RAB!$C$14:$C$83,C1038)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SUMIFS(RAB!$F$14:$F$83,RAB!$C$14:$C$83,C1039)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SUMIFS(RAB!$F$14:$F$83,RAB!$C$14:$C$83,C1040)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SUMIFS(RAB!$F$14:$F$83,RAB!$C$14:$C$83,C1041)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SUMIFS(RAB!$F$14:$F$83,RAB!$C$14:$C$83,C1042)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SUMIFS(RAB!$F$14:$F$83,RAB!$C$14:$C$83,C1043)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SUMIFS(RAB!$F$14:$F$83,RAB!$C$14:$C$83,C1044)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SUMIFS(RAB!$F$14:$F$83,RAB!$C$14:$C$83,C1045)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SUMIFS(RAB!$F$14:$F$83,RAB!$C$14:$C$83,C1046)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SUMIFS(RAB!$F$14:$F$83,RAB!$C$14:$C$83,C1047)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SUMIFS(RAB!$F$14:$F$83,RAB!$C$14:$C$83,C1048)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SUMIFS(RAB!$F$14:$F$83,RAB!$C$14:$C$83,C1049)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SUMIFS(RAB!$F$14:$F$83,RAB!$C$14:$C$83,C1050)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SUMIFS(RAB!$F$14:$F$83,RAB!$C$14:$C$83,C1051)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SUMIFS(RAB!$F$14:$F$83,RAB!$C$14:$C$83,C1052)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SUMIFS(RAB!$F$14:$F$83,RAB!$C$14:$C$83,C1053)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SUMIFS(RAB!$F$14:$F$83,RAB!$C$14:$C$83,C1054)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SUMIFS(RAB!$F$14:$F$83,RAB!$C$14:$C$83,C1055)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SUMIFS(RAB!$F$14:$F$83,RAB!$C$14:$C$83,C1056)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SUMIFS(RAB!$F$14:$F$83,RAB!$C$14:$C$83,C1057)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SUMIFS(RAB!$F$14:$F$83,RAB!$C$14:$C$83,C1058)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SUMIFS(RAB!$F$14:$F$83,RAB!$C$14:$C$83,C1059)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SUMIFS(RAB!$F$14:$F$83,RAB!$C$14:$C$83,C1060)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SUMIFS(RAB!$F$14:$F$83,RAB!$C$14:$C$83,C1061)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SUMIFS(RAB!$F$14:$F$83,RAB!$C$14:$C$83,C1062)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SUMIFS(RAB!$F$14:$F$83,RAB!$C$14:$C$83,C1063)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SUMIFS(RAB!$F$14:$F$83,RAB!$C$14:$C$83,C1064)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SUMIFS(RAB!$F$14:$F$83,RAB!$C$14:$C$83,C1065)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SUMIFS(RAB!$F$14:$F$83,RAB!$C$14:$C$83,C1066)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SUMIFS(RAB!$F$14:$F$83,RAB!$C$14:$C$83,C1067)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SUMIFS(RAB!$F$14:$F$83,RAB!$C$14:$C$83,C1068)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SUMIFS(RAB!$F$14:$F$83,RAB!$C$14:$C$83,C1069)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SUMIFS(RAB!$F$14:$F$83,RAB!$C$14:$C$83,C1070)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SUMIFS(RAB!$F$14:$F$83,RAB!$C$14:$C$83,C1071)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SUMIFS(RAB!$F$14:$F$83,RAB!$C$14:$C$83,C1072)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SUMIFS(RAB!$F$14:$F$83,RAB!$C$14:$C$83,C1073)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SUMIFS(RAB!$F$14:$F$83,RAB!$C$14:$C$83,C1074)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SUMIFS(RAB!$F$14:$F$83,RAB!$C$14:$C$83,C1075)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SUMIFS(RAB!$F$14:$F$83,RAB!$C$14:$C$83,C1076)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SUMIFS(RAB!$F$14:$F$83,RAB!$C$14:$C$83,C1077)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SUMIFS(RAB!$F$14:$F$83,RAB!$C$14:$C$83,C1078)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SUMIFS(RAB!$F$14:$F$83,RAB!$C$14:$C$83,C1079)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SUMIFS(RAB!$F$14:$F$83,RAB!$C$14:$C$83,C1080)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SUMIFS(RAB!$F$14:$F$83,RAB!$C$14:$C$83,C1081)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SUMIFS(RAB!$F$14:$F$83,RAB!$C$14:$C$83,C1082)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SUMIFS(RAB!$F$14:$F$83,RAB!$C$14:$C$83,C1083)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SUMIFS(RAB!$F$14:$F$83,RAB!$C$14:$C$83,C1084)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SUMIFS(RAB!$F$14:$F$83,RAB!$C$14:$C$83,C1085)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SUMIFS(RAB!$F$14:$F$83,RAB!$C$14:$C$83,C1086)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SUMIFS(RAB!$F$14:$F$83,RAB!$C$14:$C$83,C1087)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SUMIFS(RAB!$F$14:$F$83,RAB!$C$14:$C$83,C1088)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SUMIFS(RAB!$F$14:$F$83,RAB!$C$14:$C$83,C1089)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SUMIFS(RAB!$F$14:$F$83,RAB!$C$14:$C$83,C1090)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SUMIFS(RAB!$F$14:$F$83,RAB!$C$14:$C$83,C1091)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SUMIFS(RAB!$F$14:$F$83,RAB!$C$14:$C$83,C1092)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SUMIFS(RAB!$F$14:$F$83,RAB!$C$14:$C$83,C1093)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SUMIFS(RAB!$F$14:$F$83,RAB!$C$14:$C$83,C1094)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SUMIFS(RAB!$F$14:$F$83,RAB!$C$14:$C$83,C1095)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SUMIFS(RAB!$F$14:$F$83,RAB!$C$14:$C$83,C1096)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SUMIFS(RAB!$F$14:$F$83,RAB!$C$14:$C$83,C1097)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SUMIFS(RAB!$F$14:$F$83,RAB!$C$14:$C$83,C1098)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SUMIFS(RAB!$F$14:$F$83,RAB!$C$14:$C$83,C1099)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SUMIFS(RAB!$F$14:$F$83,RAB!$C$14:$C$83,C1100)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SUMIFS(RAB!$F$14:$F$83,RAB!$C$14:$C$83,C1101)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SUMIFS(RAB!$F$14:$F$83,RAB!$C$14:$C$83,C1102)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SUMIFS(RAB!$F$14:$F$83,RAB!$C$14:$C$83,C1103)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SUMIFS(RAB!$F$14:$F$83,RAB!$C$14:$C$83,C1104)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SUMIFS(RAB!$F$14:$F$83,RAB!$C$14:$C$83,C1105)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SUMIFS(RAB!$F$14:$F$83,RAB!$C$14:$C$83,C1106)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SUMIFS(RAB!$F$14:$F$83,RAB!$C$14:$C$83,C1107)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SUMIFS(RAB!$F$14:$F$83,RAB!$C$14:$C$83,C1108)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SUMIFS(RAB!$F$14:$F$83,RAB!$C$14:$C$83,C1109)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SUMIFS(RAB!$F$14:$F$83,RAB!$C$14:$C$83,C1110)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SUMIFS(RAB!$F$14:$F$83,RAB!$C$14:$C$83,C1111)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SUMIFS(RAB!$F$14:$F$83,RAB!$C$14:$C$83,C1112)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SUMIFS(RAB!$F$14:$F$83,RAB!$C$14:$C$83,C1113)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SUMIFS(RAB!$F$14:$F$83,RAB!$C$14:$C$83,C1114)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SUMIFS(RAB!$F$14:$F$83,RAB!$C$14:$C$83,C1115)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SUMIFS(RAB!$F$14:$F$83,RAB!$C$14:$C$83,C1116)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SUMIFS(RAB!$F$14:$F$83,RAB!$C$14:$C$83,C1117)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SUMIFS(RAB!$F$14:$F$83,RAB!$C$14:$C$83,C1118)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SUMIFS(RAB!$F$14:$F$83,RAB!$C$14:$C$83,C1119)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SUMIFS(RAB!$F$14:$F$83,RAB!$C$14:$C$83,C1120)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SUMIFS(RAB!$F$14:$F$83,RAB!$C$14:$C$83,C1121)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SUMIFS(RAB!$F$14:$F$83,RAB!$C$14:$C$83,C1122)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SUMIFS(RAB!$F$14:$F$83,RAB!$C$14:$C$83,C1123)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SUMIFS(RAB!$F$14:$F$83,RAB!$C$14:$C$83,C1124)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SUMIFS(RAB!$F$14:$F$83,RAB!$C$14:$C$83,C1125)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SUMIFS(RAB!$F$14:$F$83,RAB!$C$14:$C$83,C1126)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SUMIFS(RAB!$F$14:$F$83,RAB!$C$14:$C$83,C1127)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SUMIFS(RAB!$F$14:$F$83,RAB!$C$14:$C$83,C1128)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SUMIFS(RAB!$F$14:$F$83,RAB!$C$14:$C$83,C1129)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SUMIFS(RAB!$F$14:$F$83,RAB!$C$14:$C$83,C1130)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SUMIFS(RAB!$F$14:$F$83,RAB!$C$14:$C$83,C1131)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SUMIFS(RAB!$F$14:$F$83,RAB!$C$14:$C$83,C1132)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SUMIFS(RAB!$F$14:$F$83,RAB!$C$14:$C$83,C1133)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SUMIFS(RAB!$F$14:$F$83,RAB!$C$14:$C$83,C1134)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SUMIFS(RAB!$F$14:$F$83,RAB!$C$14:$C$83,C1135)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SUMIFS(RAB!$F$14:$F$83,RAB!$C$14:$C$83,C1136)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SUMIFS(RAB!$F$14:$F$83,RAB!$C$14:$C$83,C1137)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SUMIFS(RAB!$F$14:$F$83,RAB!$C$14:$C$83,C1138)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SUMIFS(RAB!$F$14:$F$83,RAB!$C$14:$C$83,C1139)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SUMIFS(RAB!$F$14:$F$83,RAB!$C$14:$C$83,C1140)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SUMIFS(RAB!$F$14:$F$83,RAB!$C$14:$C$83,C1141)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SUMIFS(RAB!$F$14:$F$83,RAB!$C$14:$C$83,C1142)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SUMIFS(RAB!$F$14:$F$83,RAB!$C$14:$C$83,C1143)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SUMIFS(RAB!$F$14:$F$83,RAB!$C$14:$C$83,C1144)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SUMIFS(RAB!$F$14:$F$83,RAB!$C$14:$C$83,C1145)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SUMIFS(RAB!$F$14:$F$83,RAB!$C$14:$C$83,C1146)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SUMIFS(RAB!$F$14:$F$83,RAB!$C$14:$C$83,C1147)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SUMIFS(RAB!$F$14:$F$83,RAB!$C$14:$C$83,C1148)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SUMIFS(RAB!$F$14:$F$83,RAB!$C$14:$C$83,C1149)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SUMIFS(RAB!$F$14:$F$83,RAB!$C$14:$C$83,C1150)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SUMIFS(RAB!$F$14:$F$83,RAB!$C$14:$C$83,C1151)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SUMIFS(RAB!$F$14:$F$83,RAB!$C$14:$C$83,C1152)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SUMIFS(RAB!$F$14:$F$83,RAB!$C$14:$C$83,C1153)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SUMIFS(RAB!$F$14:$F$83,RAB!$C$14:$C$83,C1154)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SUMIFS(RAB!$F$14:$F$83,RAB!$C$14:$C$83,C1155)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SUMIFS(RAB!$F$14:$F$83,RAB!$C$14:$C$83,C1156)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SUMIFS(RAB!$F$14:$F$83,RAB!$C$14:$C$83,C1157)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SUMIFS(RAB!$F$14:$F$83,RAB!$C$14:$C$83,C1158)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SUMIFS(RAB!$F$14:$F$83,RAB!$C$14:$C$83,C1159)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SUMIFS(RAB!$F$14:$F$83,RAB!$C$14:$C$83,C1160)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SUMIFS(RAB!$F$14:$F$83,RAB!$C$14:$C$83,C1161)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SUMIFS(RAB!$F$14:$F$83,RAB!$C$14:$C$83,C1162)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SUMIFS(RAB!$F$14:$F$83,RAB!$C$14:$C$83,C1163)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SUMIFS(RAB!$F$14:$F$83,RAB!$C$14:$C$83,C1164)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SUMIFS(RAB!$F$14:$F$83,RAB!$C$14:$C$83,C1165)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SUMIFS(RAB!$F$14:$F$83,RAB!$C$14:$C$83,C1166)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SUMIFS(RAB!$F$14:$F$83,RAB!$C$14:$C$83,C1167)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SUMIFS(RAB!$F$14:$F$83,RAB!$C$14:$C$83,C1168)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SUMIFS(RAB!$F$14:$F$83,RAB!$C$14:$C$83,C1169)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SUMIFS(RAB!$F$14:$F$83,RAB!$C$14:$C$83,C1170)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SUMIFS(RAB!$F$14:$F$83,RAB!$C$14:$C$83,C1171)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SUMIFS(RAB!$F$14:$F$83,RAB!$C$14:$C$83,C1172)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SUMIFS(RAB!$F$14:$F$83,RAB!$C$14:$C$83,C1173)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SUMIFS(RAB!$F$14:$F$83,RAB!$C$14:$C$83,C1174)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SUMIFS(RAB!$F$14:$F$83,RAB!$C$14:$C$83,C1175)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SUMIFS(RAB!$F$14:$F$83,RAB!$C$14:$C$83,C1176)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SUMIFS(RAB!$F$14:$F$83,RAB!$C$14:$C$83,C1177)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SUMIFS(RAB!$F$14:$F$83,RAB!$C$14:$C$83,C1178)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SUMIFS(RAB!$F$14:$F$83,RAB!$C$14:$C$83,C1179)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SUMIFS(RAB!$F$14:$F$83,RAB!$C$14:$C$83,C1180)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SUMIFS(RAB!$F$14:$F$83,RAB!$C$14:$C$83,C1181)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SUMIFS(RAB!$F$14:$F$83,RAB!$C$14:$C$83,C1182)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SUMIFS(RAB!$F$14:$F$83,RAB!$C$14:$C$83,C1183)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SUMIFS(RAB!$F$14:$F$83,RAB!$C$14:$C$83,C1184)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SUMIFS(RAB!$F$14:$F$83,RAB!$C$14:$C$83,C1185)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SUMIFS(RAB!$F$14:$F$83,RAB!$C$14:$C$83,C1186)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SUMIFS(RAB!$F$14:$F$83,RAB!$C$14:$C$83,C1187)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SUMIFS(RAB!$F$14:$F$83,RAB!$C$14:$C$83,C1188)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SUMIFS(RAB!$F$14:$F$83,RAB!$C$14:$C$83,C1189)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SUMIFS(RAB!$F$14:$F$83,RAB!$C$14:$C$83,C1190)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SUMIFS(RAB!$F$14:$F$83,RAB!$C$14:$C$83,C1191)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SUMIFS(RAB!$F$14:$F$83,RAB!$C$14:$C$83,C1192)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SUMIFS(RAB!$F$14:$F$83,RAB!$C$14:$C$83,C1193)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SUMIFS(RAB!$F$14:$F$83,RAB!$C$14:$C$83,C1194)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SUMIFS(RAB!$F$14:$F$83,RAB!$C$14:$C$83,C1195)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SUMIFS(RAB!$F$14:$F$83,RAB!$C$14:$C$83,C1196)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SUMIFS(RAB!$F$14:$F$83,RAB!$C$14:$C$83,C1197)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SUMIFS(RAB!$F$14:$F$83,RAB!$C$14:$C$83,C1198)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SUMIFS(RAB!$F$14:$F$83,RAB!$C$14:$C$83,C1199)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SUMIFS(RAB!$F$14:$F$83,RAB!$C$14:$C$83,C1200)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SUMIFS(RAB!$F$14:$F$83,RAB!$C$14:$C$83,C1201)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SUMIFS(RAB!$F$14:$F$83,RAB!$C$14:$C$83,C1202)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SUMIFS(RAB!$F$14:$F$83,RAB!$C$14:$C$83,C1203)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SUMIFS(RAB!$F$14:$F$83,RAB!$C$14:$C$83,C1204)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SUMIFS(RAB!$F$14:$F$83,RAB!$C$14:$C$83,C1205)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SUMIFS(RAB!$F$14:$F$83,RAB!$C$14:$C$83,C1206)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SUMIFS(RAB!$F$14:$F$83,RAB!$C$14:$C$83,C1207)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SUMIFS(RAB!$F$14:$F$83,RAB!$C$14:$C$83,C1208)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SUMIFS(RAB!$F$14:$F$83,RAB!$C$14:$C$83,C1209)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SUMIFS(RAB!$F$14:$F$83,RAB!$C$14:$C$83,C1210)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SUMIFS(RAB!$F$14:$F$83,RAB!$C$14:$C$83,C1211)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SUMIFS(RAB!$F$14:$F$83,RAB!$C$14:$C$83,C1212)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SUMIFS(RAB!$F$14:$F$83,RAB!$C$14:$C$83,C1213)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SUMIFS(RAB!$F$14:$F$83,RAB!$C$14:$C$83,C1214)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SUMIFS(RAB!$F$14:$F$83,RAB!$C$14:$C$83,C1215)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SUMIFS(RAB!$F$14:$F$83,RAB!$C$14:$C$83,C1216)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SUMIFS(RAB!$F$14:$F$83,RAB!$C$14:$C$83,C1217)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SUMIFS(RAB!$F$14:$F$83,RAB!$C$14:$C$83,C1218)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SUMIFS(RAB!$F$14:$F$83,RAB!$C$14:$C$83,C1219)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SUMIFS(RAB!$F$14:$F$83,RAB!$C$14:$C$83,C1220)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SUMIFS(RAB!$F$14:$F$83,RAB!$C$14:$C$83,C1221)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SUMIFS(RAB!$F$14:$F$83,RAB!$C$14:$C$83,C1222)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SUMIFS(RAB!$F$14:$F$83,RAB!$C$14:$C$83,C1223)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SUMIFS(RAB!$F$14:$F$83,RAB!$C$14:$C$83,C1224)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SUMIFS(RAB!$F$14:$F$83,RAB!$C$14:$C$83,C1225)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SUMIFS(RAB!$F$14:$F$83,RAB!$C$14:$C$83,C1226)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SUMIFS(RAB!$F$14:$F$83,RAB!$C$14:$C$83,C1227)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SUMIFS(RAB!$F$14:$F$83,RAB!$C$14:$C$83,C1228)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SUMIFS(RAB!$F$14:$F$83,RAB!$C$14:$C$83,C1229)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SUMIFS(RAB!$F$14:$F$83,RAB!$C$14:$C$83,C1230)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SUMIFS(RAB!$F$14:$F$83,RAB!$C$14:$C$83,C1231)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SUMIFS(RAB!$F$14:$F$83,RAB!$C$14:$C$83,C1232)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SUMIFS(RAB!$F$14:$F$83,RAB!$C$14:$C$83,C1233)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SUMIFS(RAB!$F$14:$F$83,RAB!$C$14:$C$83,C1234)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SUMIFS(RAB!$F$14:$F$83,RAB!$C$14:$C$83,C1235)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SUMIFS(RAB!$F$14:$F$83,RAB!$C$14:$C$83,C1236)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SUMIFS(RAB!$F$14:$F$83,RAB!$C$14:$C$83,C1237)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SUMIFS(RAB!$F$14:$F$83,RAB!$C$14:$C$83,C1238)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SUMIFS(RAB!$F$14:$F$83,RAB!$C$14:$C$83,C1239)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SUMIFS(RAB!$F$14:$F$83,RAB!$C$14:$C$83,C1240)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SUMIFS(RAB!$F$14:$F$83,RAB!$C$14:$C$83,C1241)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SUMIFS(RAB!$F$14:$F$83,RAB!$C$14:$C$83,C1242)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SUMIFS(RAB!$F$14:$F$83,RAB!$C$14:$C$83,C1243)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SUMIFS(RAB!$F$14:$F$83,RAB!$C$14:$C$83,C1244)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SUMIFS(RAB!$F$14:$F$83,RAB!$C$14:$C$83,C1245)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SUMIFS(RAB!$F$14:$F$83,RAB!$C$14:$C$83,C1246)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SUMIFS(RAB!$F$14:$F$83,RAB!$C$14:$C$83,C1247)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SUMIFS(RAB!$F$14:$F$83,RAB!$C$14:$C$83,C1248)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SUMIFS(RAB!$F$14:$F$83,RAB!$C$14:$C$83,C1249)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SUMIFS(RAB!$F$14:$F$83,RAB!$C$14:$C$83,C1250)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SUMIFS(RAB!$F$14:$F$83,RAB!$C$14:$C$83,C1251)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SUMIFS(RAB!$F$14:$F$83,RAB!$C$14:$C$83,C1252)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SUMIFS(RAB!$F$14:$F$83,RAB!$C$14:$C$83,C1253)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SUMIFS(RAB!$F$14:$F$83,RAB!$C$14:$C$83,C1254)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SUMIFS(RAB!$F$14:$F$83,RAB!$C$14:$C$83,C1255)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SUMIFS(RAB!$F$14:$F$83,RAB!$C$14:$C$83,C1256)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SUMIFS(RAB!$F$14:$F$83,RAB!$C$14:$C$83,C1257)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SUMIFS(RAB!$F$14:$F$83,RAB!$C$14:$C$83,C1258)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SUMIFS(RAB!$F$14:$F$83,RAB!$C$14:$C$83,C1259)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SUMIFS(RAB!$F$14:$F$83,RAB!$C$14:$C$83,C1260)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SUMIFS(RAB!$F$14:$F$83,RAB!$C$14:$C$83,C1261)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SUMIFS(RAB!$F$14:$F$83,RAB!$C$14:$C$83,C1262)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SUMIFS(RAB!$F$14:$F$83,RAB!$C$14:$C$83,C1263)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SUMIFS(RAB!$F$14:$F$83,RAB!$C$14:$C$83,C1264)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SUMIFS(RAB!$F$14:$F$83,RAB!$C$14:$C$83,C1265)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SUMIFS(RAB!$F$14:$F$83,RAB!$C$14:$C$83,C1266)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SUMIFS(RAB!$F$14:$F$83,RAB!$C$14:$C$83,C1267)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SUMIFS(RAB!$F$14:$F$83,RAB!$C$14:$C$83,C1268)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SUMIFS(RAB!$F$14:$F$83,RAB!$C$14:$C$83,C1269)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SUMIFS(RAB!$F$14:$F$83,RAB!$C$14:$C$83,C1270)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SUMIFS(RAB!$F$14:$F$83,RAB!$C$14:$C$83,C1271)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SUMIFS(RAB!$F$14:$F$83,RAB!$C$14:$C$83,C1272)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SUMIFS(RAB!$F$14:$F$83,RAB!$C$14:$C$83,C1273)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SUMIFS(RAB!$F$14:$F$83,RAB!$C$14:$C$83,C1274)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SUMIFS(RAB!$F$14:$F$83,RAB!$C$14:$C$83,C1275)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SUMIFS(RAB!$F$14:$F$83,RAB!$C$14:$C$83,C1276)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SUMIFS(RAB!$F$14:$F$83,RAB!$C$14:$C$83,C1277)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SUMIFS(RAB!$F$14:$F$83,RAB!$C$14:$C$83,C1278)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SUMIFS(RAB!$F$14:$F$83,RAB!$C$14:$C$83,C1279)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SUMIFS(RAB!$F$14:$F$83,RAB!$C$14:$C$83,C1280)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SUMIFS(RAB!$F$14:$F$83,RAB!$C$14:$C$83,C1281)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SUMIFS(RAB!$F$14:$F$83,RAB!$C$14:$C$83,C1282)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SUMIFS(RAB!$F$14:$F$83,RAB!$C$14:$C$83,C1283)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SUMIFS(RAB!$F$14:$F$83,RAB!$C$14:$C$83,C1284)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SUMIFS(RAB!$F$14:$F$83,RAB!$C$14:$C$83,C1285)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SUMIFS(RAB!$F$14:$F$83,RAB!$C$14:$C$83,C1286)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SUMIFS(RAB!$F$14:$F$83,RAB!$C$14:$C$83,C1287)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SUMIFS(RAB!$F$14:$F$83,RAB!$C$14:$C$83,C1288)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SUMIFS(RAB!$F$14:$F$83,RAB!$C$14:$C$83,C1289)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SUMIFS(RAB!$F$14:$F$83,RAB!$C$14:$C$83,C1290)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SUMIFS(RAB!$F$14:$F$83,RAB!$C$14:$C$83,C1291)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SUMIFS(RAB!$F$14:$F$83,RAB!$C$14:$C$83,C1292)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SUMIFS(RAB!$F$14:$F$83,RAB!$C$14:$C$83,C1293)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SUMIFS(RAB!$F$14:$F$83,RAB!$C$14:$C$83,C1294)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SUMIFS(RAB!$F$14:$F$83,RAB!$C$14:$C$83,C1295)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SUMIFS(RAB!$F$14:$F$83,RAB!$C$14:$C$83,C1296)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SUMIFS(RAB!$F$14:$F$83,RAB!$C$14:$C$83,C1297)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SUMIFS(RAB!$F$14:$F$83,RAB!$C$14:$C$83,C1298)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SUMIFS(RAB!$F$14:$F$83,RAB!$C$14:$C$83,C1299)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SUMIFS(RAB!$F$14:$F$83,RAB!$C$14:$C$83,C1300)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SUMIFS(RAB!$F$14:$F$83,RAB!$C$14:$C$83,C1301)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SUMIFS(RAB!$F$14:$F$83,RAB!$C$14:$C$83,C1302)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SUMIFS(RAB!$F$14:$F$83,RAB!$C$14:$C$83,C1303)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SUMIFS(RAB!$F$14:$F$83,RAB!$C$14:$C$83,C1304)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SUMIFS(RAB!$F$14:$F$83,RAB!$C$14:$C$83,C1305)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SUMIFS(RAB!$F$14:$F$83,RAB!$C$14:$C$83,C1306)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SUMIFS(RAB!$F$14:$F$83,RAB!$C$14:$C$83,C1307)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SUMIFS(RAB!$F$14:$F$83,RAB!$C$14:$C$83,C1308)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SUMIFS(RAB!$F$14:$F$83,RAB!$C$14:$C$83,C1309)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SUMIFS(RAB!$F$14:$F$83,RAB!$C$14:$C$83,C1310)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SUMIFS(RAB!$F$14:$F$83,RAB!$C$14:$C$83,C1311)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SUMIFS(RAB!$F$14:$F$83,RAB!$C$14:$C$83,C1312)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SUMIFS(RAB!$F$14:$F$83,RAB!$C$14:$C$83,C1313)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SUMIFS(RAB!$F$14:$F$83,RAB!$C$14:$C$83,C1314)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SUMIFS(RAB!$F$14:$F$83,RAB!$C$14:$C$83,C1315)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SUMIFS(RAB!$F$14:$F$83,RAB!$C$14:$C$83,C1316)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SUMIFS(RAB!$F$14:$F$83,RAB!$C$14:$C$83,C1317)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SUMIFS(RAB!$F$14:$F$83,RAB!$C$14:$C$83,C1318)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SUMIFS(RAB!$F$14:$F$83,RAB!$C$14:$C$83,C1319)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SUMIFS(RAB!$F$14:$F$83,RAB!$C$14:$C$83,C1320)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1126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49" t="str">
        <f>RAB!G6</f>
        <v>AGR PUWANINGSIH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DS SIDOMULYO 07/04 WONOSALAM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1007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463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SUMIFS(RAB!$F$14:$F$83,RAB!$C$14:$C$83,'REKAP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SUMIFS(RAB!$F$14:$F$83,RAB!$C$14:$C$83,'REKAP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SUMIFS(RAB!$F$14:$F$83,RAB!$C$14:$C$83,'REKAP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SUMIFS(RAB!$F$14:$F$83,RAB!$C$14:$C$83,'REKAP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SUMIFS(RAB!$F$14:$F$83,RAB!$C$14:$C$83,'REKAP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SUMIFS(RAB!$F$14:$F$83,RAB!$C$14:$C$83,'REKAP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SUMIFS(RAB!$F$14:$F$83,RAB!$C$14:$C$83,'REKAP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SUMIFS(RAB!$F$14:$F$83,RAB!$C$14:$C$83,'REKAP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SUMIFS(RAB!$F$14:$F$83,RAB!$C$14:$C$83,'REKAP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SUMIFS(RAB!$F$14:$F$83,RAB!$C$14:$C$83,'REKAP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SUMIFS(RAB!$F$14:$F$83,RAB!$C$14:$C$83,'REKAP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SUMIFS(RAB!$F$14:$F$83,RAB!$C$14:$C$83,'REKAP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SUMIFS(RAB!$F$14:$F$83,RAB!$C$14:$C$83,'REKAP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SUMIFS(RAB!$F$14:$F$83,RAB!$C$14:$C$83,'REKAP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SUMIFS(RAB!$F$14:$F$83,RAB!$C$14:$C$83,'REKAP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SUMIFS(RAB!$F$14:$F$83,RAB!$C$14:$C$83,'REKAP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SUMIFS(RAB!$F$14:$F$83,RAB!$C$14:$C$83,'REKAP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SUMIFS(RAB!$F$14:$F$83,RAB!$C$14:$C$83,'REKAP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SUMIFS(RAB!$F$14:$F$83,RAB!$C$14:$C$83,'REKAP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SUMIFS(RAB!$F$14:$F$83,RAB!$C$14:$C$83,'REKAP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1033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49" t="str">
        <f>RAB!G6</f>
        <v>AGR PUWANINGSIH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DS SIDOMULYO 07/04 WONOSALAM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15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817500</v>
      </c>
      <c r="I22" s="42">
        <f t="shared" ca="1" si="2"/>
        <v>0</v>
      </c>
      <c r="J22" s="42">
        <f t="shared" ca="1" si="3"/>
        <v>0</v>
      </c>
      <c r="K22" s="43">
        <f t="shared" ca="1" si="0"/>
        <v>817500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1007</v>
      </c>
      <c r="D168" s="550"/>
      <c r="E168" s="550"/>
      <c r="F168" s="550"/>
      <c r="G168" s="77" t="s">
        <v>9</v>
      </c>
      <c r="H168" s="55">
        <f ca="1">SUM(H14:H167)</f>
        <v>78228450</v>
      </c>
      <c r="I168" s="55">
        <f ca="1">SUM(I14:I167)</f>
        <v>0</v>
      </c>
      <c r="J168" s="55">
        <f ca="1">SUM(J14:J167)</f>
        <v>0</v>
      </c>
      <c r="K168" s="55">
        <f ca="1">SUM(K14:K167)</f>
        <v>78228450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7822845</v>
      </c>
      <c r="I169" s="60">
        <f ca="1">I168*0.1</f>
        <v>0</v>
      </c>
      <c r="J169" s="60">
        <f ca="1">J168*0.1</f>
        <v>0</v>
      </c>
      <c r="K169" s="60">
        <f ca="1">K168*0.1</f>
        <v>7822845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463</v>
      </c>
      <c r="D170" s="542"/>
      <c r="E170" s="542"/>
      <c r="F170" s="542"/>
      <c r="G170" s="61" t="s">
        <v>9</v>
      </c>
      <c r="H170" s="78">
        <f ca="1">SUM(H168:H169)</f>
        <v>86051295</v>
      </c>
      <c r="I170" s="78">
        <f ca="1">SUM(I168:I169)</f>
        <v>0</v>
      </c>
      <c r="J170" s="61">
        <f ca="1">SUM(J168:J169)</f>
        <v>0</v>
      </c>
      <c r="K170" s="61">
        <f ca="1">SUM(K168:K169)</f>
        <v>86051295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SUMIFS(RAB!$F$14:$F$83,RAB!$C$14:$C$83,C224)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SUMIFS(RAB!$F$14:$F$83,RAB!$C$14:$C$83,C225)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SUMIFS(RAB!$F$14:$F$83,RAB!$C$14:$C$83,C226)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SUMIFS(RAB!$F$14:$F$83,RAB!$C$14:$C$83,C227)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SUMIFS(RAB!$F$14:$F$83,RAB!$C$14:$C$83,C228)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SUMIFS(RAB!$F$14:$F$83,RAB!$C$14:$C$83,C229)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SUMIFS(RAB!$F$14:$F$83,RAB!$C$14:$C$83,C230)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SUMIFS(RAB!$F$14:$F$83,RAB!$C$14:$C$83,C231)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SUMIFS(RAB!$F$14:$F$83,RAB!$C$14:$C$83,C232)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SUMIFS(RAB!$F$14:$F$83,RAB!$C$14:$C$83,C233)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SUMIFS(RAB!$F$14:$F$83,RAB!$C$14:$C$83,C234)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SUMIFS(RAB!$F$14:$F$83,RAB!$C$14:$C$83,C235)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SUMIFS(RAB!$F$14:$F$83,RAB!$C$14:$C$83,C236)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SUMIFS(RAB!$F$14:$F$83,RAB!$C$14:$C$83,C237)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SUMIFS(RAB!$F$14:$F$83,RAB!$C$14:$C$83,C238)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SUMIFS(RAB!$F$14:$F$83,RAB!$C$14:$C$83,C239)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SUMIFS(RAB!$F$14:$F$83,RAB!$C$14:$C$83,C240)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SUMIFS(RAB!$F$14:$F$83,RAB!$C$14:$C$83,C241)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SUMIFS(RAB!$F$14:$F$83,RAB!$C$14:$C$83,C242)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SUMIFS(RAB!$F$14:$F$83,RAB!$C$14:$C$83,C243)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SUMIFS(RAB!$F$14:$F$83,RAB!$C$14:$C$83,C244)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SUMIFS(RAB!$F$14:$F$83,RAB!$C$14:$C$83,C245)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SUMIFS(RAB!$F$14:$F$83,RAB!$C$14:$C$83,C246)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SUMIFS(RAB!$F$14:$F$83,RAB!$C$14:$C$83,C247)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SUMIFS(RAB!$F$14:$F$83,RAB!$C$14:$C$83,C248)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SUMIFS(RAB!$F$14:$F$83,RAB!$C$14:$C$83,C249)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SUMIFS(RAB!$F$14:$F$83,RAB!$C$14:$C$83,C250)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SUMIFS(RAB!$F$14:$F$83,RAB!$C$14:$C$83,C251)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SUMIFS(RAB!$F$14:$F$83,RAB!$C$14:$C$83,C252)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SUMIFS(RAB!$F$14:$F$83,RAB!$C$14:$C$83,C253)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SUMIFS(RAB!$F$14:$F$83,RAB!$C$14:$C$83,C254)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SUMIFS(RAB!$F$14:$F$83,RAB!$C$14:$C$83,C255)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SUMIFS(RAB!$F$14:$F$83,RAB!$C$14:$C$83,C256)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SUMIFS(RAB!$F$14:$F$83,RAB!$C$14:$C$83,C257)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SUMIFS(RAB!$F$14:$F$83,RAB!$C$14:$C$83,C258)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SUMIFS(RAB!$F$14:$F$83,RAB!$C$14:$C$83,C259)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SUMIFS(RAB!$F$14:$F$83,RAB!$C$14:$C$83,C260)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SUMIFS(RAB!$F$14:$F$83,RAB!$C$14:$C$83,C261)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SUMIFS(RAB!$F$14:$F$83,RAB!$C$14:$C$83,C262)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SUMIFS(RAB!$F$14:$F$83,RAB!$C$14:$C$83,C263)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SUMIFS(RAB!$F$14:$F$83,RAB!$C$14:$C$83,C264)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SUMIFS(RAB!$F$14:$F$83,RAB!$C$14:$C$83,C265)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SUMIFS(RAB!$F$14:$F$83,RAB!$C$14:$C$83,C266)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SUMIFS(RAB!$F$14:$F$83,RAB!$C$14:$C$83,C267)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SUMIFS(RAB!$F$14:$F$83,RAB!$C$14:$C$83,C268)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SUMIFS(RAB!$F$14:$F$83,RAB!$C$14:$C$83,C269)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SUMIFS(RAB!$F$14:$F$83,RAB!$C$14:$C$83,C270)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SUMIFS(RAB!$F$14:$F$83,RAB!$C$14:$C$83,C271)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SUMIFS(RAB!$F$14:$F$83,RAB!$C$14:$C$83,C272)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SUMIFS(RAB!$F$14:$F$83,RAB!$C$14:$C$83,C273)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SUMIFS(RAB!$F$14:$F$83,RAB!$C$14:$C$83,C274)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SUMIFS(RAB!$F$14:$F$83,RAB!$C$14:$C$83,C275)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SUMIFS(RAB!$F$14:$F$83,RAB!$C$14:$C$83,C276)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SUMIFS(RAB!$F$14:$F$83,RAB!$C$14:$C$83,C277)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SUMIFS(RAB!$F$14:$F$83,RAB!$C$14:$C$83,C278)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SUMIFS(RAB!$F$14:$F$83,RAB!$C$14:$C$83,C279)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SUMIFS(RAB!$F$14:$F$83,RAB!$C$14:$C$83,C280)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SUMIFS(RAB!$F$14:$F$83,RAB!$C$14:$C$83,C281)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SUMIFS(RAB!$F$14:$F$83,RAB!$C$14:$C$83,C282)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SUMIFS(RAB!$F$14:$F$83,RAB!$C$14:$C$83,C283)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SUMIFS(RAB!$F$14:$F$83,RAB!$C$14:$C$83,C284)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SUMIFS(RAB!$F$14:$F$83,RAB!$C$14:$C$83,C285)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SUMIFS(RAB!$F$14:$F$83,RAB!$C$14:$C$83,C286)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SUMIFS(RAB!$F$14:$F$83,RAB!$C$14:$C$83,C287)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SUMIFS(RAB!$F$14:$F$83,RAB!$C$14:$C$83,C288)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SUMIFS(RAB!$F$14:$F$83,RAB!$C$14:$C$83,C289)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SUMIFS(RAB!$F$14:$F$83,RAB!$C$14:$C$83,C290)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SUMIFS(RAB!$F$14:$F$83,RAB!$C$14:$C$83,C291)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SUMIFS(RAB!$F$14:$F$83,RAB!$C$14:$C$83,C292)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SUMIFS(RAB!$F$14:$F$83,RAB!$C$14:$C$83,C293)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SUMIFS(RAB!$F$14:$F$83,RAB!$C$14:$C$83,C294)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SUMIFS(RAB!$F$14:$F$83,RAB!$C$14:$C$83,C295)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SUMIFS(RAB!$F$14:$F$83,RAB!$C$14:$C$83,C296)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SUMIFS(RAB!$F$14:$F$83,RAB!$C$14:$C$83,C297)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SUMIFS(RAB!$F$14:$F$83,RAB!$C$14:$C$83,C298)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SUMIFS(RAB!$F$14:$F$83,RAB!$C$14:$C$83,C299)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SUMIFS(RAB!$F$14:$F$83,RAB!$C$14:$C$83,C300)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SUMIFS(RAB!$F$14:$F$83,RAB!$C$14:$C$83,C301)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SUMIFS(RAB!$F$14:$F$83,RAB!$C$14:$C$83,C302)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SUMIFS(RAB!$F$14:$F$83,RAB!$C$14:$C$83,C303)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SUMIFS(RAB!$F$14:$F$83,RAB!$C$14:$C$83,C304)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SUMIFS(RAB!$F$14:$F$83,RAB!$C$14:$C$83,C305)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SUMIFS(RAB!$F$14:$F$83,RAB!$C$14:$C$83,C306)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SUMIFS(RAB!$F$14:$F$83,RAB!$C$14:$C$83,C307)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SUMIFS(RAB!$F$14:$F$83,RAB!$C$14:$C$83,C308)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SUMIFS(RAB!$F$14:$F$83,RAB!$C$14:$C$83,C309)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SUMIFS(RAB!$F$14:$F$83,RAB!$C$14:$C$83,C310)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SUMIFS(RAB!$F$14:$F$83,RAB!$C$14:$C$83,C311)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SUMIFS(RAB!$F$14:$F$83,RAB!$C$14:$C$83,C312)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SUMIFS(RAB!$F$14:$F$83,RAB!$C$14:$C$83,C313)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SUMIFS(RAB!$F$14:$F$83,RAB!$C$14:$C$83,C314)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SUMIFS(RAB!$F$14:$F$83,RAB!$C$14:$C$83,C315)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SUMIFS(RAB!$F$14:$F$83,RAB!$C$14:$C$83,C316)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SUMIFS(RAB!$F$14:$F$83,RAB!$C$14:$C$83,C317)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SUMIFS(RAB!$F$14:$F$83,RAB!$C$14:$C$83,C318)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SUMIFS(RAB!$F$14:$F$83,RAB!$C$14:$C$83,C319)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SUMIFS(RAB!$F$14:$F$83,RAB!$C$14:$C$83,C320)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SUMIFS(RAB!$F$14:$F$83,RAB!$C$14:$C$83,C321)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SUMIFS(RAB!$F$14:$F$83,RAB!$C$14:$C$83,C322)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SUMIFS(RAB!$F$14:$F$83,RAB!$C$14:$C$83,C323)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SUMIFS(RAB!$F$14:$F$83,RAB!$C$14:$C$83,C324)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SUMIFS(RAB!$F$14:$F$83,RAB!$C$14:$C$83,C325)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SUMIFS(RAB!$F$14:$F$83,RAB!$C$14:$C$83,C326)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SUMIFS(RAB!$F$14:$F$83,RAB!$C$14:$C$83,C327)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SUMIFS(RAB!$F$14:$F$83,RAB!$C$14:$C$83,C328)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SUMIFS(RAB!$F$14:$F$83,RAB!$C$14:$C$83,C329)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SUMIFS(RAB!$F$14:$F$83,RAB!$C$14:$C$83,C330)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SUMIFS(RAB!$F$14:$F$83,RAB!$C$14:$C$83,C331)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SUMIFS(RAB!$F$14:$F$83,RAB!$C$14:$C$83,C332)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SUMIFS(RAB!$F$14:$F$83,RAB!$C$14:$C$83,C333)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SUMIFS(RAB!$F$14:$F$83,RAB!$C$14:$C$83,C334)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SUMIFS(RAB!$F$14:$F$83,RAB!$C$14:$C$83,C335)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SUMIFS(RAB!$F$14:$F$83,RAB!$C$14:$C$83,C336)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SUMIFS(RAB!$F$14:$F$83,RAB!$C$14:$C$83,C337)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SUMIFS(RAB!$F$14:$F$83,RAB!$C$14:$C$83,C338)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SUMIFS(RAB!$F$14:$F$83,RAB!$C$14:$C$83,C339)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SUMIFS(RAB!$F$14:$F$83,RAB!$C$14:$C$83,C340)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SUMIFS(RAB!$F$14:$F$83,RAB!$C$14:$C$83,C341)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SUMIFS(RAB!$F$14:$F$83,RAB!$C$14:$C$83,C342)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SUMIFS(RAB!$F$14:$F$83,RAB!$C$14:$C$83,C343)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SUMIFS(RAB!$F$14:$F$83,RAB!$C$14:$C$83,C344)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SUMIFS(RAB!$F$14:$F$83,RAB!$C$14:$C$83,C345)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SUMIFS(RAB!$F$14:$F$83,RAB!$C$14:$C$83,C346)</f>
        <v>15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SUMIFS(RAB!$F$14:$F$83,RAB!$C$14:$C$83,C347)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SUMIFS(RAB!$F$14:$F$83,RAB!$C$14:$C$83,C348)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SUMIFS(RAB!$F$14:$F$83,RAB!$C$14:$C$83,C349)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SUMIFS(RAB!$F$14:$F$83,RAB!$C$14:$C$83,C350)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SUMIFS(RAB!$F$14:$F$83,RAB!$C$14:$C$83,C351)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SUMIFS(RAB!$F$14:$F$83,RAB!$C$14:$C$83,C352)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SUMIFS(RAB!$F$14:$F$83,RAB!$C$14:$C$83,C353)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SUMIFS(RAB!$F$14:$F$83,RAB!$C$14:$C$83,C354)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SUMIFS(RAB!$F$14:$F$83,RAB!$C$14:$C$83,C355)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SUMIFS(RAB!$F$14:$F$83,RAB!$C$14:$C$83,C356)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SUMIFS(RAB!$F$14:$F$83,RAB!$C$14:$C$83,C357)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SUMIFS(RAB!$F$14:$F$83,RAB!$C$14:$C$83,C358)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SUMIFS(RAB!$F$14:$F$83,RAB!$C$14:$C$83,C359)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SUMIFS(RAB!$F$14:$F$83,RAB!$C$14:$C$83,C360)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SUMIFS(RAB!$F$14:$F$83,RAB!$C$14:$C$83,C361)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SUMIFS(RAB!$F$14:$F$83,RAB!$C$14:$C$83,C362)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SUMIFS(RAB!$F$14:$F$83,RAB!$C$14:$C$83,C363)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SUMIFS(RAB!$F$14:$F$83,RAB!$C$14:$C$83,C364)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SUMIFS(RAB!$F$14:$F$83,RAB!$C$14:$C$83,C365)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SUMIFS(RAB!$F$14:$F$83,RAB!$C$14:$C$83,C366)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SUMIFS(RAB!$F$14:$F$83,RAB!$C$14:$C$83,C367)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SUMIFS(RAB!$F$14:$F$83,RAB!$C$14:$C$83,C368)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SUMIFS(RAB!$F$14:$F$83,RAB!$C$14:$C$83,C369)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SUMIFS(RAB!$F$14:$F$83,RAB!$C$14:$C$83,C370)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SUMIFS(RAB!$F$14:$F$83,RAB!$C$14:$C$83,C371)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SUMIFS(RAB!$F$14:$F$83,RAB!$C$14:$C$83,C372)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SUMIFS(RAB!$F$14:$F$83,RAB!$C$14:$C$83,C373)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58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1011</v>
      </c>
      <c r="D4" s="555" t="s">
        <v>42</v>
      </c>
      <c r="E4" s="554" t="s">
        <v>43</v>
      </c>
      <c r="F4" s="108" t="s">
        <v>1611</v>
      </c>
      <c r="G4" s="108" t="s">
        <v>1610</v>
      </c>
      <c r="H4" s="552" t="s">
        <v>1024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1610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1554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1555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1556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1557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1558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1559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1560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1561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1193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1460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1562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1563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1152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1564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1565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1566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1567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1568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1461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1462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1569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1570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1571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1572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1573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1574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1575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1576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1577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1578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1579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1580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1581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1582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1583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1584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1585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1586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1587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1588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1589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1590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1591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1592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1593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1594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1595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1596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1597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1598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1599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1600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1601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1602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1603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1604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1605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1463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1464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1465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1466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1467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1468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1469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2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2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1470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1471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1472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1473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1474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1475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1476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1477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1478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1479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1480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1481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1482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1483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1484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1485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1486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1487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1488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1489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1490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1491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1492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1493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1494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1495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1496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1053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79" t="s">
        <v>45</v>
      </c>
      <c r="E599" s="280" t="s">
        <v>1089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79" t="s">
        <v>45</v>
      </c>
      <c r="E600" s="280" t="s">
        <v>1089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79" t="s">
        <v>45</v>
      </c>
      <c r="E601" s="280" t="s">
        <v>1089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79" t="s">
        <v>45</v>
      </c>
      <c r="E602" s="280" t="s">
        <v>1089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79" t="s">
        <v>45</v>
      </c>
      <c r="E603" s="280" t="s">
        <v>1089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79" t="s">
        <v>45</v>
      </c>
      <c r="E605" s="280" t="s">
        <v>1089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1058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79" t="s">
        <v>47</v>
      </c>
      <c r="E636" s="280" t="s">
        <v>1120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79" t="s">
        <v>47</v>
      </c>
      <c r="E637" s="280" t="s">
        <v>1121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79" t="s">
        <v>47</v>
      </c>
      <c r="E638" s="280" t="s">
        <v>1122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79" t="s">
        <v>47</v>
      </c>
      <c r="E639" s="280" t="s">
        <v>1122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79" t="s">
        <v>45</v>
      </c>
      <c r="E640" s="280" t="s">
        <v>1122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79" t="s">
        <v>45</v>
      </c>
      <c r="E641" s="280" t="s">
        <v>1122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79" t="s">
        <v>45</v>
      </c>
      <c r="E642" s="280" t="s">
        <v>1122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79" t="s">
        <v>45</v>
      </c>
      <c r="E643" s="280" t="s">
        <v>1122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79" t="s">
        <v>45</v>
      </c>
      <c r="E644" s="280" t="s">
        <v>1123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79" t="s">
        <v>47</v>
      </c>
      <c r="E648" s="280" t="s">
        <v>1122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79" t="s">
        <v>47</v>
      </c>
      <c r="E649" s="280" t="s">
        <v>1122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1497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1498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1499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1500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1501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1502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1503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1504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1505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1506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1507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1508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1509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1510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1511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1512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1513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1514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1515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1516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1517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1518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1520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1519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1606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79" t="s">
        <v>47</v>
      </c>
      <c r="E927" s="280" t="s">
        <v>1101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79" t="s">
        <v>47</v>
      </c>
      <c r="E928" s="280" t="s">
        <v>1101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79" t="s">
        <v>47</v>
      </c>
      <c r="E929" s="280" t="s">
        <v>1101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79" t="s">
        <v>47</v>
      </c>
      <c r="E930" s="280" t="s">
        <v>1101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79" t="s">
        <v>47</v>
      </c>
      <c r="E931" s="280" t="s">
        <v>1101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79" t="s">
        <v>47</v>
      </c>
      <c r="E932" s="280" t="s">
        <v>1101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79" t="s">
        <v>47</v>
      </c>
      <c r="E933" s="280" t="s">
        <v>1101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79" t="s">
        <v>47</v>
      </c>
      <c r="E934" s="280" t="s">
        <v>1101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79" t="s">
        <v>47</v>
      </c>
      <c r="E935" s="280" t="s">
        <v>1101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79" t="s">
        <v>47</v>
      </c>
      <c r="E936" s="280" t="s">
        <v>1101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79" t="s">
        <v>47</v>
      </c>
      <c r="E937" s="280" t="s">
        <v>1101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79" t="s">
        <v>47</v>
      </c>
      <c r="E938" s="280" t="s">
        <v>1101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79" t="s">
        <v>47</v>
      </c>
      <c r="E939" s="280" t="s">
        <v>1101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79" t="s">
        <v>47</v>
      </c>
      <c r="E940" s="280" t="s">
        <v>1101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79" t="s">
        <v>47</v>
      </c>
      <c r="E941" s="280" t="s">
        <v>1101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79" t="s">
        <v>47</v>
      </c>
      <c r="E942" s="280" t="s">
        <v>1101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79" t="s">
        <v>47</v>
      </c>
      <c r="E943" s="280" t="s">
        <v>1101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79" t="s">
        <v>47</v>
      </c>
      <c r="E944" s="280" t="s">
        <v>1101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79" t="s">
        <v>47</v>
      </c>
      <c r="E945" s="280" t="s">
        <v>1101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79" t="s">
        <v>47</v>
      </c>
      <c r="E946" s="280" t="s">
        <v>1101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79" t="s">
        <v>47</v>
      </c>
      <c r="E947" s="280" t="s">
        <v>1101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79" t="s">
        <v>47</v>
      </c>
      <c r="E948" s="280" t="s">
        <v>1101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79" t="s">
        <v>47</v>
      </c>
      <c r="E949" s="280" t="s">
        <v>1101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79" t="s">
        <v>47</v>
      </c>
      <c r="E950" s="280" t="s">
        <v>1101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79" t="s">
        <v>47</v>
      </c>
      <c r="E951" s="280" t="s">
        <v>1101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79" t="s">
        <v>47</v>
      </c>
      <c r="E952" s="280" t="s">
        <v>1101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79" t="s">
        <v>47</v>
      </c>
      <c r="E953" s="280" t="s">
        <v>1101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79" t="s">
        <v>47</v>
      </c>
      <c r="E954" s="280" t="s">
        <v>1101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79" t="s">
        <v>47</v>
      </c>
      <c r="E955" s="280" t="s">
        <v>1101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79" t="s">
        <v>47</v>
      </c>
      <c r="E956" s="280" t="s">
        <v>1101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79" t="s">
        <v>47</v>
      </c>
      <c r="E957" s="280" t="s">
        <v>1101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79" t="s">
        <v>47</v>
      </c>
      <c r="E958" s="280" t="s">
        <v>1101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79" t="s">
        <v>47</v>
      </c>
      <c r="E959" s="280" t="s">
        <v>1101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79" t="s">
        <v>47</v>
      </c>
      <c r="E960" s="280" t="s">
        <v>1101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79" t="s">
        <v>47</v>
      </c>
      <c r="E961" s="280" t="s">
        <v>1101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79" t="s">
        <v>47</v>
      </c>
      <c r="E962" s="280" t="s">
        <v>1101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79" t="s">
        <v>47</v>
      </c>
      <c r="E963" s="280" t="s">
        <v>1101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79" t="s">
        <v>47</v>
      </c>
      <c r="E964" s="280" t="s">
        <v>1101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79" t="s">
        <v>47</v>
      </c>
      <c r="E965" s="280" t="s">
        <v>1101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79" t="s">
        <v>47</v>
      </c>
      <c r="E966" s="280" t="s">
        <v>1101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79" t="s">
        <v>47</v>
      </c>
      <c r="E967" s="280" t="s">
        <v>1101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79" t="s">
        <v>47</v>
      </c>
      <c r="E968" s="280" t="s">
        <v>1101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79" t="s">
        <v>47</v>
      </c>
      <c r="E969" s="280" t="s">
        <v>1101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79" t="s">
        <v>47</v>
      </c>
      <c r="E970" s="280" t="s">
        <v>1101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79" t="s">
        <v>47</v>
      </c>
      <c r="E971" s="280" t="s">
        <v>1101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79" t="s">
        <v>47</v>
      </c>
      <c r="E972" s="280" t="s">
        <v>1101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79" t="s">
        <v>47</v>
      </c>
      <c r="E973" s="280" t="s">
        <v>1101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79" t="s">
        <v>47</v>
      </c>
      <c r="E974" s="280" t="s">
        <v>1101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79" t="s">
        <v>47</v>
      </c>
      <c r="E975" s="280" t="s">
        <v>1101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79" t="s">
        <v>47</v>
      </c>
      <c r="E976" s="280" t="s">
        <v>1101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79" t="s">
        <v>47</v>
      </c>
      <c r="E977" s="280" t="s">
        <v>1101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79" t="s">
        <v>47</v>
      </c>
      <c r="E978" s="280" t="s">
        <v>1101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79" t="s">
        <v>47</v>
      </c>
      <c r="E979" s="280" t="s">
        <v>1101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79" t="s">
        <v>47</v>
      </c>
      <c r="E980" s="280" t="s">
        <v>1101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79" t="s">
        <v>47</v>
      </c>
      <c r="E981" s="280" t="s">
        <v>1101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79" t="s">
        <v>47</v>
      </c>
      <c r="E984" s="280" t="s">
        <v>1101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79" t="s">
        <v>47</v>
      </c>
      <c r="E985" s="280" t="s">
        <v>1101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79" t="s">
        <v>47</v>
      </c>
      <c r="E986" s="280" t="s">
        <v>1101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79" t="s">
        <v>47</v>
      </c>
      <c r="E987" s="280" t="s">
        <v>1101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79" t="s">
        <v>47</v>
      </c>
      <c r="E988" s="280" t="s">
        <v>1101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79" t="s">
        <v>47</v>
      </c>
      <c r="E989" s="280" t="s">
        <v>1101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79" t="s">
        <v>47</v>
      </c>
      <c r="E990" s="280" t="s">
        <v>1101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1607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1608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1521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1522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1523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1524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1525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1526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1527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1528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1609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79" t="s">
        <v>47</v>
      </c>
      <c r="E1309" s="280" t="s">
        <v>1101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79" t="s">
        <v>47</v>
      </c>
      <c r="E1310" s="280" t="s">
        <v>1101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79" t="s">
        <v>47</v>
      </c>
      <c r="E1311" s="280" t="s">
        <v>1101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79" t="s">
        <v>47</v>
      </c>
      <c r="E1312" s="280" t="s">
        <v>1101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79" t="s">
        <v>47</v>
      </c>
      <c r="E1313" s="280" t="s">
        <v>1101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79" t="s">
        <v>47</v>
      </c>
      <c r="E1314" s="280" t="s">
        <v>1101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79" t="s">
        <v>47</v>
      </c>
      <c r="E1315" s="280" t="s">
        <v>1101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79" t="s">
        <v>47</v>
      </c>
      <c r="E1316" s="280" t="s">
        <v>1101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79" t="s">
        <v>47</v>
      </c>
      <c r="E1317" s="280" t="s">
        <v>1101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79" t="s">
        <v>47</v>
      </c>
      <c r="E1318" s="280" t="s">
        <v>1101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79" t="s">
        <v>47</v>
      </c>
      <c r="E1319" s="280" t="s">
        <v>1101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79" t="s">
        <v>47</v>
      </c>
      <c r="E1320" s="280" t="s">
        <v>1101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79" t="s">
        <v>47</v>
      </c>
      <c r="E1321" s="280" t="s">
        <v>1101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79" t="s">
        <v>47</v>
      </c>
      <c r="E1322" s="280" t="s">
        <v>1101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79" t="s">
        <v>47</v>
      </c>
      <c r="E1323" s="280" t="s">
        <v>1101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79" t="s">
        <v>47</v>
      </c>
      <c r="E1324" s="280" t="s">
        <v>1101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79" t="s">
        <v>47</v>
      </c>
      <c r="E1325" s="280" t="s">
        <v>1101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79" t="s">
        <v>47</v>
      </c>
      <c r="E1326" s="280" t="s">
        <v>1101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79" t="s">
        <v>47</v>
      </c>
      <c r="E1327" s="280" t="s">
        <v>1101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79" t="s">
        <v>47</v>
      </c>
      <c r="E1328" s="280" t="s">
        <v>1101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79" t="s">
        <v>47</v>
      </c>
      <c r="E1329" s="280" t="s">
        <v>1101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79" t="s">
        <v>47</v>
      </c>
      <c r="E1330" s="280" t="s">
        <v>1101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79" t="s">
        <v>47</v>
      </c>
      <c r="E1331" s="280" t="s">
        <v>1101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79" t="s">
        <v>47</v>
      </c>
      <c r="E1332" s="280" t="s">
        <v>1101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79" t="s">
        <v>47</v>
      </c>
      <c r="E1333" s="280" t="s">
        <v>1101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79" t="s">
        <v>47</v>
      </c>
      <c r="E1334" s="280" t="s">
        <v>1101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79" t="s">
        <v>47</v>
      </c>
      <c r="E1335" s="280" t="s">
        <v>1101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79" t="s">
        <v>47</v>
      </c>
      <c r="E1336" s="280" t="s">
        <v>1101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79" t="s">
        <v>47</v>
      </c>
      <c r="E1337" s="280" t="s">
        <v>1101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79" t="s">
        <v>47</v>
      </c>
      <c r="E1338" s="280" t="s">
        <v>1101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79" t="s">
        <v>47</v>
      </c>
      <c r="E1339" s="280" t="s">
        <v>1101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79" t="s">
        <v>47</v>
      </c>
      <c r="E1340" s="280" t="s">
        <v>1101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79" t="s">
        <v>47</v>
      </c>
      <c r="E1341" s="280" t="s">
        <v>1101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79" t="s">
        <v>47</v>
      </c>
      <c r="E1342" s="280" t="s">
        <v>1101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79" t="s">
        <v>47</v>
      </c>
      <c r="E1343" s="280" t="s">
        <v>1101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79" t="s">
        <v>47</v>
      </c>
      <c r="E1344" s="280" t="s">
        <v>1101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79" t="s">
        <v>47</v>
      </c>
      <c r="E1345" s="280" t="s">
        <v>1101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79" t="s">
        <v>47</v>
      </c>
      <c r="E1346" s="280" t="s">
        <v>1101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79" t="s">
        <v>47</v>
      </c>
      <c r="E1347" s="280" t="s">
        <v>1101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79" t="s">
        <v>47</v>
      </c>
      <c r="E1348" s="280" t="s">
        <v>1101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79" t="s">
        <v>47</v>
      </c>
      <c r="E1349" s="280" t="s">
        <v>1101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79" t="s">
        <v>47</v>
      </c>
      <c r="E1350" s="280" t="s">
        <v>1101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79" t="s">
        <v>47</v>
      </c>
      <c r="E1351" s="280" t="s">
        <v>1101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79" t="s">
        <v>47</v>
      </c>
      <c r="E1352" s="280" t="s">
        <v>1101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79" t="s">
        <v>47</v>
      </c>
      <c r="E1353" s="280" t="s">
        <v>1101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79" t="s">
        <v>47</v>
      </c>
      <c r="E1354" s="280" t="s">
        <v>1101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79" t="s">
        <v>47</v>
      </c>
      <c r="E1355" s="280" t="s">
        <v>1101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79" t="s">
        <v>47</v>
      </c>
      <c r="E1356" s="280" t="s">
        <v>1101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79" t="s">
        <v>47</v>
      </c>
      <c r="E1357" s="280" t="s">
        <v>1101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79" t="s">
        <v>47</v>
      </c>
      <c r="E1358" s="280" t="s">
        <v>1101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79" t="s">
        <v>47</v>
      </c>
      <c r="E1359" s="280" t="s">
        <v>1101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79" t="s">
        <v>47</v>
      </c>
      <c r="E1360" s="280" t="s">
        <v>1101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79" t="s">
        <v>47</v>
      </c>
      <c r="E1361" s="280" t="s">
        <v>1101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79" t="s">
        <v>47</v>
      </c>
      <c r="E1362" s="280" t="s">
        <v>1101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79" t="s">
        <v>47</v>
      </c>
      <c r="E1363" s="280" t="s">
        <v>1101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79" t="s">
        <v>47</v>
      </c>
      <c r="E1366" s="280" t="s">
        <v>1101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79" t="s">
        <v>47</v>
      </c>
      <c r="E1367" s="280" t="s">
        <v>1101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79" t="s">
        <v>47</v>
      </c>
      <c r="E1368" s="280" t="s">
        <v>1101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79" t="s">
        <v>47</v>
      </c>
      <c r="E1369" s="280" t="s">
        <v>1101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79" t="s">
        <v>47</v>
      </c>
      <c r="E1370" s="280" t="s">
        <v>1101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79" t="s">
        <v>47</v>
      </c>
      <c r="E1371" s="280" t="s">
        <v>1101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79" t="s">
        <v>47</v>
      </c>
      <c r="E1372" s="280" t="s">
        <v>1101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79" t="s">
        <v>47</v>
      </c>
      <c r="E1433" s="280" t="s">
        <v>473</v>
      </c>
      <c r="F1433" s="493">
        <v>2740</v>
      </c>
      <c r="G1433" s="49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79" t="s">
        <v>47</v>
      </c>
      <c r="E1444" s="280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79" t="s">
        <v>47</v>
      </c>
      <c r="E1445" s="280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79" t="s">
        <v>47</v>
      </c>
      <c r="E1447" s="280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79" t="s">
        <v>47</v>
      </c>
      <c r="E1448" s="280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4" t="s">
        <v>1425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4" t="s">
        <v>1426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4" t="s">
        <v>1427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4" t="s">
        <v>1428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4" t="s">
        <v>1430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70" zoomScaleNormal="70" zoomScaleSheetLayoutView="85" workbookViewId="0">
      <selection activeCell="O24" sqref="O2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7" t="s">
        <v>1453</v>
      </c>
      <c r="C2" s="587"/>
      <c r="D2" s="587"/>
      <c r="E2" s="58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2" t="s">
        <v>1534</v>
      </c>
      <c r="C4" s="593"/>
      <c r="D4" s="593"/>
      <c r="E4" s="594"/>
      <c r="F4" s="446"/>
      <c r="G4" s="446"/>
      <c r="H4" s="447"/>
      <c r="I4" s="556" t="s">
        <v>1535</v>
      </c>
      <c r="J4" s="557"/>
      <c r="K4" s="557"/>
      <c r="L4" s="558"/>
    </row>
    <row r="5" spans="1:12" ht="34.5" customHeight="1">
      <c r="A5" s="204"/>
      <c r="B5" s="449" t="s">
        <v>1378</v>
      </c>
      <c r="C5" s="277" t="s">
        <v>9</v>
      </c>
      <c r="D5" s="588" t="str">
        <f>DATA!D14</f>
        <v>AGR PUWANINGSIH</v>
      </c>
      <c r="E5" s="589"/>
      <c r="F5" s="208"/>
      <c r="G5" s="208"/>
      <c r="I5" s="450" t="s">
        <v>1378</v>
      </c>
      <c r="J5" s="277" t="s">
        <v>9</v>
      </c>
      <c r="K5" s="559" t="str">
        <f>D5</f>
        <v>AGR PUWANINGSIH</v>
      </c>
      <c r="L5" s="560"/>
    </row>
    <row r="6" spans="1:12" ht="31.5" customHeight="1">
      <c r="A6" s="204"/>
      <c r="B6" s="449" t="s">
        <v>1531</v>
      </c>
      <c r="C6" s="277" t="s">
        <v>9</v>
      </c>
      <c r="D6" s="597">
        <f>DATA!D17*1000</f>
        <v>0</v>
      </c>
      <c r="E6" s="598"/>
      <c r="F6" s="208"/>
      <c r="G6" s="208"/>
      <c r="I6" s="450" t="s">
        <v>1532</v>
      </c>
      <c r="J6" s="277" t="s">
        <v>9</v>
      </c>
      <c r="K6" s="561">
        <f>DATA!D20*1000</f>
        <v>105000</v>
      </c>
      <c r="L6" s="562"/>
    </row>
    <row r="7" spans="1:12" ht="30.75" customHeight="1">
      <c r="A7" s="204"/>
      <c r="B7" s="449" t="s">
        <v>1440</v>
      </c>
      <c r="C7" s="277" t="s">
        <v>9</v>
      </c>
      <c r="D7" s="595">
        <f>DATA!D18</f>
        <v>1</v>
      </c>
      <c r="E7" s="596"/>
      <c r="F7" s="448" t="s">
        <v>1452</v>
      </c>
      <c r="I7" s="450" t="s">
        <v>1440</v>
      </c>
      <c r="J7" s="277" t="s">
        <v>9</v>
      </c>
      <c r="K7" s="563">
        <f>DATA!D21</f>
        <v>3</v>
      </c>
      <c r="L7" s="564"/>
    </row>
    <row r="8" spans="1:12" ht="51" customHeight="1">
      <c r="A8" s="204"/>
      <c r="B8" s="449" t="s">
        <v>1441</v>
      </c>
      <c r="C8" s="277" t="s">
        <v>9</v>
      </c>
      <c r="D8" s="595">
        <f>DATA!D19</f>
        <v>220</v>
      </c>
      <c r="E8" s="596"/>
      <c r="F8" s="448" t="s">
        <v>1452</v>
      </c>
      <c r="G8" s="443">
        <v>220</v>
      </c>
      <c r="I8" s="450" t="s">
        <v>1441</v>
      </c>
      <c r="J8" s="277" t="s">
        <v>9</v>
      </c>
      <c r="K8" s="563">
        <f>DATA!D22</f>
        <v>380</v>
      </c>
      <c r="L8" s="564"/>
    </row>
    <row r="9" spans="1:12" ht="30" customHeight="1" thickBot="1">
      <c r="A9" s="204"/>
      <c r="B9" s="455" t="s">
        <v>1543</v>
      </c>
      <c r="C9" s="445" t="s">
        <v>9</v>
      </c>
      <c r="D9" s="590">
        <f>IF(D7=1,D6/(380/3^0.5),(D6/(380*3^0.5)))</f>
        <v>0</v>
      </c>
      <c r="E9" s="591"/>
      <c r="F9" s="207"/>
      <c r="G9" s="444">
        <v>380</v>
      </c>
      <c r="I9" s="456" t="s">
        <v>1543</v>
      </c>
      <c r="J9" s="445" t="s">
        <v>9</v>
      </c>
      <c r="K9" s="567">
        <f>IF(K7=1,K6/(380/3^0.5),(K6/(380*3^0.5)))</f>
        <v>159.53099543397556</v>
      </c>
      <c r="L9" s="568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1544</v>
      </c>
      <c r="I11" s="451" t="s">
        <v>1538</v>
      </c>
    </row>
    <row r="12" spans="1:12" ht="34.5" customHeight="1">
      <c r="A12" s="204"/>
      <c r="B12" s="479" t="s">
        <v>1536</v>
      </c>
      <c r="C12" s="473" t="s">
        <v>9</v>
      </c>
      <c r="D12" s="599" t="s">
        <v>1619</v>
      </c>
      <c r="E12" s="600"/>
      <c r="F12" s="208"/>
      <c r="G12" s="208"/>
      <c r="I12" s="472" t="s">
        <v>1536</v>
      </c>
      <c r="J12" s="473" t="s">
        <v>9</v>
      </c>
      <c r="K12" s="599" t="s">
        <v>1619</v>
      </c>
      <c r="L12" s="600"/>
    </row>
    <row r="13" spans="1:12" ht="31.5" customHeight="1">
      <c r="A13" s="204"/>
      <c r="B13" s="480" t="s">
        <v>1379</v>
      </c>
      <c r="C13" s="460" t="s">
        <v>9</v>
      </c>
      <c r="D13" s="565" t="s">
        <v>1620</v>
      </c>
      <c r="E13" s="566"/>
      <c r="F13" s="208"/>
      <c r="G13" s="208"/>
      <c r="I13" s="474" t="s">
        <v>1379</v>
      </c>
      <c r="J13" s="460" t="s">
        <v>9</v>
      </c>
      <c r="K13" s="565" t="s">
        <v>1620</v>
      </c>
      <c r="L13" s="566"/>
    </row>
    <row r="14" spans="1:12" ht="30.75" customHeight="1">
      <c r="A14" s="204"/>
      <c r="B14" s="480" t="s">
        <v>1537</v>
      </c>
      <c r="C14" s="460" t="s">
        <v>9</v>
      </c>
      <c r="D14" s="569"/>
      <c r="E14" s="570"/>
      <c r="F14" s="448" t="s">
        <v>1452</v>
      </c>
      <c r="G14" s="452">
        <v>50</v>
      </c>
      <c r="I14" s="474" t="s">
        <v>1537</v>
      </c>
      <c r="J14" s="460" t="s">
        <v>9</v>
      </c>
      <c r="K14" s="571">
        <v>50</v>
      </c>
      <c r="L14" s="572"/>
    </row>
    <row r="15" spans="1:12" ht="57" customHeight="1">
      <c r="A15" s="204"/>
      <c r="B15" s="480" t="s">
        <v>1440</v>
      </c>
      <c r="C15" s="460" t="s">
        <v>9</v>
      </c>
      <c r="D15" s="466"/>
      <c r="E15" s="475"/>
      <c r="F15" s="448" t="s">
        <v>1452</v>
      </c>
      <c r="G15" s="452">
        <v>100</v>
      </c>
      <c r="I15" s="474" t="s">
        <v>1440</v>
      </c>
      <c r="J15" s="460" t="s">
        <v>9</v>
      </c>
      <c r="K15" s="466">
        <v>1</v>
      </c>
      <c r="L15" s="475"/>
    </row>
    <row r="16" spans="1:12" ht="44.25" customHeight="1">
      <c r="A16" s="204"/>
      <c r="B16" s="480" t="s">
        <v>1547</v>
      </c>
      <c r="C16" s="460"/>
      <c r="D16" s="573">
        <f>50</f>
        <v>50</v>
      </c>
      <c r="E16" s="574"/>
      <c r="F16" s="448"/>
      <c r="G16" s="452">
        <v>160</v>
      </c>
      <c r="I16" s="474" t="s">
        <v>1539</v>
      </c>
      <c r="J16" s="460" t="s">
        <v>9</v>
      </c>
      <c r="K16" s="577">
        <f>K9</f>
        <v>159.53099543397556</v>
      </c>
      <c r="L16" s="578"/>
    </row>
    <row r="17" spans="1:12" ht="34.5" customHeight="1">
      <c r="A17" s="204"/>
      <c r="B17" s="480" t="s">
        <v>1540</v>
      </c>
      <c r="C17" s="460" t="s">
        <v>9</v>
      </c>
      <c r="D17" s="575">
        <f>IF(D15=1,D14/(20/3^0.5),(D14/(20*3^0.5)))</f>
        <v>0</v>
      </c>
      <c r="E17" s="576"/>
      <c r="F17" s="448" t="s">
        <v>1452</v>
      </c>
      <c r="G17" s="453">
        <v>200</v>
      </c>
      <c r="I17" s="474" t="s">
        <v>1540</v>
      </c>
      <c r="J17" s="460" t="s">
        <v>9</v>
      </c>
      <c r="K17" s="581">
        <f>IF(K15=1,K14/(20/3^0.5),(K14/(20*3^0.5)))</f>
        <v>4.3301270189221928</v>
      </c>
      <c r="L17" s="582"/>
    </row>
    <row r="18" spans="1:12" ht="34.5" customHeight="1">
      <c r="A18" s="204"/>
      <c r="B18" s="480" t="s">
        <v>1541</v>
      </c>
      <c r="C18" s="460" t="s">
        <v>9</v>
      </c>
      <c r="D18" s="575">
        <f>IF(D15=1,D14/(380/3^0.5),(D14/(380*3^0.5)))*1000</f>
        <v>0</v>
      </c>
      <c r="E18" s="576"/>
      <c r="F18" s="448" t="s">
        <v>1452</v>
      </c>
      <c r="G18" s="453">
        <v>250</v>
      </c>
      <c r="I18" s="474" t="s">
        <v>1541</v>
      </c>
      <c r="J18" s="460" t="s">
        <v>9</v>
      </c>
      <c r="K18" s="581">
        <f>IF(K15=1,K14/(380/3^0.5),(K14/(380*3^0.5)))*1000</f>
        <v>227.90142204853646</v>
      </c>
      <c r="L18" s="582"/>
    </row>
    <row r="19" spans="1:12" ht="30" customHeight="1">
      <c r="A19" s="204"/>
      <c r="B19" s="481" t="s">
        <v>1533</v>
      </c>
      <c r="C19" s="459" t="s">
        <v>9</v>
      </c>
      <c r="D19" s="575">
        <f>IF(D15=1,D14/(380/3^0.5),(D14/(380*3^0.5)))</f>
        <v>0</v>
      </c>
      <c r="E19" s="576"/>
      <c r="F19" s="207"/>
      <c r="G19" s="444"/>
      <c r="I19" s="476" t="s">
        <v>1533</v>
      </c>
      <c r="J19" s="459" t="s">
        <v>9</v>
      </c>
      <c r="K19" s="581">
        <f>IF(K15=1,K14/(380/3^0.5),(K14/(380*3^0.5)))</f>
        <v>0.22790142204853647</v>
      </c>
      <c r="L19" s="582"/>
    </row>
    <row r="20" spans="1:12" ht="30" customHeight="1" thickBot="1">
      <c r="A20" s="204"/>
      <c r="B20" s="482" t="s">
        <v>1542</v>
      </c>
      <c r="C20" s="478" t="s">
        <v>9</v>
      </c>
      <c r="D20" s="601" t="e">
        <f>D16/D18</f>
        <v>#DIV/0!</v>
      </c>
      <c r="E20" s="602"/>
      <c r="F20" s="207"/>
      <c r="G20" s="444"/>
      <c r="I20" s="477" t="s">
        <v>1533</v>
      </c>
      <c r="J20" s="478" t="s">
        <v>9</v>
      </c>
      <c r="K20" s="579">
        <f>K16/K18</f>
        <v>0.70000000000000018</v>
      </c>
      <c r="L20" s="580"/>
    </row>
    <row r="21" spans="1:12" ht="9.75" customHeight="1">
      <c r="A21" s="204"/>
      <c r="B21" s="467" t="s">
        <v>1542</v>
      </c>
      <c r="C21" s="468" t="s">
        <v>9</v>
      </c>
      <c r="D21" s="586">
        <v>1</v>
      </c>
      <c r="E21" s="586"/>
      <c r="F21" s="469"/>
      <c r="G21" s="470"/>
      <c r="H21" s="471"/>
      <c r="I21" s="467" t="s">
        <v>1533</v>
      </c>
      <c r="J21" s="468" t="s">
        <v>9</v>
      </c>
      <c r="K21" s="586">
        <v>1</v>
      </c>
      <c r="L21" s="586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583"/>
      <c r="C24" s="584"/>
      <c r="D24" s="584"/>
      <c r="E24" s="585"/>
      <c r="I24" s="583"/>
      <c r="J24" s="584"/>
      <c r="K24" s="584"/>
      <c r="L24" s="585"/>
    </row>
    <row r="26" spans="1:12">
      <c r="D26" s="462"/>
    </row>
    <row r="27" spans="1:12">
      <c r="D27" s="46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2" zoomScale="85" zoomScaleNormal="85" workbookViewId="0">
      <selection activeCell="D15" sqref="D15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3"/>
      <c r="C1" s="603"/>
      <c r="D1" s="603"/>
    </row>
    <row r="2" spans="2:11" ht="15.75" customHeight="1">
      <c r="B2" s="288" t="s">
        <v>1442</v>
      </c>
      <c r="C2" s="289"/>
      <c r="D2" s="290"/>
    </row>
    <row r="3" spans="2:11" ht="20.100000000000001" customHeight="1">
      <c r="B3" s="291" t="s">
        <v>1348</v>
      </c>
      <c r="C3" s="292" t="s">
        <v>9</v>
      </c>
      <c r="D3" s="293">
        <v>2022</v>
      </c>
    </row>
    <row r="4" spans="2:11" ht="20.100000000000001" customHeight="1">
      <c r="B4" s="291" t="s">
        <v>1029</v>
      </c>
      <c r="C4" s="292" t="s">
        <v>9</v>
      </c>
      <c r="D4" s="294">
        <v>0.12</v>
      </c>
    </row>
    <row r="5" spans="2:11" ht="20.100000000000001" customHeight="1">
      <c r="B5" s="291" t="s">
        <v>1349</v>
      </c>
      <c r="C5" s="292" t="s">
        <v>9</v>
      </c>
      <c r="D5" s="496">
        <v>1084.1250458865841</v>
      </c>
      <c r="F5" s="491" t="s">
        <v>1613</v>
      </c>
      <c r="K5" s="490"/>
    </row>
    <row r="6" spans="2:11" ht="20.100000000000001" customHeight="1">
      <c r="B6" s="291" t="s">
        <v>1350</v>
      </c>
      <c r="C6" s="292" t="s">
        <v>9</v>
      </c>
      <c r="D6" s="296">
        <v>25</v>
      </c>
      <c r="F6" s="491"/>
    </row>
    <row r="7" spans="2:11" ht="20.100000000000001" customHeight="1">
      <c r="B7" s="291" t="s">
        <v>1351</v>
      </c>
      <c r="C7" s="292" t="s">
        <v>9</v>
      </c>
      <c r="D7" s="297">
        <v>2.2499999999999999E-2</v>
      </c>
    </row>
    <row r="8" spans="2:11" ht="20.100000000000001" customHeight="1">
      <c r="B8" s="291" t="s">
        <v>1443</v>
      </c>
      <c r="C8" s="292" t="s">
        <v>9</v>
      </c>
      <c r="D8" s="298">
        <f>D20-D17</f>
        <v>105</v>
      </c>
    </row>
    <row r="9" spans="2:11" ht="20.100000000000001" customHeight="1">
      <c r="B9" s="291" t="s">
        <v>1444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1445</v>
      </c>
      <c r="C10" s="292" t="s">
        <v>9</v>
      </c>
      <c r="D10" s="298">
        <f ca="1">RAB!K89</f>
        <v>103413366.25575</v>
      </c>
    </row>
    <row r="11" spans="2:11" ht="20.100000000000001" customHeight="1">
      <c r="B11" s="291" t="s">
        <v>1355</v>
      </c>
      <c r="C11" s="292" t="s">
        <v>9</v>
      </c>
      <c r="D11" s="295">
        <f ca="1">2%*D10</f>
        <v>2068267.3251150001</v>
      </c>
    </row>
    <row r="12" spans="2:11" ht="9" customHeight="1">
      <c r="B12" s="604"/>
      <c r="C12" s="604"/>
      <c r="D12" s="604"/>
    </row>
    <row r="13" spans="2:11" ht="15.75" customHeight="1">
      <c r="B13" s="299"/>
      <c r="C13" s="299"/>
      <c r="D13" s="299"/>
    </row>
    <row r="14" spans="2:11" ht="33.75" customHeight="1">
      <c r="B14" s="419" t="s">
        <v>1378</v>
      </c>
      <c r="C14" s="420" t="s">
        <v>9</v>
      </c>
      <c r="D14" s="425" t="s">
        <v>1632</v>
      </c>
      <c r="E14" s="300" t="s">
        <v>1452</v>
      </c>
    </row>
    <row r="15" spans="2:11" ht="20.100000000000001" customHeight="1">
      <c r="B15" s="421" t="s">
        <v>1446</v>
      </c>
      <c r="C15" s="422" t="s">
        <v>9</v>
      </c>
      <c r="D15" s="426" t="s">
        <v>1622</v>
      </c>
      <c r="E15" s="300" t="s">
        <v>1452</v>
      </c>
    </row>
    <row r="16" spans="2:11" ht="20.100000000000001" customHeight="1">
      <c r="B16" s="421" t="s">
        <v>1447</v>
      </c>
      <c r="C16" s="422" t="s">
        <v>9</v>
      </c>
      <c r="D16" s="426" t="s">
        <v>1450</v>
      </c>
      <c r="E16" s="300" t="s">
        <v>1452</v>
      </c>
    </row>
    <row r="17" spans="2:5" ht="20.100000000000001" customHeight="1">
      <c r="B17" s="421" t="s">
        <v>1448</v>
      </c>
      <c r="C17" s="422" t="s">
        <v>9</v>
      </c>
      <c r="D17" s="427">
        <v>0</v>
      </c>
      <c r="E17" s="300" t="s">
        <v>1452</v>
      </c>
    </row>
    <row r="18" spans="2:5" ht="20.100000000000001" hidden="1" customHeight="1">
      <c r="B18" s="421" t="s">
        <v>1545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1546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1449</v>
      </c>
      <c r="C20" s="422" t="s">
        <v>9</v>
      </c>
      <c r="D20" s="427">
        <v>105</v>
      </c>
      <c r="E20" s="300" t="s">
        <v>1452</v>
      </c>
    </row>
    <row r="21" spans="2:5" ht="20.100000000000001" customHeight="1">
      <c r="B21" s="421" t="s">
        <v>1545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1546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1352</v>
      </c>
      <c r="C23" s="422" t="s">
        <v>9</v>
      </c>
      <c r="D23" s="426">
        <v>1444.7</v>
      </c>
      <c r="E23" s="300" t="s">
        <v>1452</v>
      </c>
    </row>
    <row r="24" spans="2:5" ht="20.100000000000001" customHeight="1">
      <c r="B24" s="421" t="s">
        <v>1353</v>
      </c>
      <c r="C24" s="422" t="s">
        <v>9</v>
      </c>
      <c r="D24" s="426">
        <v>1444.7</v>
      </c>
      <c r="E24" s="300" t="s">
        <v>1452</v>
      </c>
    </row>
    <row r="25" spans="2:5" ht="20.100000000000001" customHeight="1">
      <c r="B25" s="421" t="s">
        <v>1451</v>
      </c>
      <c r="C25" s="422" t="s">
        <v>9</v>
      </c>
      <c r="D25" s="427">
        <v>775</v>
      </c>
      <c r="E25" s="300" t="s">
        <v>1452</v>
      </c>
    </row>
    <row r="26" spans="2:5" ht="20.100000000000001" customHeight="1">
      <c r="B26" s="423" t="s">
        <v>1354</v>
      </c>
      <c r="C26" s="424" t="s">
        <v>9</v>
      </c>
      <c r="D26" s="428">
        <v>40</v>
      </c>
      <c r="E26" s="300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M37" sqref="M37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1" t="s">
        <v>1356</v>
      </c>
      <c r="C3" s="611"/>
      <c r="D3" s="611"/>
      <c r="E3" s="611"/>
      <c r="F3" s="305" t="str">
        <f>DATA!D14</f>
        <v>AGR PUWANINGSIH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5" t="s">
        <v>1348</v>
      </c>
      <c r="C5" s="605" t="s">
        <v>1357</v>
      </c>
      <c r="D5" s="610" t="s">
        <v>1358</v>
      </c>
      <c r="E5" s="610" t="s">
        <v>1359</v>
      </c>
      <c r="F5" s="605" t="s">
        <v>1360</v>
      </c>
      <c r="G5" s="605"/>
      <c r="H5" s="605"/>
      <c r="I5" s="605"/>
      <c r="J5" s="605"/>
      <c r="K5" s="605" t="s">
        <v>1361</v>
      </c>
      <c r="L5" s="605"/>
      <c r="M5" s="307"/>
      <c r="N5" s="608" t="s">
        <v>1362</v>
      </c>
      <c r="O5" s="610" t="s">
        <v>1363</v>
      </c>
      <c r="P5" s="610" t="s">
        <v>1364</v>
      </c>
      <c r="Q5" s="610" t="s">
        <v>1365</v>
      </c>
      <c r="R5" s="308"/>
      <c r="S5" s="309"/>
      <c r="T5" s="606" t="s">
        <v>1366</v>
      </c>
      <c r="U5" s="310"/>
    </row>
    <row r="6" spans="1:21" ht="20.100000000000001" customHeight="1">
      <c r="B6" s="605"/>
      <c r="C6" s="605"/>
      <c r="D6" s="605"/>
      <c r="E6" s="605"/>
      <c r="F6" s="311" t="s">
        <v>1367</v>
      </c>
      <c r="G6" s="311" t="s">
        <v>1368</v>
      </c>
      <c r="H6" s="311" t="s">
        <v>1369</v>
      </c>
      <c r="I6" s="311" t="s">
        <v>1370</v>
      </c>
      <c r="J6" s="311" t="s">
        <v>1031</v>
      </c>
      <c r="K6" s="311" t="s">
        <v>1371</v>
      </c>
      <c r="L6" s="311" t="s">
        <v>1372</v>
      </c>
      <c r="M6" s="311" t="s">
        <v>1031</v>
      </c>
      <c r="N6" s="609"/>
      <c r="O6" s="605"/>
      <c r="P6" s="605"/>
      <c r="Q6" s="605"/>
      <c r="R6" s="308"/>
      <c r="S6" s="309"/>
      <c r="T6" s="605"/>
      <c r="U6" s="312"/>
    </row>
    <row r="7" spans="1:21" ht="20.100000000000001" customHeight="1">
      <c r="A7" s="313">
        <v>0</v>
      </c>
      <c r="B7" s="314">
        <v>2023</v>
      </c>
      <c r="C7" s="483">
        <f>DATA!D8*DATA!D26*8</f>
        <v>33600</v>
      </c>
      <c r="D7" s="316">
        <f>C7*4/24</f>
        <v>5600</v>
      </c>
      <c r="E7" s="316">
        <f>C7-D7</f>
        <v>28000</v>
      </c>
      <c r="F7" s="317">
        <f ca="1">DATA!D10/1000000</f>
        <v>103.41336625575001</v>
      </c>
      <c r="G7" s="318">
        <f ca="1">DATA!$D$11/1000000</f>
        <v>2.0682673251150003</v>
      </c>
      <c r="H7" s="318">
        <f>C7*DATA!$D$5/1000000</f>
        <v>36.426601541789225</v>
      </c>
      <c r="I7" s="318">
        <f>(C7*DATA!$D$5*DATA!$D$7)/1000000</f>
        <v>0.81959853469025756</v>
      </c>
      <c r="J7" s="316">
        <f ca="1">SUM(F7:I7)</f>
        <v>142.72783365734449</v>
      </c>
      <c r="K7" s="319">
        <f>DATA!D9/1000000</f>
        <v>81.375</v>
      </c>
      <c r="L7" s="316">
        <f>((D7*DATA!$D$23)/1000000)+((E7*DATA!$D$24)/1000000)</f>
        <v>48.541919999999998</v>
      </c>
      <c r="M7" s="316">
        <f>K7+L7</f>
        <v>129.91692</v>
      </c>
      <c r="N7" s="316">
        <f ca="1">M7-J7</f>
        <v>-12.810913657344486</v>
      </c>
      <c r="O7" s="314">
        <v>1</v>
      </c>
      <c r="P7" s="316">
        <f ca="1">O7*N7</f>
        <v>-12.810913657344486</v>
      </c>
      <c r="Q7" s="316">
        <f ca="1">P7</f>
        <v>-12.810913657344486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2.0682673251150003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57.937567439834226</v>
      </c>
      <c r="K8" s="321"/>
      <c r="L8" s="316">
        <f>((D8*DATA!$D$23)/1000000)+((E8*DATA!$D$24)/1000000)</f>
        <v>72.812879999999993</v>
      </c>
      <c r="M8" s="316">
        <f t="shared" ref="M8:M32" si="2">K8+L8</f>
        <v>72.812879999999993</v>
      </c>
      <c r="N8" s="316">
        <f ca="1">M8-J8</f>
        <v>14.875312560165767</v>
      </c>
      <c r="O8" s="315">
        <f>1/(1+'[93]Asumsi I'!$C$3)^(KKF!A8)</f>
        <v>0.89285714285714279</v>
      </c>
      <c r="P8" s="316">
        <f ca="1">O8*N8</f>
        <v>13.281529071576577</v>
      </c>
      <c r="Q8" s="316">
        <f ca="1">Q7+P8</f>
        <v>0.47061541423209086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2.0682673251150003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57.937567439834226</v>
      </c>
      <c r="K9" s="316"/>
      <c r="L9" s="316">
        <f>((D9*DATA!$D$23)/1000000)+((E9*DATA!$D$24)/1000000)</f>
        <v>72.812879999999993</v>
      </c>
      <c r="M9" s="316">
        <f t="shared" si="2"/>
        <v>72.812879999999993</v>
      </c>
      <c r="N9" s="316">
        <f t="shared" ref="N9:N32" ca="1" si="6">M9-J9</f>
        <v>14.875312560165767</v>
      </c>
      <c r="O9" s="322">
        <f>1/(1+'[93]Asumsi I'!$C$3)^(KKF!A9)</f>
        <v>0.79719387755102034</v>
      </c>
      <c r="P9" s="316">
        <f t="shared" ref="P9:P32" ca="1" si="7">O9*N9</f>
        <v>11.858508099621943</v>
      </c>
      <c r="Q9" s="316">
        <f ca="1">Q8+P9</f>
        <v>12.329123513854034</v>
      </c>
      <c r="S9" s="304" t="str">
        <f t="shared" ca="1" si="3"/>
        <v/>
      </c>
      <c r="T9" s="320">
        <f ca="1">IF(Q7&gt;=0,"",IF(Q9&lt;0,"",IF(Q9=0,A9,(A9-(Q9/N9)))))</f>
        <v>1.1711687761862639</v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2.0682673251150003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57.937567439834226</v>
      </c>
      <c r="K10" s="314"/>
      <c r="L10" s="316">
        <f>((D10*DATA!$D$23)/1000000)+((E10*DATA!$D$24)/1000000)</f>
        <v>72.812879999999993</v>
      </c>
      <c r="M10" s="316">
        <f t="shared" si="2"/>
        <v>72.812879999999993</v>
      </c>
      <c r="N10" s="316">
        <f t="shared" ca="1" si="6"/>
        <v>14.875312560165767</v>
      </c>
      <c r="O10" s="315">
        <f>1/(1+'[93]Asumsi I'!$C$3)^(KKF!A10)</f>
        <v>0.71178024781341087</v>
      </c>
      <c r="P10" s="316">
        <f t="shared" ca="1" si="7"/>
        <v>10.587953660376733</v>
      </c>
      <c r="Q10" s="316">
        <f t="shared" ref="Q10:Q30" ca="1" si="9">Q9+P10</f>
        <v>22.917077174230769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2.0682673251150003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57.937567439834226</v>
      </c>
      <c r="K11" s="314"/>
      <c r="L11" s="316">
        <f>((D11*DATA!$D$23)/1000000)+((E11*DATA!$D$24)/1000000)</f>
        <v>72.812879999999993</v>
      </c>
      <c r="M11" s="316">
        <f t="shared" si="2"/>
        <v>72.812879999999993</v>
      </c>
      <c r="N11" s="316">
        <f t="shared" ca="1" si="6"/>
        <v>14.875312560165767</v>
      </c>
      <c r="O11" s="315">
        <f>1/(1+'[93]Asumsi I'!$C$3)^(KKF!A11)</f>
        <v>0.63551807840483121</v>
      </c>
      <c r="P11" s="316">
        <f t="shared" ca="1" si="7"/>
        <v>9.453530053907798</v>
      </c>
      <c r="Q11" s="316">
        <f t="shared" ca="1" si="9"/>
        <v>32.370607228138567</v>
      </c>
      <c r="S11" s="304" t="str">
        <f t="shared" ca="1" si="3"/>
        <v/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2.0682673251150003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57.937567439834226</v>
      </c>
      <c r="K12" s="314"/>
      <c r="L12" s="316">
        <f>((D12*DATA!$D$23)/1000000)+((E12*DATA!$D$24)/1000000)</f>
        <v>72.812879999999993</v>
      </c>
      <c r="M12" s="316">
        <f t="shared" si="2"/>
        <v>72.812879999999993</v>
      </c>
      <c r="N12" s="316">
        <f t="shared" ca="1" si="6"/>
        <v>14.875312560165767</v>
      </c>
      <c r="O12" s="315">
        <f>1/(1+'[93]Asumsi I'!$C$3)^(KKF!A12)</f>
        <v>0.56742685571859919</v>
      </c>
      <c r="P12" s="316">
        <f t="shared" ca="1" si="7"/>
        <v>8.440651833846248</v>
      </c>
      <c r="Q12" s="316">
        <f t="shared" ca="1" si="9"/>
        <v>40.811259061984813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2.0682673251150003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57.937567439834226</v>
      </c>
      <c r="K13" s="314"/>
      <c r="L13" s="316">
        <f>((D13*DATA!$D$23)/1000000)+((E13*DATA!$D$24)/1000000)</f>
        <v>72.812879999999993</v>
      </c>
      <c r="M13" s="316">
        <f t="shared" si="2"/>
        <v>72.812879999999993</v>
      </c>
      <c r="N13" s="316">
        <f t="shared" ca="1" si="6"/>
        <v>14.875312560165767</v>
      </c>
      <c r="O13" s="315">
        <f>1/(1+'[93]Asumsi I'!$C$3)^(KKF!A13)</f>
        <v>0.50663112117732068</v>
      </c>
      <c r="P13" s="316">
        <f t="shared" ca="1" si="7"/>
        <v>7.5362962802198634</v>
      </c>
      <c r="Q13" s="316">
        <f t="shared" ca="1" si="9"/>
        <v>48.347555342204679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2.0682673251150003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57.937567439834226</v>
      </c>
      <c r="K14" s="314"/>
      <c r="L14" s="316">
        <f>((D14*DATA!$D$23)/1000000)+((E14*DATA!$D$24)/1000000)</f>
        <v>72.812879999999993</v>
      </c>
      <c r="M14" s="316">
        <f t="shared" si="2"/>
        <v>72.812879999999993</v>
      </c>
      <c r="N14" s="316">
        <f t="shared" ca="1" si="6"/>
        <v>14.875312560165767</v>
      </c>
      <c r="O14" s="315">
        <f>1/(1+'[93]Asumsi I'!$C$3)^(KKF!A14)</f>
        <v>0.45234921533689343</v>
      </c>
      <c r="P14" s="316">
        <f t="shared" ca="1" si="7"/>
        <v>6.7288359644820197</v>
      </c>
      <c r="Q14" s="316">
        <f t="shared" ca="1" si="9"/>
        <v>55.076391306686702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2.0682673251150003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57.937567439834226</v>
      </c>
      <c r="K15" s="314"/>
      <c r="L15" s="316">
        <f>((D15*DATA!$D$23)/1000000)+((E15*DATA!$D$24)/1000000)</f>
        <v>72.812879999999993</v>
      </c>
      <c r="M15" s="316">
        <f t="shared" si="2"/>
        <v>72.812879999999993</v>
      </c>
      <c r="N15" s="316">
        <f t="shared" ca="1" si="6"/>
        <v>14.875312560165767</v>
      </c>
      <c r="O15" s="315">
        <f>1/(1+'[93]Asumsi I'!$C$3)^(KKF!A15)</f>
        <v>0.4038832279793691</v>
      </c>
      <c r="P15" s="316">
        <f t="shared" ca="1" si="7"/>
        <v>6.0078892540018032</v>
      </c>
      <c r="Q15" s="316">
        <f t="shared" ca="1" si="9"/>
        <v>61.084280560688505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2.0682673251150003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57.937567439834226</v>
      </c>
      <c r="K16" s="314"/>
      <c r="L16" s="316">
        <f>((D16*DATA!$D$23)/1000000)+((E16*DATA!$D$24)/1000000)</f>
        <v>72.812879999999993</v>
      </c>
      <c r="M16" s="316">
        <f t="shared" si="2"/>
        <v>72.812879999999993</v>
      </c>
      <c r="N16" s="316">
        <f t="shared" ca="1" si="6"/>
        <v>14.875312560165767</v>
      </c>
      <c r="O16" s="315">
        <f>1/(1+'[93]Asumsi I'!$C$3)^(KKF!A16)</f>
        <v>0.36061002498157957</v>
      </c>
      <c r="P16" s="316">
        <f t="shared" ca="1" si="7"/>
        <v>5.3641868339301819</v>
      </c>
      <c r="Q16" s="316">
        <f t="shared" ca="1" si="9"/>
        <v>66.448467394618689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2.0682673251150003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57.937567439834226</v>
      </c>
      <c r="K17" s="314"/>
      <c r="L17" s="316">
        <f>((D17*DATA!$D$23)/1000000)+((E17*DATA!$D$24)/1000000)</f>
        <v>72.812879999999993</v>
      </c>
      <c r="M17" s="316">
        <f t="shared" si="2"/>
        <v>72.812879999999993</v>
      </c>
      <c r="N17" s="316">
        <f t="shared" ca="1" si="6"/>
        <v>14.875312560165767</v>
      </c>
      <c r="O17" s="315">
        <f>1/(1+'[93]Asumsi I'!$C$3)^(KKF!A17)</f>
        <v>0.32197323659069599</v>
      </c>
      <c r="P17" s="316">
        <f t="shared" ca="1" si="7"/>
        <v>4.7894525302948043</v>
      </c>
      <c r="Q17" s="316">
        <f t="shared" ca="1" si="9"/>
        <v>71.237919924913498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2.0682673251150003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57.937567439834226</v>
      </c>
      <c r="K18" s="314"/>
      <c r="L18" s="316">
        <f>((D18*DATA!$D$23)/1000000)+((E18*DATA!$D$24)/1000000)</f>
        <v>72.812879999999993</v>
      </c>
      <c r="M18" s="316">
        <f t="shared" si="2"/>
        <v>72.812879999999993</v>
      </c>
      <c r="N18" s="316">
        <f t="shared" ca="1" si="6"/>
        <v>14.875312560165767</v>
      </c>
      <c r="O18" s="315">
        <f>1/(1+'[93]Asumsi I'!$C$3)^(KKF!A18)</f>
        <v>0.28747610409883567</v>
      </c>
      <c r="P18" s="316">
        <f t="shared" ca="1" si="7"/>
        <v>4.2762969020489319</v>
      </c>
      <c r="Q18" s="316">
        <f t="shared" ca="1" si="9"/>
        <v>75.514216826962425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2.0682673251150003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57.937567439834226</v>
      </c>
      <c r="K19" s="314"/>
      <c r="L19" s="316">
        <f>((D19*DATA!$D$23)/1000000)+((E19*DATA!$D$24)/1000000)</f>
        <v>72.812879999999993</v>
      </c>
      <c r="M19" s="316">
        <f t="shared" si="2"/>
        <v>72.812879999999993</v>
      </c>
      <c r="N19" s="316">
        <f t="shared" ca="1" si="6"/>
        <v>14.875312560165767</v>
      </c>
      <c r="O19" s="315">
        <f>1/(1+'[93]Asumsi I'!$C$3)^(KKF!A19)</f>
        <v>0.25667509294538904</v>
      </c>
      <c r="P19" s="316">
        <f t="shared" ca="1" si="7"/>
        <v>3.8181222339722614</v>
      </c>
      <c r="Q19" s="316">
        <f t="shared" ca="1" si="9"/>
        <v>79.332339060934686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2.0682673251150003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57.937567439834226</v>
      </c>
      <c r="K20" s="314"/>
      <c r="L20" s="316">
        <f>((D20*DATA!$D$23)/1000000)+((E20*DATA!$D$24)/1000000)</f>
        <v>72.812879999999993</v>
      </c>
      <c r="M20" s="316">
        <f t="shared" si="2"/>
        <v>72.812879999999993</v>
      </c>
      <c r="N20" s="316">
        <f t="shared" ca="1" si="6"/>
        <v>14.875312560165767</v>
      </c>
      <c r="O20" s="315">
        <f>1/(1+'[93]Asumsi I'!$C$3)^(KKF!A20)</f>
        <v>0.22917419012981158</v>
      </c>
      <c r="P20" s="316">
        <f t="shared" ca="1" si="7"/>
        <v>3.4090377089038038</v>
      </c>
      <c r="Q20" s="316">
        <f t="shared" ca="1" si="9"/>
        <v>82.741376769838496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2.0682673251150003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57.937567439834226</v>
      </c>
      <c r="K21" s="314"/>
      <c r="L21" s="316">
        <f>((D21*DATA!$D$23)/1000000)+((E21*DATA!$D$24)/1000000)</f>
        <v>72.812879999999993</v>
      </c>
      <c r="M21" s="316">
        <f t="shared" si="2"/>
        <v>72.812879999999993</v>
      </c>
      <c r="N21" s="316">
        <f t="shared" ca="1" si="6"/>
        <v>14.875312560165767</v>
      </c>
      <c r="O21" s="315">
        <f>1/(1+'[93]Asumsi I'!$C$3)^(KKF!A21)</f>
        <v>0.20461981261590317</v>
      </c>
      <c r="P21" s="316">
        <f t="shared" ca="1" si="7"/>
        <v>3.0437836686641102</v>
      </c>
      <c r="Q21" s="316">
        <f t="shared" ca="1" si="9"/>
        <v>85.785160438502601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2.0682673251150003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57.937567439834226</v>
      </c>
      <c r="K22" s="314"/>
      <c r="L22" s="316">
        <f>((D22*DATA!$D$23)/1000000)+((E22*DATA!$D$24)/1000000)</f>
        <v>72.812879999999993</v>
      </c>
      <c r="M22" s="316">
        <f t="shared" si="2"/>
        <v>72.812879999999993</v>
      </c>
      <c r="N22" s="316">
        <f t="shared" ca="1" si="6"/>
        <v>14.875312560165767</v>
      </c>
      <c r="O22" s="315">
        <f>1/(1+'[93]Asumsi I'!$C$3)^(KKF!A22)</f>
        <v>0.18269626126419927</v>
      </c>
      <c r="P22" s="316">
        <f t="shared" ca="1" si="7"/>
        <v>2.7176639898786701</v>
      </c>
      <c r="Q22" s="316">
        <f t="shared" ca="1" si="9"/>
        <v>88.502824428381274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2.0682673251150003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57.937567439834226</v>
      </c>
      <c r="K23" s="314"/>
      <c r="L23" s="316">
        <f>((D23*DATA!$D$23)/1000000)+((E23*DATA!$D$24)/1000000)</f>
        <v>72.812879999999993</v>
      </c>
      <c r="M23" s="316">
        <f t="shared" si="2"/>
        <v>72.812879999999993</v>
      </c>
      <c r="N23" s="316">
        <f t="shared" ca="1" si="6"/>
        <v>14.875312560165767</v>
      </c>
      <c r="O23" s="315">
        <f>1/(1+'[93]Asumsi I'!$C$3)^(KKF!A23)</f>
        <v>0.16312166184303503</v>
      </c>
      <c r="P23" s="316">
        <f t="shared" ca="1" si="7"/>
        <v>2.4264857052488118</v>
      </c>
      <c r="Q23" s="316">
        <f t="shared" ca="1" si="9"/>
        <v>90.929310133630082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2.0682673251150003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57.937567439834226</v>
      </c>
      <c r="K24" s="314"/>
      <c r="L24" s="316">
        <f>((D24*DATA!$D$23)/1000000)+((E24*DATA!$D$24)/1000000)</f>
        <v>72.812879999999993</v>
      </c>
      <c r="M24" s="316">
        <f t="shared" si="2"/>
        <v>72.812879999999993</v>
      </c>
      <c r="N24" s="316">
        <f t="shared" ca="1" si="6"/>
        <v>14.875312560165767</v>
      </c>
      <c r="O24" s="315">
        <f>1/(1+'[93]Asumsi I'!$C$3)^(KKF!A24)</f>
        <v>0.14564434093128129</v>
      </c>
      <c r="P24" s="316">
        <f t="shared" ca="1" si="7"/>
        <v>2.1665050939721535</v>
      </c>
      <c r="Q24" s="316">
        <f t="shared" ca="1" si="9"/>
        <v>93.09581522760223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2.0682673251150003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57.937567439834226</v>
      </c>
      <c r="K25" s="314"/>
      <c r="L25" s="316">
        <f>((D25*DATA!$D$23)/1000000)+((E25*DATA!$D$24)/1000000)</f>
        <v>72.812879999999993</v>
      </c>
      <c r="M25" s="316">
        <f t="shared" si="2"/>
        <v>72.812879999999993</v>
      </c>
      <c r="N25" s="316">
        <f t="shared" ca="1" si="6"/>
        <v>14.875312560165767</v>
      </c>
      <c r="O25" s="315">
        <f>1/(1+'[93]Asumsi I'!$C$3)^(KKF!A25)</f>
        <v>0.13003959011721541</v>
      </c>
      <c r="P25" s="316">
        <f t="shared" ca="1" si="7"/>
        <v>1.9343795481894226</v>
      </c>
      <c r="Q25" s="316">
        <f t="shared" ca="1" si="9"/>
        <v>95.030194775791657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2.0682673251150003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57.937567439834226</v>
      </c>
      <c r="K26" s="314"/>
      <c r="L26" s="316">
        <f>((D26*DATA!$D$23)/1000000)+((E26*DATA!$D$24)/1000000)</f>
        <v>72.812879999999993</v>
      </c>
      <c r="M26" s="316">
        <f t="shared" si="2"/>
        <v>72.812879999999993</v>
      </c>
      <c r="N26" s="316">
        <f t="shared" ca="1" si="6"/>
        <v>14.875312560165767</v>
      </c>
      <c r="O26" s="315">
        <f>1/(1+'[93]Asumsi I'!$C$3)^(KKF!A26)</f>
        <v>0.1161067768903709</v>
      </c>
      <c r="P26" s="316">
        <f t="shared" ca="1" si="7"/>
        <v>1.7271245965976987</v>
      </c>
      <c r="Q26" s="316">
        <f t="shared" ca="1" si="9"/>
        <v>96.757319372389361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2.0682673251150003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57.937567439834226</v>
      </c>
      <c r="K27" s="314"/>
      <c r="L27" s="316">
        <f>((D27*DATA!$D$23)/1000000)+((E27*DATA!$D$24)/1000000)</f>
        <v>72.812879999999993</v>
      </c>
      <c r="M27" s="316">
        <f t="shared" si="2"/>
        <v>72.812879999999993</v>
      </c>
      <c r="N27" s="316">
        <f t="shared" ca="1" si="6"/>
        <v>14.875312560165767</v>
      </c>
      <c r="O27" s="315">
        <f>1/(1+'[93]Asumsi I'!$C$3)^(KKF!A27)</f>
        <v>0.1036667650806883</v>
      </c>
      <c r="P27" s="316">
        <f t="shared" ca="1" si="7"/>
        <v>1.5420755326765165</v>
      </c>
      <c r="Q27" s="316">
        <f t="shared" ca="1" si="9"/>
        <v>98.299394905065881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2.0682673251150003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57.937567439834226</v>
      </c>
      <c r="K28" s="314"/>
      <c r="L28" s="316">
        <f>((D28*DATA!$D$23)/1000000)+((E28*DATA!$D$24)/1000000)</f>
        <v>72.812879999999993</v>
      </c>
      <c r="M28" s="316">
        <f t="shared" si="2"/>
        <v>72.812879999999993</v>
      </c>
      <c r="N28" s="316">
        <f t="shared" ca="1" si="6"/>
        <v>14.875312560165767</v>
      </c>
      <c r="O28" s="315">
        <f>1/(1+'[93]Asumsi I'!$C$3)^(KKF!A28)</f>
        <v>9.2559611679185971E-2</v>
      </c>
      <c r="P28" s="316">
        <f t="shared" ca="1" si="7"/>
        <v>1.3768531541754612</v>
      </c>
      <c r="Q28" s="316">
        <f t="shared" ca="1" si="9"/>
        <v>99.676248059241345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2.0682673251150003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57.937567439834226</v>
      </c>
      <c r="K29" s="314"/>
      <c r="L29" s="316">
        <f>((D29*DATA!$D$23)/1000000)+((E29*DATA!$D$24)/1000000)</f>
        <v>72.812879999999993</v>
      </c>
      <c r="M29" s="316">
        <f t="shared" si="2"/>
        <v>72.812879999999993</v>
      </c>
      <c r="N29" s="316">
        <f t="shared" ca="1" si="6"/>
        <v>14.875312560165767</v>
      </c>
      <c r="O29" s="315">
        <f>1/(1+'[93]Asumsi I'!$C$3)^(KKF!A29)</f>
        <v>8.2642510427844609E-2</v>
      </c>
      <c r="P29" s="316">
        <f t="shared" ca="1" si="7"/>
        <v>1.2293331733709474</v>
      </c>
      <c r="Q29" s="316">
        <f t="shared" ca="1" si="9"/>
        <v>100.90558123261229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2.0682673251150003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57.937567439834226</v>
      </c>
      <c r="K30" s="314"/>
      <c r="L30" s="316">
        <f>((D30*DATA!$D$23)/1000000)+((E30*DATA!$D$24)/1000000)</f>
        <v>72.812879999999993</v>
      </c>
      <c r="M30" s="316">
        <f t="shared" si="2"/>
        <v>72.812879999999993</v>
      </c>
      <c r="N30" s="316">
        <f t="shared" ca="1" si="6"/>
        <v>14.875312560165767</v>
      </c>
      <c r="O30" s="315">
        <f>1/(1+'[93]Asumsi I'!$C$3)^(KKF!A30)</f>
        <v>7.3787955739146982E-2</v>
      </c>
      <c r="P30" s="316">
        <f t="shared" ca="1" si="7"/>
        <v>1.0976189047954887</v>
      </c>
      <c r="Q30" s="316">
        <f t="shared" ca="1" si="9"/>
        <v>102.00320013740777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2.0682673251150003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57.937567439834226</v>
      </c>
      <c r="K31" s="314"/>
      <c r="L31" s="316">
        <f>((D31*DATA!$D$23)/1000000)+((E31*DATA!$D$24)/1000000)</f>
        <v>72.812879999999993</v>
      </c>
      <c r="M31" s="316">
        <f t="shared" si="2"/>
        <v>72.812879999999993</v>
      </c>
      <c r="N31" s="316">
        <f t="shared" ca="1" si="6"/>
        <v>14.875312560165767</v>
      </c>
      <c r="O31" s="315">
        <f>1/(1+'[93]Asumsi I'!$C$3)^(KKF!A31)</f>
        <v>6.5882103338524081E-2</v>
      </c>
      <c r="P31" s="316">
        <f t="shared" ca="1" si="7"/>
        <v>0.98001687928168624</v>
      </c>
      <c r="Q31" s="316">
        <f ca="1">Q30+P31</f>
        <v>102.98321701668947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2.0682673251150003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57.937567439834226</v>
      </c>
      <c r="K32" s="314"/>
      <c r="L32" s="316">
        <f>((D32*DATA!$D$23)/1000000)+((E32*DATA!$D$24)/1000000)</f>
        <v>72.812879999999993</v>
      </c>
      <c r="M32" s="316">
        <f t="shared" si="2"/>
        <v>72.812879999999993</v>
      </c>
      <c r="N32" s="316">
        <f t="shared" ca="1" si="6"/>
        <v>14.875312560165767</v>
      </c>
      <c r="O32" s="315">
        <f>1/(1+'[93]Asumsi I'!$C$3)^(KKF!A32)</f>
        <v>5.8823306552253637E-2</v>
      </c>
      <c r="P32" s="316">
        <f t="shared" ca="1" si="7"/>
        <v>0.87501507078721985</v>
      </c>
      <c r="Q32" s="316">
        <f ca="1">Q31+P32</f>
        <v>103.85823208747668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7" t="s">
        <v>1373</v>
      </c>
      <c r="G33" s="607"/>
      <c r="H33" s="607"/>
      <c r="I33" s="324"/>
      <c r="J33" s="325">
        <f ca="1">SUM(J7:J32)</f>
        <v>1591.1670196532007</v>
      </c>
      <c r="K33" s="607" t="s">
        <v>1374</v>
      </c>
      <c r="L33" s="607"/>
      <c r="M33" s="325">
        <f>SUM(M7:M32)</f>
        <v>1950.2389199999991</v>
      </c>
      <c r="N33" s="323"/>
      <c r="O33" s="323"/>
      <c r="P33" s="326"/>
      <c r="Q33" s="326"/>
      <c r="S33" s="304">
        <f ca="1">COUNTIF(S7:S32,"a")</f>
        <v>1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1375</v>
      </c>
      <c r="Q34" s="330">
        <f ca="1">+J7/N32</f>
        <v>9.5949468678427525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1376</v>
      </c>
      <c r="Q35" s="332">
        <f ca="1">AVERAGE(T7:T32)</f>
        <v>1.1711687761862639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1377</v>
      </c>
      <c r="Q36" s="333">
        <f ca="1">M33/J33</f>
        <v>1.225665750931074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1027</v>
      </c>
      <c r="Q37" s="334">
        <f ca="1">+NPV(0.12,N7:N32)</f>
        <v>92.730564363818431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1028</v>
      </c>
      <c r="Q38" s="335">
        <f ca="1">IRR(N7:N32,DATA!D4)</f>
        <v>1.1611437633690023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4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G6" sqref="G6:K6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1008</v>
      </c>
      <c r="D1" s="339"/>
      <c r="U1" s="336"/>
    </row>
    <row r="2" spans="1:22">
      <c r="C2" s="338" t="s">
        <v>1347</v>
      </c>
      <c r="D2" s="339"/>
      <c r="T2" s="344"/>
      <c r="U2" s="345" t="s">
        <v>1035</v>
      </c>
      <c r="V2" s="344"/>
    </row>
    <row r="3" spans="1:22">
      <c r="C3" s="338" t="s">
        <v>1439</v>
      </c>
      <c r="D3" s="339"/>
      <c r="O3" s="630" t="s">
        <v>1035</v>
      </c>
      <c r="P3" s="630"/>
      <c r="Q3" s="346"/>
      <c r="T3" s="344"/>
      <c r="U3" s="345" t="s">
        <v>1040</v>
      </c>
      <c r="V3" s="344"/>
    </row>
    <row r="4" spans="1:22" ht="18.75">
      <c r="B4" s="631" t="s">
        <v>1022</v>
      </c>
      <c r="C4" s="631"/>
      <c r="D4" s="631"/>
      <c r="E4" s="631"/>
      <c r="F4" s="631"/>
      <c r="G4" s="631"/>
      <c r="H4" s="631"/>
      <c r="I4" s="631"/>
      <c r="J4" s="631"/>
      <c r="K4" s="631"/>
      <c r="O4" s="630"/>
      <c r="P4" s="63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1036</v>
      </c>
      <c r="F6" s="349" t="s">
        <v>9</v>
      </c>
      <c r="G6" s="614" t="str">
        <f>DATA!D14</f>
        <v>AGR PUWANINGSIH</v>
      </c>
      <c r="H6" s="614"/>
      <c r="I6" s="614"/>
      <c r="J6" s="614"/>
      <c r="K6" s="614"/>
      <c r="T6" s="344"/>
      <c r="U6" s="345"/>
      <c r="V6" s="344"/>
    </row>
    <row r="7" spans="1:22">
      <c r="C7" s="347"/>
      <c r="D7" s="339"/>
      <c r="E7" s="348" t="s">
        <v>1037</v>
      </c>
      <c r="F7" s="349" t="s">
        <v>9</v>
      </c>
      <c r="G7" s="348" t="s">
        <v>1629</v>
      </c>
      <c r="J7" s="350"/>
      <c r="T7" s="344"/>
      <c r="U7" s="345"/>
      <c r="V7" s="344"/>
    </row>
    <row r="8" spans="1:22">
      <c r="C8" s="347"/>
      <c r="D8" s="339"/>
      <c r="E8" s="348" t="s">
        <v>1038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1039</v>
      </c>
      <c r="F9" s="349" t="s">
        <v>9</v>
      </c>
      <c r="G9" s="348" t="s">
        <v>1552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33" t="s">
        <v>0</v>
      </c>
      <c r="C11" s="635" t="s">
        <v>1</v>
      </c>
      <c r="D11" s="624" t="s">
        <v>42</v>
      </c>
      <c r="E11" s="624" t="s">
        <v>43</v>
      </c>
      <c r="F11" s="624" t="s">
        <v>2</v>
      </c>
      <c r="G11" s="638" t="s">
        <v>41</v>
      </c>
      <c r="H11" s="624" t="s">
        <v>3</v>
      </c>
      <c r="I11" s="624"/>
      <c r="J11" s="624"/>
      <c r="K11" s="625"/>
      <c r="O11" s="351"/>
      <c r="P11" s="352"/>
      <c r="Q11" s="351"/>
      <c r="S11" s="353"/>
      <c r="T11" s="354"/>
      <c r="U11" s="354"/>
      <c r="V11" s="354"/>
    </row>
    <row r="12" spans="1:22">
      <c r="B12" s="634"/>
      <c r="C12" s="636"/>
      <c r="D12" s="628"/>
      <c r="E12" s="628"/>
      <c r="F12" s="628"/>
      <c r="G12" s="639"/>
      <c r="H12" s="626" t="s">
        <v>46</v>
      </c>
      <c r="I12" s="626" t="s">
        <v>5</v>
      </c>
      <c r="J12" s="628" t="s">
        <v>47</v>
      </c>
      <c r="K12" s="629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34"/>
      <c r="C13" s="637"/>
      <c r="D13" s="628"/>
      <c r="E13" s="628"/>
      <c r="F13" s="628"/>
      <c r="G13" s="640"/>
      <c r="H13" s="627"/>
      <c r="I13" s="627"/>
      <c r="J13" s="628"/>
      <c r="K13" s="629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1454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0" ca="1" si="8">IF(OR(D16="MDU",D16="MDU-KD"),(IF($O$3="RAB NON MDU","PLN KD",G16*F16)),0)</f>
        <v>0</v>
      </c>
      <c r="I16" s="361">
        <f t="shared" ref="I16:I20" ca="1" si="9">IF(D16="HDW",G16*F16,0)</f>
        <v>0</v>
      </c>
      <c r="J16" s="361">
        <f t="shared" ref="J16:J20" ca="1" si="10">IF(D16="JASA",G16*F16,0)</f>
        <v>0</v>
      </c>
      <c r="K16" s="362">
        <f t="shared" ref="K16:K20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461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Set</v>
      </c>
      <c r="F17" s="505">
        <v>1</v>
      </c>
      <c r="G17" s="360">
        <f ca="1">IF(ISERROR(OFFSET('HARGA SATUAN'!$I$6,MATCH(RAB!C17,'HARGA SATUAN'!$C$7:$C$1492,0),0)),0,OFFSET('HARGA SATUAN'!$I$6,MATCH(RAB!C17,'HARGA SATUAN'!$C$7:$C$1492,0),0))</f>
        <v>200000</v>
      </c>
      <c r="H17" s="361">
        <f t="shared" ca="1" si="8"/>
        <v>0</v>
      </c>
      <c r="I17" s="361">
        <f t="shared" ca="1" si="9"/>
        <v>200000</v>
      </c>
      <c r="J17" s="361">
        <f t="shared" ca="1" si="10"/>
        <v>0</v>
      </c>
      <c r="K17" s="362">
        <f t="shared" ca="1" si="11"/>
        <v>200000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/>
      <c r="C18" s="357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8"/>
        <v>0</v>
      </c>
      <c r="I18" s="361">
        <f t="shared" ca="1" si="9"/>
        <v>0</v>
      </c>
      <c r="J18" s="361">
        <f t="shared" ca="1" si="10"/>
        <v>0</v>
      </c>
      <c r="K18" s="362">
        <f t="shared" ca="1" si="11"/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 t="e">
        <f>IF(AND(C19=0,#REF!=0,#REF!=0),"BLANKS",1)</f>
        <v>#REF!</v>
      </c>
      <c r="B19" s="371" t="s">
        <v>1455</v>
      </c>
      <c r="C19" s="372" t="s">
        <v>1623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498"/>
      <c r="C20" s="49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65" customFormat="1">
      <c r="A21" s="336"/>
      <c r="B21" s="506"/>
      <c r="C21" s="507"/>
      <c r="D21" s="358"/>
      <c r="E21" s="359"/>
      <c r="F21" s="484"/>
      <c r="G21" s="360"/>
      <c r="H21" s="361"/>
      <c r="I21" s="361"/>
      <c r="J21" s="361"/>
      <c r="K21" s="362"/>
      <c r="L21" s="342"/>
      <c r="M21" s="342"/>
      <c r="N21" s="369"/>
      <c r="O21" s="344"/>
      <c r="P21" s="344"/>
      <c r="Q21" s="398"/>
      <c r="R21" s="344"/>
      <c r="S21" s="398"/>
      <c r="T21" s="399"/>
      <c r="U21" s="399"/>
      <c r="V21" s="399"/>
    </row>
    <row r="22" spans="1:22" s="365" customFormat="1">
      <c r="A22" s="336"/>
      <c r="B22" s="373" t="s">
        <v>1548</v>
      </c>
      <c r="C22" s="374" t="s">
        <v>1618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484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4" ca="1" si="12">IF(OR(D22="MDU",D22="MDU-KD"),(IF($O$3="RAB NON MDU","PLN KD",G22*F22)),0)</f>
        <v>0</v>
      </c>
      <c r="I22" s="361">
        <f t="shared" ref="I22:I24" ca="1" si="13">IF(D22="HDW",G22*F22,0)</f>
        <v>0</v>
      </c>
      <c r="J22" s="361">
        <f t="shared" ref="J22:J24" ca="1" si="14">IF(D22="JASA",G22*F22,0)</f>
        <v>0</v>
      </c>
      <c r="K22" s="362">
        <f t="shared" ref="K22:K24" ca="1" si="15">SUM(H22:J22)</f>
        <v>0</v>
      </c>
      <c r="L22" s="342"/>
      <c r="M22" s="342"/>
      <c r="N22" s="369"/>
      <c r="O22" s="344"/>
      <c r="P22" s="344"/>
      <c r="Q22" s="398"/>
      <c r="R22" s="344"/>
      <c r="S22" s="398"/>
      <c r="T22" s="399"/>
      <c r="U22" s="399"/>
      <c r="V22" s="399"/>
    </row>
    <row r="23" spans="1:22" s="365" customFormat="1">
      <c r="A23" s="336"/>
      <c r="B23" s="373"/>
      <c r="C23" s="374"/>
      <c r="D23" s="358"/>
      <c r="E23" s="359"/>
      <c r="F23" s="484"/>
      <c r="G23" s="360"/>
      <c r="H23" s="361"/>
      <c r="I23" s="361"/>
      <c r="J23" s="361"/>
      <c r="K23" s="362"/>
      <c r="L23" s="342"/>
      <c r="M23" s="342"/>
      <c r="N23" s="369"/>
      <c r="O23" s="344"/>
      <c r="P23" s="344"/>
      <c r="Q23" s="398"/>
      <c r="R23" s="344"/>
      <c r="S23" s="398"/>
      <c r="T23" s="399"/>
      <c r="U23" s="399"/>
      <c r="V23" s="399"/>
    </row>
    <row r="24" spans="1:22" s="365" customFormat="1">
      <c r="A24" s="336"/>
      <c r="B24" s="711" t="s">
        <v>1034</v>
      </c>
      <c r="C24" s="712" t="s">
        <v>1630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4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  <c r="L24" s="342"/>
      <c r="M24" s="342"/>
      <c r="N24" s="369"/>
      <c r="O24" s="344"/>
      <c r="P24" s="344"/>
      <c r="Q24" s="398"/>
      <c r="R24" s="344"/>
      <c r="S24" s="398"/>
      <c r="T24" s="399"/>
      <c r="U24" s="399"/>
      <c r="V24" s="399"/>
    </row>
    <row r="25" spans="1:22" s="365" customFormat="1">
      <c r="A25" s="336"/>
      <c r="B25" s="711">
        <v>1</v>
      </c>
      <c r="C25" s="109" t="s">
        <v>1146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84">
        <f>F24*1</f>
        <v>1</v>
      </c>
      <c r="G25" s="360">
        <f ca="1">IF(ISERROR(OFFSET('HARGA SATUAN'!$I$6,MATCH(RAB!C25,'HARGA SATUAN'!$C$7:$C$1492,0),0)),0,OFFSET('HARGA SATUAN'!$I$6,MATCH(RAB!C25,'HARGA SATUAN'!$C$7:$C$1492,0),0))</f>
        <v>56838600</v>
      </c>
      <c r="H25" s="361">
        <f t="shared" ref="H25:H83" ca="1" si="16">IF(OR(D25="MDU",D25="MDU-KD"),(IF($O$3="RAB NON MDU","PLN KD",G25*F25)),0)</f>
        <v>56838600</v>
      </c>
      <c r="I25" s="361">
        <f t="shared" ref="I25:I83" ca="1" si="17">IF(D25="HDW",G25*F25,0)</f>
        <v>0</v>
      </c>
      <c r="J25" s="361">
        <f t="shared" ref="J25:J83" ca="1" si="18">IF(D25="JASA",G25*F25,0)</f>
        <v>0</v>
      </c>
      <c r="K25" s="362">
        <f t="shared" ref="K25:K83" ca="1" si="19">SUM(H25:J25)</f>
        <v>56838600</v>
      </c>
      <c r="L25" s="342"/>
      <c r="M25" s="342"/>
      <c r="N25" s="369"/>
      <c r="O25" s="344"/>
      <c r="P25" s="344"/>
      <c r="Q25" s="344"/>
      <c r="R25" s="344"/>
      <c r="S25" s="344"/>
      <c r="T25" s="403"/>
      <c r="U25" s="403"/>
      <c r="V25" s="403"/>
    </row>
    <row r="26" spans="1:22" s="365" customFormat="1">
      <c r="A26" s="336"/>
      <c r="B26" s="509">
        <v>2</v>
      </c>
      <c r="C26" s="510" t="s">
        <v>1624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511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16"/>
        <v>0</v>
      </c>
      <c r="I26" s="361">
        <f t="shared" ca="1" si="17"/>
        <v>0</v>
      </c>
      <c r="J26" s="361">
        <f t="shared" ca="1" si="18"/>
        <v>0</v>
      </c>
      <c r="K26" s="362">
        <f t="shared" ca="1" si="19"/>
        <v>0</v>
      </c>
      <c r="L26" s="342"/>
      <c r="M26" s="342"/>
      <c r="N26" s="369"/>
      <c r="O26" s="344"/>
      <c r="P26" s="344"/>
      <c r="Q26" s="344"/>
      <c r="R26" s="344"/>
      <c r="S26" s="344"/>
      <c r="T26" s="399"/>
      <c r="U26" s="399"/>
      <c r="V26" s="399"/>
    </row>
    <row r="27" spans="1:22" s="365" customFormat="1">
      <c r="A27" s="336"/>
      <c r="B27" s="711"/>
      <c r="C27" s="510" t="s">
        <v>65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Mtr</v>
      </c>
      <c r="F27" s="484">
        <f>F24*(3*3)</f>
        <v>9</v>
      </c>
      <c r="G27" s="360">
        <f ca="1">IF(ISERROR(OFFSET('HARGA SATUAN'!$I$6,MATCH(RAB!C27,'HARGA SATUAN'!$C$7:$C$1492,0),0)),0,OFFSET('HARGA SATUAN'!$I$6,MATCH(RAB!C27,'HARGA SATUAN'!$C$7:$C$1492,0),0))</f>
        <v>14200</v>
      </c>
      <c r="H27" s="361">
        <f t="shared" ca="1" si="16"/>
        <v>127800</v>
      </c>
      <c r="I27" s="361">
        <f t="shared" ca="1" si="17"/>
        <v>0</v>
      </c>
      <c r="J27" s="361">
        <f t="shared" ca="1" si="18"/>
        <v>0</v>
      </c>
      <c r="K27" s="362">
        <f t="shared" ca="1" si="19"/>
        <v>127800</v>
      </c>
      <c r="L27" s="342"/>
      <c r="M27" s="342"/>
      <c r="N27" s="369"/>
      <c r="O27" s="344"/>
      <c r="P27" s="344"/>
      <c r="Q27" s="344"/>
      <c r="R27" s="344"/>
      <c r="S27" s="344"/>
      <c r="T27" s="399"/>
      <c r="U27" s="399"/>
      <c r="V27" s="399"/>
    </row>
    <row r="28" spans="1:22" s="365" customFormat="1">
      <c r="A28" s="336"/>
      <c r="B28" s="711"/>
      <c r="C28" s="109" t="s">
        <v>1461</v>
      </c>
      <c r="D28" s="358" t="str">
        <f ca="1">IF(ISERROR(OFFSET('HARGA SATUAN'!$D$6,MATCH(RAB!C28,'HARGA SATUAN'!$C$7:$C$1492,0),0)),"",OFFSET('HARGA SATUAN'!$D$6,MATCH(RAB!C28,'HARGA SATUAN'!$C$7:$C$1492,0),0))</f>
        <v>MDU-KD</v>
      </c>
      <c r="E28" s="359" t="str">
        <f ca="1">IF(B28="+","Unit",IF(ISERROR(OFFSET('HARGA SATUAN'!$E$6,MATCH(RAB!C28,'HARGA SATUAN'!$C$7:$C$1492,0),0)),"",OFFSET('HARGA SATUAN'!$E$6,MATCH(RAB!C28,'HARGA SATUAN'!$C$7:$C$1492,0),0)))</f>
        <v>Mtr</v>
      </c>
      <c r="F28" s="484">
        <f>F24*3</f>
        <v>3</v>
      </c>
      <c r="G28" s="360">
        <f ca="1">IF(ISERROR(OFFSET('HARGA SATUAN'!$I$6,MATCH(RAB!C28,'HARGA SATUAN'!$C$7:$C$1492,0),0)),0,OFFSET('HARGA SATUAN'!$I$6,MATCH(RAB!C28,'HARGA SATUAN'!$C$7:$C$1492,0),0))</f>
        <v>54500</v>
      </c>
      <c r="H28" s="361">
        <f t="shared" ca="1" si="16"/>
        <v>163500</v>
      </c>
      <c r="I28" s="361">
        <f t="shared" ca="1" si="17"/>
        <v>0</v>
      </c>
      <c r="J28" s="361">
        <f t="shared" ca="1" si="18"/>
        <v>0</v>
      </c>
      <c r="K28" s="362">
        <f t="shared" ca="1" si="19"/>
        <v>163500</v>
      </c>
      <c r="L28" s="342"/>
      <c r="M28" s="342"/>
      <c r="N28" s="369"/>
      <c r="O28" s="344"/>
      <c r="P28" s="344"/>
      <c r="Q28" s="344"/>
      <c r="R28" s="344"/>
      <c r="S28" s="344"/>
      <c r="T28" s="403"/>
      <c r="U28" s="403"/>
      <c r="V28" s="403"/>
    </row>
    <row r="29" spans="1:22" s="365" customFormat="1">
      <c r="A29" s="336"/>
      <c r="B29" s="711">
        <v>3</v>
      </c>
      <c r="C29" s="109" t="s">
        <v>559</v>
      </c>
      <c r="D29" s="358" t="str">
        <f ca="1">IF(ISERROR(OFFSET('HARGA SATUAN'!$D$6,MATCH(RAB!C29,'HARGA SATUAN'!$C$7:$C$1492,0),0)),"",OFFSET('HARGA SATUAN'!$D$6,MATCH(RAB!C29,'HARGA SATUAN'!$C$7:$C$1492,0),0))</f>
        <v>MDU-KD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84">
        <f>F24*3</f>
        <v>3</v>
      </c>
      <c r="G29" s="360">
        <f ca="1">IF(ISERROR(OFFSET('HARGA SATUAN'!$I$6,MATCH(RAB!C29,'HARGA SATUAN'!$C$7:$C$1492,0),0)),0,OFFSET('HARGA SATUAN'!$I$6,MATCH(RAB!C29,'HARGA SATUAN'!$C$7:$C$1492,0),0))</f>
        <v>725900</v>
      </c>
      <c r="H29" s="361">
        <f t="shared" ca="1" si="16"/>
        <v>2177700</v>
      </c>
      <c r="I29" s="361">
        <f t="shared" ca="1" si="17"/>
        <v>0</v>
      </c>
      <c r="J29" s="361">
        <f t="shared" ca="1" si="18"/>
        <v>0</v>
      </c>
      <c r="K29" s="362">
        <f t="shared" ca="1" si="19"/>
        <v>2177700</v>
      </c>
      <c r="L29" s="406" t="e">
        <f ca="1">PROPER([94]!terbilang(K89))</f>
        <v>#NAME?</v>
      </c>
      <c r="M29" s="406"/>
      <c r="N29" s="369"/>
      <c r="O29" s="344"/>
      <c r="P29" s="344"/>
      <c r="Q29" s="344"/>
    </row>
    <row r="30" spans="1:22">
      <c r="B30" s="711">
        <v>4</v>
      </c>
      <c r="C30" s="712" t="s">
        <v>535</v>
      </c>
      <c r="D30" s="358" t="str">
        <f ca="1">IF(ISERROR(OFFSET('HARGA SATUAN'!$D$6,MATCH(RAB!C30,'HARGA SATUAN'!$C$7:$C$1492,0),0)),"",OFFSET('HARGA SATUAN'!$D$6,MATCH(RAB!C30,'HARGA SATUAN'!$C$7:$C$1492,0),0))</f>
        <v>MDU-KD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84">
        <f>F24*3</f>
        <v>3</v>
      </c>
      <c r="G30" s="360">
        <f ca="1">IF(ISERROR(OFFSET('HARGA SATUAN'!$I$6,MATCH(RAB!C30,'HARGA SATUAN'!$C$7:$C$1492,0),0)),0,OFFSET('HARGA SATUAN'!$I$6,MATCH(RAB!C30,'HARGA SATUAN'!$C$7:$C$1492,0),0))</f>
        <v>848250</v>
      </c>
      <c r="H30" s="361">
        <f t="shared" ca="1" si="16"/>
        <v>2544750</v>
      </c>
      <c r="I30" s="361">
        <f t="shared" ca="1" si="17"/>
        <v>0</v>
      </c>
      <c r="J30" s="361">
        <f t="shared" ca="1" si="18"/>
        <v>0</v>
      </c>
      <c r="K30" s="362">
        <f t="shared" ca="1" si="19"/>
        <v>2544750</v>
      </c>
    </row>
    <row r="31" spans="1:22">
      <c r="B31" s="711">
        <v>5</v>
      </c>
      <c r="C31" s="712" t="s">
        <v>55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84">
        <f>F24*3</f>
        <v>3</v>
      </c>
      <c r="G31" s="360">
        <f ca="1">IF(ISERROR(OFFSET('HARGA SATUAN'!$I$6,MATCH(RAB!C31,'HARGA SATUAN'!$C$7:$C$1492,0),0)),0,OFFSET('HARGA SATUAN'!$I$6,MATCH(RAB!C31,'HARGA SATUAN'!$C$7:$C$1492,0),0))</f>
        <v>18000</v>
      </c>
      <c r="H31" s="361">
        <f t="shared" ca="1" si="16"/>
        <v>0</v>
      </c>
      <c r="I31" s="361">
        <f t="shared" ca="1" si="17"/>
        <v>54000</v>
      </c>
      <c r="J31" s="361">
        <f t="shared" ca="1" si="18"/>
        <v>0</v>
      </c>
      <c r="K31" s="362">
        <f t="shared" ca="1" si="19"/>
        <v>54000</v>
      </c>
    </row>
    <row r="32" spans="1:22">
      <c r="B32" s="711">
        <v>6</v>
      </c>
      <c r="C32" s="109" t="s">
        <v>1571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4">
        <f>F24*13</f>
        <v>13</v>
      </c>
      <c r="G32" s="360">
        <f ca="1">IF(ISERROR(OFFSET('HARGA SATUAN'!$I$6,MATCH(RAB!C32,'HARGA SATUAN'!$C$7:$C$1492,0),0)),0,OFFSET('HARGA SATUAN'!$I$6,MATCH(RAB!C32,'HARGA SATUAN'!$C$7:$C$1492,0),0))</f>
        <v>49000</v>
      </c>
      <c r="H32" s="361">
        <f t="shared" ca="1" si="16"/>
        <v>0</v>
      </c>
      <c r="I32" s="361">
        <f t="shared" ca="1" si="17"/>
        <v>637000</v>
      </c>
      <c r="J32" s="361">
        <f t="shared" ca="1" si="18"/>
        <v>0</v>
      </c>
      <c r="K32" s="362">
        <f t="shared" ca="1" si="19"/>
        <v>637000</v>
      </c>
    </row>
    <row r="33" spans="2:11">
      <c r="B33" s="711">
        <v>7</v>
      </c>
      <c r="C33" s="712" t="s">
        <v>163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4">
        <f>F24*22</f>
        <v>22</v>
      </c>
      <c r="G33" s="360">
        <f ca="1">IF(ISERROR(OFFSET('HARGA SATUAN'!$I$6,MATCH(RAB!C33,'HARGA SATUAN'!$C$7:$C$1492,0),0)),0,OFFSET('HARGA SATUAN'!$I$6,MATCH(RAB!C33,'HARGA SATUAN'!$C$7:$C$1492,0),0))</f>
        <v>7938</v>
      </c>
      <c r="H33" s="361">
        <f t="shared" ca="1" si="16"/>
        <v>0</v>
      </c>
      <c r="I33" s="361">
        <f t="shared" ca="1" si="17"/>
        <v>174636</v>
      </c>
      <c r="J33" s="361">
        <f t="shared" ca="1" si="18"/>
        <v>0</v>
      </c>
      <c r="K33" s="362">
        <f t="shared" ca="1" si="19"/>
        <v>174636</v>
      </c>
    </row>
    <row r="34" spans="2:11">
      <c r="B34" s="711">
        <v>8</v>
      </c>
      <c r="C34" s="712" t="s">
        <v>176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84">
        <f>F24*1</f>
        <v>1</v>
      </c>
      <c r="G34" s="360">
        <f ca="1">IF(ISERROR(OFFSET('HARGA SATUAN'!$I$6,MATCH(RAB!C34,'HARGA SATUAN'!$C$7:$C$1492,0),0)),0,OFFSET('HARGA SATUAN'!$I$6,MATCH(RAB!C34,'HARGA SATUAN'!$C$7:$C$1492,0),0))</f>
        <v>404600</v>
      </c>
      <c r="H34" s="361">
        <f t="shared" ca="1" si="16"/>
        <v>0</v>
      </c>
      <c r="I34" s="361">
        <f t="shared" ca="1" si="17"/>
        <v>404600</v>
      </c>
      <c r="J34" s="361">
        <f t="shared" ca="1" si="18"/>
        <v>0</v>
      </c>
      <c r="K34" s="362">
        <f t="shared" ca="1" si="19"/>
        <v>404600</v>
      </c>
    </row>
    <row r="35" spans="2:11">
      <c r="B35" s="711">
        <v>9</v>
      </c>
      <c r="C35" s="712" t="s">
        <v>184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4">
        <f>F24*3</f>
        <v>3</v>
      </c>
      <c r="G35" s="360">
        <f ca="1">IF(ISERROR(OFFSET('HARGA SATUAN'!$I$6,MATCH(RAB!C35,'HARGA SATUAN'!$C$7:$C$1492,0),0)),0,OFFSET('HARGA SATUAN'!$I$6,MATCH(RAB!C35,'HARGA SATUAN'!$C$7:$C$1492,0),0))</f>
        <v>15900</v>
      </c>
      <c r="H35" s="361">
        <f t="shared" ca="1" si="16"/>
        <v>0</v>
      </c>
      <c r="I35" s="361">
        <f t="shared" ca="1" si="17"/>
        <v>47700</v>
      </c>
      <c r="J35" s="361">
        <f t="shared" ca="1" si="18"/>
        <v>0</v>
      </c>
      <c r="K35" s="362">
        <f t="shared" ca="1" si="19"/>
        <v>47700</v>
      </c>
    </row>
    <row r="36" spans="2:11">
      <c r="B36" s="711">
        <v>10</v>
      </c>
      <c r="C36" s="712" t="s">
        <v>592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84">
        <f>F24*5</f>
        <v>5</v>
      </c>
      <c r="G36" s="360">
        <f ca="1">IF(ISERROR(OFFSET('HARGA SATUAN'!$I$6,MATCH(RAB!C36,'HARGA SATUAN'!$C$7:$C$1492,0),0)),0,OFFSET('HARGA SATUAN'!$I$6,MATCH(RAB!C36,'HARGA SATUAN'!$C$7:$C$1492,0),0))</f>
        <v>283100</v>
      </c>
      <c r="H36" s="361">
        <f t="shared" ca="1" si="16"/>
        <v>0</v>
      </c>
      <c r="I36" s="361">
        <f t="shared" ca="1" si="17"/>
        <v>1415500</v>
      </c>
      <c r="J36" s="361">
        <f t="shared" ca="1" si="18"/>
        <v>0</v>
      </c>
      <c r="K36" s="362">
        <f t="shared" ca="1" si="19"/>
        <v>1415500</v>
      </c>
    </row>
    <row r="37" spans="2:11">
      <c r="B37" s="711">
        <v>11</v>
      </c>
      <c r="C37" s="712" t="s">
        <v>593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84">
        <f>F24*4</f>
        <v>4</v>
      </c>
      <c r="G37" s="360">
        <f ca="1">IF(ISERROR(OFFSET('HARGA SATUAN'!$I$6,MATCH(RAB!C37,'HARGA SATUAN'!$C$7:$C$1492,0),0)),0,OFFSET('HARGA SATUAN'!$I$6,MATCH(RAB!C37,'HARGA SATUAN'!$C$7:$C$1492,0),0))</f>
        <v>380500</v>
      </c>
      <c r="H37" s="361">
        <f t="shared" ca="1" si="16"/>
        <v>0</v>
      </c>
      <c r="I37" s="361">
        <f t="shared" ca="1" si="17"/>
        <v>1522000</v>
      </c>
      <c r="J37" s="361">
        <f t="shared" ca="1" si="18"/>
        <v>0</v>
      </c>
      <c r="K37" s="362">
        <f t="shared" ca="1" si="19"/>
        <v>1522000</v>
      </c>
    </row>
    <row r="38" spans="2:11">
      <c r="B38" s="711">
        <v>12</v>
      </c>
      <c r="C38" s="712" t="s">
        <v>208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84">
        <f>F24*3</f>
        <v>3</v>
      </c>
      <c r="G38" s="360">
        <f ca="1">IF(ISERROR(OFFSET('HARGA SATUAN'!$I$6,MATCH(RAB!C38,'HARGA SATUAN'!$C$7:$C$1492,0),0)),0,OFFSET('HARGA SATUAN'!$I$6,MATCH(RAB!C38,'HARGA SATUAN'!$C$7:$C$1492,0),0))</f>
        <v>173400</v>
      </c>
      <c r="H38" s="361">
        <f t="shared" ca="1" si="16"/>
        <v>0</v>
      </c>
      <c r="I38" s="361">
        <f t="shared" ca="1" si="17"/>
        <v>520200</v>
      </c>
      <c r="J38" s="361">
        <f t="shared" ca="1" si="18"/>
        <v>0</v>
      </c>
      <c r="K38" s="362">
        <f t="shared" ca="1" si="19"/>
        <v>520200</v>
      </c>
    </row>
    <row r="39" spans="2:11">
      <c r="B39" s="711">
        <v>13</v>
      </c>
      <c r="C39" s="712" t="s">
        <v>247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84">
        <f>F24*1</f>
        <v>1</v>
      </c>
      <c r="G39" s="360">
        <f ca="1">IF(ISERROR(OFFSET('HARGA SATUAN'!$I$6,MATCH(RAB!C39,'HARGA SATUAN'!$C$7:$C$1492,0),0)),0,OFFSET('HARGA SATUAN'!$I$6,MATCH(RAB!C39,'HARGA SATUAN'!$C$7:$C$1492,0),0))</f>
        <v>57690</v>
      </c>
      <c r="H39" s="361">
        <f t="shared" ca="1" si="16"/>
        <v>0</v>
      </c>
      <c r="I39" s="361">
        <f t="shared" ca="1" si="17"/>
        <v>57690</v>
      </c>
      <c r="J39" s="361">
        <f t="shared" ca="1" si="18"/>
        <v>0</v>
      </c>
      <c r="K39" s="362">
        <f t="shared" ca="1" si="19"/>
        <v>57690</v>
      </c>
    </row>
    <row r="40" spans="2:11">
      <c r="B40" s="711">
        <v>14</v>
      </c>
      <c r="C40" s="712" t="s">
        <v>234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84">
        <f>F24*2</f>
        <v>2</v>
      </c>
      <c r="G40" s="360">
        <f ca="1">IF(ISERROR(OFFSET('HARGA SATUAN'!$I$6,MATCH(RAB!C40,'HARGA SATUAN'!$C$7:$C$1492,0),0)),0,OFFSET('HARGA SATUAN'!$I$6,MATCH(RAB!C40,'HARGA SATUAN'!$C$7:$C$1492,0),0))</f>
        <v>67500</v>
      </c>
      <c r="H40" s="361">
        <f t="shared" ca="1" si="16"/>
        <v>0</v>
      </c>
      <c r="I40" s="361">
        <f t="shared" ca="1" si="17"/>
        <v>135000</v>
      </c>
      <c r="J40" s="361">
        <f t="shared" ca="1" si="18"/>
        <v>0</v>
      </c>
      <c r="K40" s="362">
        <f t="shared" ca="1" si="19"/>
        <v>135000</v>
      </c>
    </row>
    <row r="41" spans="2:11">
      <c r="B41" s="711">
        <v>15</v>
      </c>
      <c r="C41" s="712" t="s">
        <v>267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84">
        <f>F24*2</f>
        <v>2</v>
      </c>
      <c r="G41" s="360">
        <f ca="1">IF(ISERROR(OFFSET('HARGA SATUAN'!$I$6,MATCH(RAB!C41,'HARGA SATUAN'!$C$7:$C$1492,0),0)),0,OFFSET('HARGA SATUAN'!$I$6,MATCH(RAB!C41,'HARGA SATUAN'!$C$7:$C$1492,0),0))</f>
        <v>129000</v>
      </c>
      <c r="H41" s="361">
        <f t="shared" ca="1" si="16"/>
        <v>0</v>
      </c>
      <c r="I41" s="361">
        <f t="shared" ca="1" si="17"/>
        <v>258000</v>
      </c>
      <c r="J41" s="361">
        <f t="shared" ca="1" si="18"/>
        <v>0</v>
      </c>
      <c r="K41" s="362">
        <f t="shared" ca="1" si="19"/>
        <v>258000</v>
      </c>
    </row>
    <row r="42" spans="2:11">
      <c r="B42" s="711">
        <v>16</v>
      </c>
      <c r="C42" s="712" t="s">
        <v>607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84">
        <f>F24*4</f>
        <v>4</v>
      </c>
      <c r="G42" s="360">
        <f ca="1">IF(ISERROR(OFFSET('HARGA SATUAN'!$I$6,MATCH(RAB!C42,'HARGA SATUAN'!$C$7:$C$1492,0),0)),0,OFFSET('HARGA SATUAN'!$I$6,MATCH(RAB!C42,'HARGA SATUAN'!$C$7:$C$1492,0),0))</f>
        <v>250000</v>
      </c>
      <c r="H42" s="361">
        <f t="shared" ca="1" si="16"/>
        <v>0</v>
      </c>
      <c r="I42" s="361">
        <f t="shared" ca="1" si="17"/>
        <v>1000000</v>
      </c>
      <c r="J42" s="361">
        <f t="shared" ca="1" si="18"/>
        <v>0</v>
      </c>
      <c r="K42" s="362">
        <f t="shared" ca="1" si="19"/>
        <v>1000000</v>
      </c>
    </row>
    <row r="43" spans="2:11">
      <c r="B43" s="711">
        <v>17</v>
      </c>
      <c r="C43" s="712" t="s">
        <v>784</v>
      </c>
      <c r="D43" s="358" t="str">
        <f ca="1">IF(ISERROR(OFFSET('HARGA SATUAN'!$D$6,MATCH(RAB!C43,'HARGA SATUAN'!$C$7:$C$1492,0),0)),"",OFFSET('HARGA SATUAN'!$D$6,MATCH(RAB!C43,'HARGA SATUAN'!$C$7:$C$1492,0),0))</f>
        <v>JASA</v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484">
        <f>F24*1</f>
        <v>1</v>
      </c>
      <c r="G43" s="360">
        <f ca="1">IF(ISERROR(OFFSET('HARGA SATUAN'!$I$6,MATCH(RAB!C43,'HARGA SATUAN'!$C$7:$C$1492,0),0)),0,OFFSET('HARGA SATUAN'!$I$6,MATCH(RAB!C43,'HARGA SATUAN'!$C$7:$C$1492,0),0))</f>
        <v>2953300</v>
      </c>
      <c r="H43" s="361">
        <f t="shared" ca="1" si="16"/>
        <v>0</v>
      </c>
      <c r="I43" s="361">
        <f t="shared" ca="1" si="17"/>
        <v>0</v>
      </c>
      <c r="J43" s="361">
        <f t="shared" ca="1" si="18"/>
        <v>2953300</v>
      </c>
      <c r="K43" s="362">
        <f t="shared" ca="1" si="19"/>
        <v>2953300</v>
      </c>
    </row>
    <row r="44" spans="2:11">
      <c r="B44" s="503"/>
      <c r="C44" s="109"/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/>
      </c>
      <c r="F44" s="484"/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16"/>
        <v>0</v>
      </c>
      <c r="I44" s="361">
        <f t="shared" ca="1" si="17"/>
        <v>0</v>
      </c>
      <c r="J44" s="361">
        <f t="shared" ca="1" si="18"/>
        <v>0</v>
      </c>
      <c r="K44" s="362">
        <f t="shared" ca="1" si="19"/>
        <v>0</v>
      </c>
    </row>
    <row r="45" spans="2:11">
      <c r="B45" s="509" t="s">
        <v>1034</v>
      </c>
      <c r="C45" s="512" t="s">
        <v>1625</v>
      </c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484">
        <v>2</v>
      </c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16"/>
        <v>0</v>
      </c>
      <c r="I45" s="361">
        <f t="shared" ca="1" si="17"/>
        <v>0</v>
      </c>
      <c r="J45" s="361">
        <f t="shared" ca="1" si="18"/>
        <v>0</v>
      </c>
      <c r="K45" s="362">
        <f t="shared" ca="1" si="19"/>
        <v>0</v>
      </c>
    </row>
    <row r="46" spans="2:11">
      <c r="B46" s="509">
        <v>1</v>
      </c>
      <c r="C46" s="508" t="s">
        <v>29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84">
        <f>F45*1</f>
        <v>2</v>
      </c>
      <c r="G46" s="360">
        <f ca="1">IF(ISERROR(OFFSET('HARGA SATUAN'!$I$6,MATCH(RAB!C46,'HARGA SATUAN'!$C$7:$C$1492,0),0)),0,OFFSET('HARGA SATUAN'!$I$6,MATCH(RAB!C46,'HARGA SATUAN'!$C$7:$C$1492,0),0))</f>
        <v>185200</v>
      </c>
      <c r="H46" s="361">
        <f t="shared" ca="1" si="16"/>
        <v>0</v>
      </c>
      <c r="I46" s="361">
        <f t="shared" ca="1" si="17"/>
        <v>370400</v>
      </c>
      <c r="J46" s="361">
        <f t="shared" ca="1" si="18"/>
        <v>0</v>
      </c>
      <c r="K46" s="362">
        <f t="shared" ca="1" si="19"/>
        <v>370400</v>
      </c>
    </row>
    <row r="47" spans="2:11">
      <c r="B47" s="506">
        <v>2</v>
      </c>
      <c r="C47" s="507" t="s">
        <v>30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84">
        <f>F45*1</f>
        <v>2</v>
      </c>
      <c r="G47" s="360">
        <f ca="1">IF(ISERROR(OFFSET('HARGA SATUAN'!$I$6,MATCH(RAB!C47,'HARGA SATUAN'!$C$7:$C$1492,0),0)),0,OFFSET('HARGA SATUAN'!$I$6,MATCH(RAB!C47,'HARGA SATUAN'!$C$7:$C$1492,0),0))</f>
        <v>47459</v>
      </c>
      <c r="H47" s="361">
        <f t="shared" ca="1" si="16"/>
        <v>0</v>
      </c>
      <c r="I47" s="361">
        <f t="shared" ca="1" si="17"/>
        <v>94918</v>
      </c>
      <c r="J47" s="361">
        <f t="shared" ca="1" si="18"/>
        <v>0</v>
      </c>
      <c r="K47" s="362">
        <f t="shared" ca="1" si="19"/>
        <v>94918</v>
      </c>
    </row>
    <row r="48" spans="2:11">
      <c r="B48" s="506">
        <v>3</v>
      </c>
      <c r="C48" s="507" t="s">
        <v>31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84">
        <f>F45*1</f>
        <v>2</v>
      </c>
      <c r="G48" s="360">
        <f ca="1">IF(ISERROR(OFFSET('HARGA SATUAN'!$I$6,MATCH(RAB!C48,'HARGA SATUAN'!$C$7:$C$1492,0),0)),0,OFFSET('HARGA SATUAN'!$I$6,MATCH(RAB!C48,'HARGA SATUAN'!$C$7:$C$1492,0),0))</f>
        <v>4880</v>
      </c>
      <c r="H48" s="361">
        <f t="shared" ca="1" si="16"/>
        <v>0</v>
      </c>
      <c r="I48" s="361">
        <f t="shared" ca="1" si="17"/>
        <v>9760</v>
      </c>
      <c r="J48" s="361">
        <f t="shared" ca="1" si="18"/>
        <v>0</v>
      </c>
      <c r="K48" s="362">
        <f t="shared" ca="1" si="19"/>
        <v>9760</v>
      </c>
    </row>
    <row r="49" spans="2:11">
      <c r="B49" s="506">
        <v>4</v>
      </c>
      <c r="C49" s="507" t="s">
        <v>32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Mtr</v>
      </c>
      <c r="F49" s="484">
        <f>F45*10</f>
        <v>20</v>
      </c>
      <c r="G49" s="360">
        <f ca="1">IF(ISERROR(OFFSET('HARGA SATUAN'!$I$6,MATCH(RAB!C49,'HARGA SATUAN'!$C$7:$C$1492,0),0)),0,OFFSET('HARGA SATUAN'!$I$6,MATCH(RAB!C49,'HARGA SATUAN'!$C$7:$C$1492,0),0))</f>
        <v>30000</v>
      </c>
      <c r="H49" s="361">
        <f t="shared" ca="1" si="16"/>
        <v>0</v>
      </c>
      <c r="I49" s="361">
        <f t="shared" ca="1" si="17"/>
        <v>600000</v>
      </c>
      <c r="J49" s="361">
        <f t="shared" ca="1" si="18"/>
        <v>0</v>
      </c>
      <c r="K49" s="362">
        <f t="shared" ca="1" si="19"/>
        <v>600000</v>
      </c>
    </row>
    <row r="50" spans="2:11">
      <c r="B50" s="506">
        <v>5</v>
      </c>
      <c r="C50" s="507" t="s">
        <v>33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84">
        <f>F45*2</f>
        <v>4</v>
      </c>
      <c r="G50" s="360">
        <f ca="1">IF(ISERROR(OFFSET('HARGA SATUAN'!$I$6,MATCH(RAB!C50,'HARGA SATUAN'!$C$7:$C$1492,0),0)),0,OFFSET('HARGA SATUAN'!$I$6,MATCH(RAB!C50,'HARGA SATUAN'!$C$7:$C$1492,0),0))</f>
        <v>9500</v>
      </c>
      <c r="H50" s="361">
        <f t="shared" ca="1" si="16"/>
        <v>0</v>
      </c>
      <c r="I50" s="361">
        <f t="shared" ca="1" si="17"/>
        <v>38000</v>
      </c>
      <c r="J50" s="361">
        <f t="shared" ca="1" si="18"/>
        <v>0</v>
      </c>
      <c r="K50" s="362">
        <f t="shared" ca="1" si="19"/>
        <v>38000</v>
      </c>
    </row>
    <row r="51" spans="2:11">
      <c r="B51" s="506">
        <v>6</v>
      </c>
      <c r="C51" s="507" t="s">
        <v>34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84">
        <f>F45*5.5</f>
        <v>11</v>
      </c>
      <c r="G51" s="360">
        <f ca="1">IF(ISERROR(OFFSET('HARGA SATUAN'!$I$6,MATCH(RAB!C51,'HARGA SATUAN'!$C$7:$C$1492,0),0)),0,OFFSET('HARGA SATUAN'!$I$6,MATCH(RAB!C51,'HARGA SATUAN'!$C$7:$C$1492,0),0))</f>
        <v>6100</v>
      </c>
      <c r="H51" s="361">
        <f t="shared" ca="1" si="16"/>
        <v>0</v>
      </c>
      <c r="I51" s="361">
        <f t="shared" ca="1" si="17"/>
        <v>67100</v>
      </c>
      <c r="J51" s="361">
        <f t="shared" ca="1" si="18"/>
        <v>0</v>
      </c>
      <c r="K51" s="362">
        <f t="shared" ca="1" si="19"/>
        <v>67100</v>
      </c>
    </row>
    <row r="52" spans="2:11">
      <c r="B52" s="506">
        <v>7</v>
      </c>
      <c r="C52" s="507" t="s">
        <v>35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84">
        <f>F45*6</f>
        <v>12</v>
      </c>
      <c r="G52" s="360">
        <f ca="1">IF(ISERROR(OFFSET('HARGA SATUAN'!$I$6,MATCH(RAB!C52,'HARGA SATUAN'!$C$7:$C$1492,0),0)),0,OFFSET('HARGA SATUAN'!$I$6,MATCH(RAB!C52,'HARGA SATUAN'!$C$7:$C$1492,0),0))</f>
        <v>2300</v>
      </c>
      <c r="H52" s="361">
        <f t="shared" ca="1" si="16"/>
        <v>0</v>
      </c>
      <c r="I52" s="361">
        <f t="shared" ca="1" si="17"/>
        <v>27600</v>
      </c>
      <c r="J52" s="361">
        <f t="shared" ca="1" si="18"/>
        <v>0</v>
      </c>
      <c r="K52" s="362">
        <f t="shared" ca="1" si="19"/>
        <v>27600</v>
      </c>
    </row>
    <row r="53" spans="2:11">
      <c r="B53" s="506">
        <v>8</v>
      </c>
      <c r="C53" s="507" t="s">
        <v>1626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484">
        <f>F45*4.8</f>
        <v>9.6</v>
      </c>
      <c r="G53" s="360">
        <f ca="1">IF(ISERROR(OFFSET('HARGA SATUAN'!$I$6,MATCH(RAB!C53,'HARGA SATUAN'!$C$7:$C$1492,0),0)),0,OFFSET('HARGA SATUAN'!$I$6,MATCH(RAB!C53,'HARGA SATUAN'!$C$7:$C$1492,0),0))</f>
        <v>23310</v>
      </c>
      <c r="H53" s="361">
        <f t="shared" ca="1" si="16"/>
        <v>0</v>
      </c>
      <c r="I53" s="361">
        <f t="shared" ca="1" si="17"/>
        <v>223776</v>
      </c>
      <c r="J53" s="361">
        <f t="shared" ca="1" si="18"/>
        <v>0</v>
      </c>
      <c r="K53" s="362">
        <f t="shared" ca="1" si="19"/>
        <v>223776</v>
      </c>
    </row>
    <row r="54" spans="2:11">
      <c r="B54" s="506">
        <v>9</v>
      </c>
      <c r="C54" s="507" t="s">
        <v>736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484">
        <f>F45*1</f>
        <v>2</v>
      </c>
      <c r="G54" s="360">
        <f ca="1">IF(ISERROR(OFFSET('HARGA SATUAN'!$I$6,MATCH(RAB!C54,'HARGA SATUAN'!$C$7:$C$1492,0),0)),0,OFFSET('HARGA SATUAN'!$I$6,MATCH(RAB!C54,'HARGA SATUAN'!$C$7:$C$1492,0),0))</f>
        <v>65400</v>
      </c>
      <c r="H54" s="361">
        <f t="shared" ca="1" si="16"/>
        <v>0</v>
      </c>
      <c r="I54" s="361">
        <f t="shared" ca="1" si="17"/>
        <v>0</v>
      </c>
      <c r="J54" s="361">
        <f t="shared" ca="1" si="18"/>
        <v>130800</v>
      </c>
      <c r="K54" s="362">
        <f t="shared" ca="1" si="19"/>
        <v>130800</v>
      </c>
    </row>
    <row r="55" spans="2:11">
      <c r="B55" s="506"/>
      <c r="C55" s="507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484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ref="H55:H82" ca="1" si="20">IF(OR(D55="MDU",D55="MDU-KD"),(IF($O$3="RAB NON MDU","PLN KD",G55*F55)),0)</f>
        <v>0</v>
      </c>
      <c r="I55" s="361">
        <f t="shared" ref="I55:I82" ca="1" si="21">IF(D55="HDW",G55*F55,0)</f>
        <v>0</v>
      </c>
      <c r="J55" s="361">
        <f t="shared" ref="J55:J82" ca="1" si="22">IF(D55="JASA",G55*F55,0)</f>
        <v>0</v>
      </c>
      <c r="K55" s="362">
        <f t="shared" ref="K55:K82" ca="1" si="23">SUM(H55:J55)</f>
        <v>0</v>
      </c>
    </row>
    <row r="56" spans="2:11">
      <c r="B56" s="373" t="s">
        <v>1549</v>
      </c>
      <c r="C56" s="374" t="s">
        <v>1456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484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20"/>
        <v>0</v>
      </c>
      <c r="I56" s="361">
        <f t="shared" ca="1" si="21"/>
        <v>0</v>
      </c>
      <c r="J56" s="361">
        <f t="shared" ca="1" si="22"/>
        <v>0</v>
      </c>
      <c r="K56" s="362">
        <f t="shared" ca="1" si="23"/>
        <v>0</v>
      </c>
    </row>
    <row r="57" spans="2:11">
      <c r="B57" s="506"/>
      <c r="C57" s="507"/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484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20"/>
        <v>0</v>
      </c>
      <c r="I57" s="361">
        <f t="shared" ca="1" si="21"/>
        <v>0</v>
      </c>
      <c r="J57" s="361">
        <f t="shared" ca="1" si="22"/>
        <v>0</v>
      </c>
      <c r="K57" s="362">
        <f t="shared" ca="1" si="23"/>
        <v>0</v>
      </c>
    </row>
    <row r="58" spans="2:11">
      <c r="B58" s="500" t="s">
        <v>1034</v>
      </c>
      <c r="C58" s="501" t="s">
        <v>1627</v>
      </c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5">
        <v>1</v>
      </c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20"/>
        <v>0</v>
      </c>
      <c r="I58" s="361">
        <f t="shared" ca="1" si="21"/>
        <v>0</v>
      </c>
      <c r="J58" s="361">
        <f t="shared" ca="1" si="22"/>
        <v>0</v>
      </c>
      <c r="K58" s="362">
        <f t="shared" ca="1" si="23"/>
        <v>0</v>
      </c>
    </row>
    <row r="59" spans="2:11" ht="30">
      <c r="B59" s="506">
        <v>1</v>
      </c>
      <c r="C59" s="109" t="s">
        <v>1195</v>
      </c>
      <c r="D59" s="358" t="str">
        <f ca="1">IF(ISERROR(OFFSET('HARGA SATUAN'!$D$6,MATCH(RAB!C59,'HARGA SATUAN'!$C$7:$C$1492,0),0)),"",OFFSET('HARGA SATUAN'!$D$6,MATCH(RAB!C59,'HARGA SATUAN'!$C$7:$C$1492,0),0))</f>
        <v>MDU-KD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5">
        <f>F58*1</f>
        <v>1</v>
      </c>
      <c r="G59" s="360">
        <f ca="1">IF(ISERROR(OFFSET('HARGA SATUAN'!$I$6,MATCH(RAB!C59,'HARGA SATUAN'!$C$7:$C$1492,0),0)),0,OFFSET('HARGA SATUAN'!$I$6,MATCH(RAB!C59,'HARGA SATUAN'!$C$7:$C$1492,0),0))</f>
        <v>1504200</v>
      </c>
      <c r="H59" s="361">
        <f t="shared" ca="1" si="20"/>
        <v>1504200</v>
      </c>
      <c r="I59" s="361">
        <f t="shared" ca="1" si="21"/>
        <v>0</v>
      </c>
      <c r="J59" s="361">
        <f t="shared" ca="1" si="22"/>
        <v>0</v>
      </c>
      <c r="K59" s="362">
        <f t="shared" ca="1" si="23"/>
        <v>1504200</v>
      </c>
    </row>
    <row r="60" spans="2:11">
      <c r="B60" s="506">
        <v>2</v>
      </c>
      <c r="C60" s="513" t="s">
        <v>518</v>
      </c>
      <c r="D60" s="358" t="str">
        <f ca="1">IF(ISERROR(OFFSET('HARGA SATUAN'!$D$6,MATCH(RAB!C60,'HARGA SATUAN'!$C$7:$C$1492,0),0)),"",OFFSET('HARGA SATUAN'!$D$6,MATCH(RAB!C60,'HARGA SATUAN'!$C$7:$C$1492,0),0))</f>
        <v>MDU-KD</v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05">
        <f>F58*1</f>
        <v>1</v>
      </c>
      <c r="G60" s="360">
        <f ca="1">IF(ISERROR(OFFSET('HARGA SATUAN'!$I$6,MATCH(RAB!C60,'HARGA SATUAN'!$C$7:$C$1492,0),0)),0,OFFSET('HARGA SATUAN'!$I$6,MATCH(RAB!C60,'HARGA SATUAN'!$C$7:$C$1492,0),0))</f>
        <v>14217900</v>
      </c>
      <c r="H60" s="361">
        <f t="shared" ca="1" si="20"/>
        <v>14217900</v>
      </c>
      <c r="I60" s="361">
        <f t="shared" ca="1" si="21"/>
        <v>0</v>
      </c>
      <c r="J60" s="361">
        <f t="shared" ca="1" si="22"/>
        <v>0</v>
      </c>
      <c r="K60" s="362">
        <f t="shared" ca="1" si="23"/>
        <v>14217900</v>
      </c>
    </row>
    <row r="61" spans="2:11">
      <c r="B61" s="506">
        <v>3</v>
      </c>
      <c r="C61" s="513" t="s">
        <v>1141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5">
        <f>F58*1</f>
        <v>1</v>
      </c>
      <c r="G61" s="360">
        <f ca="1">IF(ISERROR(OFFSET('HARGA SATUAN'!$I$6,MATCH(RAB!C61,'HARGA SATUAN'!$C$7:$C$1492,0),0)),0,OFFSET('HARGA SATUAN'!$I$6,MATCH(RAB!C61,'HARGA SATUAN'!$C$7:$C$1492,0),0))</f>
        <v>1113900</v>
      </c>
      <c r="H61" s="361">
        <f t="shared" ca="1" si="20"/>
        <v>0</v>
      </c>
      <c r="I61" s="361">
        <f t="shared" ca="1" si="21"/>
        <v>1113900</v>
      </c>
      <c r="J61" s="361">
        <f t="shared" ca="1" si="22"/>
        <v>0</v>
      </c>
      <c r="K61" s="362">
        <f t="shared" ca="1" si="23"/>
        <v>1113900</v>
      </c>
    </row>
    <row r="62" spans="2:11">
      <c r="B62" s="506">
        <v>4</v>
      </c>
      <c r="C62" s="109" t="s">
        <v>1461</v>
      </c>
      <c r="D62" s="358" t="str">
        <f ca="1">IF(ISERROR(OFFSET('HARGA SATUAN'!$D$6,MATCH(RAB!C62,'HARGA SATUAN'!$C$7:$C$1492,0),0)),"",OFFSET('HARGA SATUAN'!$D$6,MATCH(RAB!C62,'HARGA SATUAN'!$C$7:$C$1492,0),0))</f>
        <v>MDU-KD</v>
      </c>
      <c r="E62" s="359" t="str">
        <f ca="1">IF(B62="+","Unit",IF(ISERROR(OFFSET('HARGA SATUAN'!$E$6,MATCH(RAB!C62,'HARGA SATUAN'!$C$7:$C$1492,0),0)),"",OFFSET('HARGA SATUAN'!$E$6,MATCH(RAB!C62,'HARGA SATUAN'!$C$7:$C$1492,0),0)))</f>
        <v>Mtr</v>
      </c>
      <c r="F62" s="505">
        <v>12</v>
      </c>
      <c r="G62" s="360">
        <f ca="1">IF(ISERROR(OFFSET('HARGA SATUAN'!$I$6,MATCH(RAB!C62,'HARGA SATUAN'!$C$7:$C$1492,0),0)),0,OFFSET('HARGA SATUAN'!$I$6,MATCH(RAB!C62,'HARGA SATUAN'!$C$7:$C$1492,0),0))</f>
        <v>54500</v>
      </c>
      <c r="H62" s="361">
        <f t="shared" ca="1" si="20"/>
        <v>654000</v>
      </c>
      <c r="I62" s="361">
        <f t="shared" ca="1" si="21"/>
        <v>0</v>
      </c>
      <c r="J62" s="361">
        <f t="shared" ca="1" si="22"/>
        <v>0</v>
      </c>
      <c r="K62" s="362">
        <f t="shared" ca="1" si="23"/>
        <v>654000</v>
      </c>
    </row>
    <row r="63" spans="2:11">
      <c r="B63" s="506">
        <v>5</v>
      </c>
      <c r="C63" s="513" t="s">
        <v>799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5">
        <f>F58*1</f>
        <v>1</v>
      </c>
      <c r="G63" s="360">
        <f ca="1">IF(ISERROR(OFFSET('HARGA SATUAN'!$I$6,MATCH(RAB!C63,'HARGA SATUAN'!$C$7:$C$1492,0),0)),0,OFFSET('HARGA SATUAN'!$I$6,MATCH(RAB!C63,'HARGA SATUAN'!$C$7:$C$1492,0),0))</f>
        <v>106400</v>
      </c>
      <c r="H63" s="361">
        <f t="shared" ca="1" si="20"/>
        <v>0</v>
      </c>
      <c r="I63" s="361">
        <f t="shared" ca="1" si="21"/>
        <v>0</v>
      </c>
      <c r="J63" s="361">
        <f t="shared" ca="1" si="22"/>
        <v>106400</v>
      </c>
      <c r="K63" s="362">
        <f t="shared" ca="1" si="23"/>
        <v>106400</v>
      </c>
    </row>
    <row r="64" spans="2:11">
      <c r="B64" s="506"/>
      <c r="C64" s="507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484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20"/>
        <v>0</v>
      </c>
      <c r="I64" s="361">
        <f t="shared" ca="1" si="21"/>
        <v>0</v>
      </c>
      <c r="J64" s="361">
        <f t="shared" ca="1" si="22"/>
        <v>0</v>
      </c>
      <c r="K64" s="362">
        <f t="shared" ca="1" si="23"/>
        <v>0</v>
      </c>
    </row>
    <row r="65" spans="2:11">
      <c r="B65" s="711" t="s">
        <v>1034</v>
      </c>
      <c r="C65" s="713" t="s">
        <v>1631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714">
        <v>1</v>
      </c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0"/>
        <v>0</v>
      </c>
      <c r="I65" s="361">
        <f t="shared" ca="1" si="21"/>
        <v>0</v>
      </c>
      <c r="J65" s="361">
        <f t="shared" ca="1" si="22"/>
        <v>0</v>
      </c>
      <c r="K65" s="362">
        <f t="shared" ca="1" si="23"/>
        <v>0</v>
      </c>
    </row>
    <row r="66" spans="2:11">
      <c r="B66" s="711">
        <v>1</v>
      </c>
      <c r="C66" s="713" t="s">
        <v>115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Set</v>
      </c>
      <c r="F66" s="714">
        <f>F65*1</f>
        <v>1</v>
      </c>
      <c r="G66" s="360">
        <f ca="1">IF(ISERROR(OFFSET('HARGA SATUAN'!$I$6,MATCH(RAB!C66,'HARGA SATUAN'!$C$7:$C$1492,0),0)),0,OFFSET('HARGA SATUAN'!$I$6,MATCH(RAB!C66,'HARGA SATUAN'!$C$7:$C$1492,0),0))</f>
        <v>11500</v>
      </c>
      <c r="H66" s="361">
        <f t="shared" ca="1" si="20"/>
        <v>0</v>
      </c>
      <c r="I66" s="361">
        <f t="shared" ca="1" si="21"/>
        <v>11500</v>
      </c>
      <c r="J66" s="361">
        <f t="shared" ca="1" si="22"/>
        <v>0</v>
      </c>
      <c r="K66" s="362">
        <f t="shared" ca="1" si="23"/>
        <v>11500</v>
      </c>
    </row>
    <row r="67" spans="2:11">
      <c r="B67" s="711">
        <v>2</v>
      </c>
      <c r="C67" s="713" t="s">
        <v>145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Set</v>
      </c>
      <c r="F67" s="714">
        <f>F65*1</f>
        <v>1</v>
      </c>
      <c r="G67" s="360">
        <f ca="1">IF(ISERROR(OFFSET('HARGA SATUAN'!$I$6,MATCH(RAB!C67,'HARGA SATUAN'!$C$7:$C$1492,0),0)),0,OFFSET('HARGA SATUAN'!$I$6,MATCH(RAB!C67,'HARGA SATUAN'!$C$7:$C$1492,0),0))</f>
        <v>6200</v>
      </c>
      <c r="H67" s="361">
        <f t="shared" ca="1" si="20"/>
        <v>0</v>
      </c>
      <c r="I67" s="361">
        <f t="shared" ca="1" si="21"/>
        <v>6200</v>
      </c>
      <c r="J67" s="361">
        <f t="shared" ca="1" si="22"/>
        <v>0</v>
      </c>
      <c r="K67" s="362">
        <f t="shared" ca="1" si="23"/>
        <v>6200</v>
      </c>
    </row>
    <row r="68" spans="2:11">
      <c r="B68" s="711">
        <v>3</v>
      </c>
      <c r="C68" s="713" t="s">
        <v>587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Btg</v>
      </c>
      <c r="F68" s="714">
        <f>F65*1</f>
        <v>1</v>
      </c>
      <c r="G68" s="360">
        <f ca="1">IF(ISERROR(OFFSET('HARGA SATUAN'!$I$6,MATCH(RAB!C68,'HARGA SATUAN'!$C$7:$C$1492,0),0)),0,OFFSET('HARGA SATUAN'!$I$6,MATCH(RAB!C68,'HARGA SATUAN'!$C$7:$C$1492,0),0))</f>
        <v>45796</v>
      </c>
      <c r="H68" s="361">
        <f t="shared" ca="1" si="20"/>
        <v>0</v>
      </c>
      <c r="I68" s="361">
        <f t="shared" ca="1" si="21"/>
        <v>45796</v>
      </c>
      <c r="J68" s="361">
        <f t="shared" ca="1" si="22"/>
        <v>0</v>
      </c>
      <c r="K68" s="362">
        <f t="shared" ca="1" si="23"/>
        <v>45796</v>
      </c>
    </row>
    <row r="69" spans="2:11">
      <c r="B69" s="711">
        <v>4</v>
      </c>
      <c r="C69" s="713" t="s">
        <v>118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Set</v>
      </c>
      <c r="F69" s="714">
        <f>F65*1</f>
        <v>1</v>
      </c>
      <c r="G69" s="360">
        <f ca="1">IF(ISERROR(OFFSET('HARGA SATUAN'!$I$6,MATCH(RAB!C69,'HARGA SATUAN'!$C$7:$C$1492,0),0)),0,OFFSET('HARGA SATUAN'!$I$6,MATCH(RAB!C69,'HARGA SATUAN'!$C$7:$C$1492,0),0))</f>
        <v>5300</v>
      </c>
      <c r="H69" s="361">
        <f t="shared" ca="1" si="20"/>
        <v>0</v>
      </c>
      <c r="I69" s="361">
        <f t="shared" ca="1" si="21"/>
        <v>5300</v>
      </c>
      <c r="J69" s="361">
        <f t="shared" ca="1" si="22"/>
        <v>0</v>
      </c>
      <c r="K69" s="362">
        <f t="shared" ca="1" si="23"/>
        <v>5300</v>
      </c>
    </row>
    <row r="70" spans="2:11">
      <c r="B70" s="711">
        <v>5</v>
      </c>
      <c r="C70" s="713" t="s">
        <v>117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714">
        <f>F65*1</f>
        <v>1</v>
      </c>
      <c r="G70" s="360">
        <f ca="1">IF(ISERROR(OFFSET('HARGA SATUAN'!$I$6,MATCH(RAB!C70,'HARGA SATUAN'!$C$7:$C$1492,0),0)),0,OFFSET('HARGA SATUAN'!$I$6,MATCH(RAB!C70,'HARGA SATUAN'!$C$7:$C$1492,0),0))</f>
        <v>58600</v>
      </c>
      <c r="H70" s="361">
        <f t="shared" ca="1" si="20"/>
        <v>0</v>
      </c>
      <c r="I70" s="361">
        <f t="shared" ca="1" si="21"/>
        <v>58600</v>
      </c>
      <c r="J70" s="361">
        <f t="shared" ca="1" si="22"/>
        <v>0</v>
      </c>
      <c r="K70" s="362">
        <f t="shared" ca="1" si="23"/>
        <v>58600</v>
      </c>
    </row>
    <row r="71" spans="2:11">
      <c r="B71" s="711">
        <v>6</v>
      </c>
      <c r="C71" s="109" t="s">
        <v>1153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Set</v>
      </c>
      <c r="F71" s="714">
        <f>F65*1</f>
        <v>1</v>
      </c>
      <c r="G71" s="360">
        <f ca="1">IF(ISERROR(OFFSET('HARGA SATUAN'!$I$6,MATCH(RAB!C71,'HARGA SATUAN'!$C$7:$C$1492,0),0)),0,OFFSET('HARGA SATUAN'!$I$6,MATCH(RAB!C71,'HARGA SATUAN'!$C$7:$C$1492,0),0))</f>
        <v>3888</v>
      </c>
      <c r="H71" s="361">
        <f t="shared" ca="1" si="20"/>
        <v>0</v>
      </c>
      <c r="I71" s="361">
        <f t="shared" ca="1" si="21"/>
        <v>3888</v>
      </c>
      <c r="J71" s="361">
        <f t="shared" ca="1" si="22"/>
        <v>0</v>
      </c>
      <c r="K71" s="362">
        <f t="shared" ca="1" si="23"/>
        <v>3888</v>
      </c>
    </row>
    <row r="72" spans="2:11">
      <c r="B72" s="711">
        <v>7</v>
      </c>
      <c r="C72" s="713" t="s">
        <v>119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Set</v>
      </c>
      <c r="F72" s="714">
        <f>F65*2</f>
        <v>2</v>
      </c>
      <c r="G72" s="360">
        <f ca="1">IF(ISERROR(OFFSET('HARGA SATUAN'!$I$6,MATCH(RAB!C72,'HARGA SATUAN'!$C$7:$C$1492,0),0)),0,OFFSET('HARGA SATUAN'!$I$6,MATCH(RAB!C72,'HARGA SATUAN'!$C$7:$C$1492,0),0))</f>
        <v>8900</v>
      </c>
      <c r="H72" s="361">
        <f t="shared" ca="1" si="20"/>
        <v>0</v>
      </c>
      <c r="I72" s="361">
        <f t="shared" ca="1" si="21"/>
        <v>17800</v>
      </c>
      <c r="J72" s="361">
        <f t="shared" ca="1" si="22"/>
        <v>0</v>
      </c>
      <c r="K72" s="362">
        <f t="shared" ca="1" si="23"/>
        <v>17800</v>
      </c>
    </row>
    <row r="73" spans="2:11">
      <c r="B73" s="711"/>
      <c r="C73" s="713"/>
      <c r="D73" s="358"/>
      <c r="E73" s="359"/>
      <c r="F73" s="484"/>
      <c r="G73" s="360"/>
      <c r="H73" s="361"/>
      <c r="I73" s="361"/>
      <c r="J73" s="361"/>
      <c r="K73" s="362"/>
    </row>
    <row r="74" spans="2:11">
      <c r="B74" s="506" t="s">
        <v>1034</v>
      </c>
      <c r="C74" s="507" t="s">
        <v>1628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484">
        <v>1</v>
      </c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20"/>
        <v>0</v>
      </c>
      <c r="I74" s="361">
        <f t="shared" ca="1" si="21"/>
        <v>0</v>
      </c>
      <c r="J74" s="361">
        <f t="shared" ca="1" si="22"/>
        <v>0</v>
      </c>
      <c r="K74" s="362">
        <f t="shared" ca="1" si="23"/>
        <v>0</v>
      </c>
    </row>
    <row r="75" spans="2:11">
      <c r="B75" s="506">
        <v>1</v>
      </c>
      <c r="C75" s="507" t="s">
        <v>29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484">
        <f>F74*1</f>
        <v>1</v>
      </c>
      <c r="G75" s="360">
        <f ca="1">IF(ISERROR(OFFSET('HARGA SATUAN'!$I$6,MATCH(RAB!C75,'HARGA SATUAN'!$C$7:$C$1492,0),0)),0,OFFSET('HARGA SATUAN'!$I$6,MATCH(RAB!C75,'HARGA SATUAN'!$C$7:$C$1492,0),0))</f>
        <v>185200</v>
      </c>
      <c r="H75" s="361">
        <f t="shared" ca="1" si="20"/>
        <v>0</v>
      </c>
      <c r="I75" s="361">
        <f t="shared" ca="1" si="21"/>
        <v>185200</v>
      </c>
      <c r="J75" s="361">
        <f t="shared" ca="1" si="22"/>
        <v>0</v>
      </c>
      <c r="K75" s="362">
        <f t="shared" ca="1" si="23"/>
        <v>185200</v>
      </c>
    </row>
    <row r="76" spans="2:11">
      <c r="B76" s="506">
        <v>2</v>
      </c>
      <c r="C76" s="507" t="s">
        <v>30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484">
        <f>F74*1</f>
        <v>1</v>
      </c>
      <c r="G76" s="360">
        <f ca="1">IF(ISERROR(OFFSET('HARGA SATUAN'!$I$6,MATCH(RAB!C76,'HARGA SATUAN'!$C$7:$C$1492,0),0)),0,OFFSET('HARGA SATUAN'!$I$6,MATCH(RAB!C76,'HARGA SATUAN'!$C$7:$C$1492,0),0))</f>
        <v>47459</v>
      </c>
      <c r="H76" s="361">
        <f t="shared" ca="1" si="20"/>
        <v>0</v>
      </c>
      <c r="I76" s="361">
        <f t="shared" ca="1" si="21"/>
        <v>47459</v>
      </c>
      <c r="J76" s="361">
        <f t="shared" ca="1" si="22"/>
        <v>0</v>
      </c>
      <c r="K76" s="362">
        <f t="shared" ca="1" si="23"/>
        <v>47459</v>
      </c>
    </row>
    <row r="77" spans="2:11">
      <c r="B77" s="506">
        <v>3</v>
      </c>
      <c r="C77" s="507" t="s">
        <v>32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484">
        <f>F74*1.5</f>
        <v>1.5</v>
      </c>
      <c r="G77" s="360">
        <f ca="1">IF(ISERROR(OFFSET('HARGA SATUAN'!$I$6,MATCH(RAB!C77,'HARGA SATUAN'!$C$7:$C$1492,0),0)),0,OFFSET('HARGA SATUAN'!$I$6,MATCH(RAB!C77,'HARGA SATUAN'!$C$7:$C$1492,0),0))</f>
        <v>30000</v>
      </c>
      <c r="H77" s="361">
        <f t="shared" ca="1" si="20"/>
        <v>0</v>
      </c>
      <c r="I77" s="361">
        <f t="shared" ca="1" si="21"/>
        <v>45000</v>
      </c>
      <c r="J77" s="361">
        <f t="shared" ca="1" si="22"/>
        <v>0</v>
      </c>
      <c r="K77" s="362">
        <f t="shared" ca="1" si="23"/>
        <v>45000</v>
      </c>
    </row>
    <row r="78" spans="2:11">
      <c r="B78" s="506">
        <v>4</v>
      </c>
      <c r="C78" s="507" t="s">
        <v>33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84">
        <f>F74*2</f>
        <v>2</v>
      </c>
      <c r="G78" s="360">
        <f ca="1">IF(ISERROR(OFFSET('HARGA SATUAN'!$I$6,MATCH(RAB!C78,'HARGA SATUAN'!$C$7:$C$1492,0),0)),0,OFFSET('HARGA SATUAN'!$I$6,MATCH(RAB!C78,'HARGA SATUAN'!$C$7:$C$1492,0),0))</f>
        <v>9500</v>
      </c>
      <c r="H78" s="361">
        <f t="shared" ca="1" si="20"/>
        <v>0</v>
      </c>
      <c r="I78" s="361">
        <f t="shared" ca="1" si="21"/>
        <v>19000</v>
      </c>
      <c r="J78" s="361">
        <f t="shared" ca="1" si="22"/>
        <v>0</v>
      </c>
      <c r="K78" s="362">
        <f t="shared" ca="1" si="23"/>
        <v>19000</v>
      </c>
    </row>
    <row r="79" spans="2:11">
      <c r="B79" s="506">
        <v>5</v>
      </c>
      <c r="C79" s="507" t="s">
        <v>735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484">
        <f>F74*1</f>
        <v>1</v>
      </c>
      <c r="G79" s="360">
        <f ca="1">IF(ISERROR(OFFSET('HARGA SATUAN'!$I$6,MATCH(RAB!C79,'HARGA SATUAN'!$C$7:$C$1492,0),0)),0,OFFSET('HARGA SATUAN'!$I$6,MATCH(RAB!C79,'HARGA SATUAN'!$C$7:$C$1492,0),0))</f>
        <v>56400</v>
      </c>
      <c r="H79" s="361">
        <f t="shared" ca="1" si="20"/>
        <v>0</v>
      </c>
      <c r="I79" s="361">
        <f t="shared" ca="1" si="21"/>
        <v>0</v>
      </c>
      <c r="J79" s="361">
        <f t="shared" ca="1" si="22"/>
        <v>56400</v>
      </c>
      <c r="K79" s="362">
        <f t="shared" ca="1" si="23"/>
        <v>56400</v>
      </c>
    </row>
    <row r="80" spans="2:11">
      <c r="B80" s="506"/>
      <c r="C80" s="507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484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20"/>
        <v>0</v>
      </c>
      <c r="I80" s="361">
        <f t="shared" ca="1" si="21"/>
        <v>0</v>
      </c>
      <c r="J80" s="361">
        <f t="shared" ca="1" si="22"/>
        <v>0</v>
      </c>
      <c r="K80" s="362">
        <f t="shared" ca="1" si="23"/>
        <v>0</v>
      </c>
    </row>
    <row r="81" spans="2:13">
      <c r="B81" s="373" t="s">
        <v>1549</v>
      </c>
      <c r="C81" s="374" t="s">
        <v>1614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484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20"/>
        <v>0</v>
      </c>
      <c r="I81" s="361">
        <f t="shared" ca="1" si="21"/>
        <v>0</v>
      </c>
      <c r="J81" s="361">
        <f t="shared" ca="1" si="22"/>
        <v>0</v>
      </c>
      <c r="K81" s="362">
        <f t="shared" ca="1" si="23"/>
        <v>0</v>
      </c>
    </row>
    <row r="82" spans="2:13">
      <c r="B82" s="375"/>
      <c r="C82" s="109"/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484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20"/>
        <v>0</v>
      </c>
      <c r="I82" s="361">
        <f t="shared" ca="1" si="21"/>
        <v>0</v>
      </c>
      <c r="J82" s="361">
        <f t="shared" ca="1" si="22"/>
        <v>0</v>
      </c>
      <c r="K82" s="362">
        <f t="shared" ca="1" si="23"/>
        <v>0</v>
      </c>
    </row>
    <row r="83" spans="2:13">
      <c r="B83" s="376"/>
      <c r="C83" s="377" t="s">
        <v>475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/>
      </c>
      <c r="F83" s="484"/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16"/>
        <v>0</v>
      </c>
      <c r="I83" s="361">
        <f t="shared" ca="1" si="17"/>
        <v>0</v>
      </c>
      <c r="J83" s="361">
        <f t="shared" ca="1" si="18"/>
        <v>0</v>
      </c>
      <c r="K83" s="362">
        <f t="shared" ca="1" si="19"/>
        <v>0</v>
      </c>
    </row>
    <row r="84" spans="2:13">
      <c r="B84" s="379">
        <v>1</v>
      </c>
      <c r="C84" s="380" t="s">
        <v>1090</v>
      </c>
      <c r="D84" s="381" t="str">
        <f ca="1">IF(ISERROR(OFFSET('HARGA SATUAN'!$D$6,MATCH(RAB!C84,'HARGA SATUAN'!$C$7:$C$1492,0),0)),"",OFFSET('HARGA SATUAN'!$D$6,MATCH(RAB!C84,'HARGA SATUAN'!$C$7:$C$1492,0),0))</f>
        <v>JASA</v>
      </c>
      <c r="E84" s="382" t="str">
        <f ca="1">IF(ISERROR(OFFSET('HARGA SATUAN'!$E$6,MATCH(RAB!C84,'HARGA SATUAN'!$C$7:$C$1492,0),0)),"",OFFSET('HARGA SATUAN'!$E$6,MATCH(RAB!C84,'HARGA SATUAN'!$C$7:$C$1492,0),0))</f>
        <v>Lot</v>
      </c>
      <c r="F84" s="383">
        <v>1</v>
      </c>
      <c r="G84" s="384">
        <f ca="1">IF(ISERROR(OFFSET('HARGA SATUAN'!$I$6,MATCH(RAB!C84,'HARGA SATUAN'!$C$7:$C$1492,0),0)),0,OFFSET('HARGA SATUAN'!$I$6,MATCH(RAB!C84,'HARGA SATUAN'!$C$7:$C$1492,0),0))</f>
        <v>2.5000000000000001E-2</v>
      </c>
      <c r="H84" s="385">
        <f ca="1">2.5%*(SUM(H14:H83))</f>
        <v>1955711.25</v>
      </c>
      <c r="I84" s="385">
        <f t="shared" ref="I84" ca="1" si="24">2.5%*(SUM(I14:I83))</f>
        <v>235438.07500000001</v>
      </c>
      <c r="J84" s="385">
        <f ca="1">2.5%*(SUM(J14:J83))</f>
        <v>81172.5</v>
      </c>
      <c r="K84" s="386">
        <f ca="1">SUM(H84:J84)</f>
        <v>2272321.8250000002</v>
      </c>
    </row>
    <row r="85" spans="2:13">
      <c r="B85" s="387"/>
      <c r="C85" s="388"/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IF(ISERROR(OFFSET('HARGA SATUAN'!$E$6,MATCH(RAB!C85,'HARGA SATUAN'!$C$7:$C$1492,0),0)),"",OFFSET('HARGA SATUAN'!$E$6,MATCH(RAB!C85,'HARGA SATUAN'!$C$7:$C$1492,0),0))</f>
        <v/>
      </c>
      <c r="F85" s="378"/>
      <c r="G85" s="360" t="str">
        <f ca="1">IF(ISERROR(OFFSET('HARGA SATUAN'!$I$6,MATCH(RAB!C85,'HARGA SATUAN'!$C$7:$C$1492,0),0)),"",OFFSET('HARGA SATUAN'!$I$6,MATCH(RAB!C85,'HARGA SATUAN'!$C$7:$C$1492,0),0))</f>
        <v/>
      </c>
      <c r="H85" s="361">
        <f ca="1">IF(OR(D85="MDU",D85="MDU-KD"),IF(G85="PLN",0,G85*F85),0)</f>
        <v>0</v>
      </c>
      <c r="I85" s="361">
        <f ca="1">IF(D85="HDW",IF(G85="PLN",0,G85*F85),0)</f>
        <v>0</v>
      </c>
      <c r="J85" s="361">
        <f ca="1">IF(D85="JASA",IF(G85="PLN",0,G85*F85),0)</f>
        <v>0</v>
      </c>
      <c r="K85" s="362">
        <f ca="1">SUM(H85:J85)</f>
        <v>0</v>
      </c>
    </row>
    <row r="86" spans="2:13" ht="15.75" thickBot="1">
      <c r="B86" s="389"/>
      <c r="C86" s="390"/>
      <c r="D86" s="391"/>
      <c r="E86" s="392"/>
      <c r="F86" s="392"/>
      <c r="G86" s="392"/>
      <c r="H86" s="393"/>
      <c r="I86" s="393"/>
      <c r="J86" s="393"/>
      <c r="K86" s="394"/>
    </row>
    <row r="87" spans="2:13">
      <c r="B87" s="395"/>
      <c r="C87" s="632" t="s">
        <v>1007</v>
      </c>
      <c r="D87" s="632"/>
      <c r="E87" s="632"/>
      <c r="F87" s="632"/>
      <c r="G87" s="396" t="s">
        <v>9</v>
      </c>
      <c r="H87" s="397">
        <f ca="1">SUM(H14:H85)</f>
        <v>80184161.25</v>
      </c>
      <c r="I87" s="397">
        <f ca="1">SUM(I14:I85)</f>
        <v>9652961.0749999993</v>
      </c>
      <c r="J87" s="397">
        <f ca="1">SUM(J14:J85)</f>
        <v>3328072.5</v>
      </c>
      <c r="K87" s="397">
        <f ca="1">SUM(K14:K85)</f>
        <v>93165194.825000003</v>
      </c>
    </row>
    <row r="88" spans="2:13">
      <c r="B88" s="400"/>
      <c r="C88" s="615" t="s">
        <v>1459</v>
      </c>
      <c r="D88" s="615"/>
      <c r="E88" s="615"/>
      <c r="F88" s="615"/>
      <c r="G88" s="401" t="s">
        <v>9</v>
      </c>
      <c r="H88" s="402">
        <f ca="1">H87*0.11</f>
        <v>8820257.7375000007</v>
      </c>
      <c r="I88" s="402">
        <f ca="1">I87*0.11</f>
        <v>1061825.7182499999</v>
      </c>
      <c r="J88" s="402">
        <f ca="1">J87*0.11</f>
        <v>366087.97499999998</v>
      </c>
      <c r="K88" s="402">
        <f ca="1">K87*0.11</f>
        <v>10248171.430750001</v>
      </c>
    </row>
    <row r="89" spans="2:13" ht="15.75" thickBot="1">
      <c r="B89" s="400"/>
      <c r="C89" s="613" t="s">
        <v>463</v>
      </c>
      <c r="D89" s="613"/>
      <c r="E89" s="613"/>
      <c r="F89" s="613"/>
      <c r="G89" s="404" t="s">
        <v>9</v>
      </c>
      <c r="H89" s="405">
        <f ca="1">SUM(H87:H88)</f>
        <v>89004418.987499997</v>
      </c>
      <c r="I89" s="405">
        <f ca="1">SUM(I87:I88)</f>
        <v>10714786.793249998</v>
      </c>
      <c r="J89" s="404">
        <f ca="1">SUM(J87:J88)</f>
        <v>3694160.4750000001</v>
      </c>
      <c r="K89" s="404">
        <f ca="1">SUM(K87:K88)</f>
        <v>103413366.25575</v>
      </c>
      <c r="M89" s="489"/>
    </row>
    <row r="90" spans="2:13">
      <c r="B90" s="616" t="str">
        <f ca="1">"Terbilang : "&amp;PROPER(IF(K89=0,"nol",IF(K89&lt;0,"minus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IF(--MID(TEXT(ABS(K89),"000000000000000"),1,3)=0,"",MID(TEXT(ABS(K89),"000000000000000"),1,1)&amp;" ratus "&amp;MID(TEXT(ABS(K89),"000000000000000"),2,1)&amp;" puluh "&amp;MID(TEXT(ABS(K89),"000000000000000"),3,1)&amp;" trilyun ")&amp; IF(--MID(TEXT(ABS(K89),"000000000000000"),4,3)=0,"",MID(TEXT(ABS(K89),"000000000000000"),4,1)&amp;" ratus "&amp;MID(TEXT(ABS(K89),"000000000000000"),5,1)&amp;" puluh "&amp;MID(TEXT(ABS(K89),"000000000000000"),6,1)&amp;" milyar ")&amp; IF(--MID(TEXT(ABS(K89),"000000000000000"),7,3)=0,"",MID(TEXT(ABS(K89),"000000000000000"),7,1)&amp;" ratus "&amp;MID(TEXT(ABS(K89),"000000000000000"),8,1)&amp;" puluh "&amp;MID(TEXT(ABS(K89),"000000000000000"),9,1)&amp;" juta ")&amp; IF(--MID(TEXT(ABS(K89),"000000000000000"),10,3)=0,"",IF(--MID(TEXT(ABS(K89),"000000000000000"),10,3)=1,"*",MID(TEXT(ABS(K89),"000000000000000"),10,1)&amp;" ratus "&amp;MID(TEXT(ABS(K89),"000000000000000"),11,1)&amp;" puluh ")&amp;MID(TEXT(ABS(K89),"000000000000000"),12,1)&amp;" ribu ")&amp; IF(--MID(TEXT(ABS(K89),"000000000000000"),13,3)=0,"",MID(TEXT(ABS(K89),"000000000000000"),13,1)&amp;" ratus "&amp;MID(TEXT(ABS(K89),"000000000000000"),14,1)&amp;" puluh "&amp;MID(TEXT(ABS(K89),"000000000000000"),15,1)),1,"satu"),2,"dua"),3,"tiga"),4,"empat"),5,"lima"),6,"enam"),7,"tujuh"),8,"delapan"),9,"sembilan"),"0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Juta Empat Ratus Tiga Belas Ribu Tiga Ratus Enam Puluh Enam Rupiah</v>
      </c>
      <c r="C90" s="617"/>
      <c r="D90" s="617"/>
      <c r="E90" s="617"/>
      <c r="F90" s="617"/>
      <c r="G90" s="617"/>
      <c r="H90" s="617"/>
      <c r="I90" s="617"/>
      <c r="J90" s="617"/>
      <c r="K90" s="618"/>
    </row>
    <row r="91" spans="2:13">
      <c r="B91" s="619"/>
      <c r="C91" s="620"/>
      <c r="D91" s="620"/>
      <c r="E91" s="620"/>
      <c r="F91" s="620"/>
      <c r="G91" s="620"/>
      <c r="H91" s="620"/>
      <c r="I91" s="620"/>
      <c r="J91" s="620"/>
      <c r="K91" s="621"/>
    </row>
    <row r="92" spans="2:13" ht="15.75" thickBot="1">
      <c r="B92" s="407" t="str">
        <f>"Harga yang dipakai adalah "&amp;'HARGA SATUAN'!I5&amp;""</f>
        <v>Harga yang dipakai adalah RAB HSS 2023</v>
      </c>
      <c r="C92" s="408"/>
      <c r="D92" s="409"/>
      <c r="E92" s="409"/>
      <c r="F92" s="409"/>
      <c r="G92" s="410"/>
      <c r="H92" s="410"/>
      <c r="I92" s="410"/>
      <c r="J92" s="410"/>
      <c r="K92" s="411"/>
    </row>
    <row r="93" spans="2:13">
      <c r="C93" s="412"/>
      <c r="E93" s="414"/>
      <c r="F93" s="414"/>
      <c r="G93" s="414"/>
    </row>
    <row r="94" spans="2:13">
      <c r="C94" s="337"/>
      <c r="E94" s="414"/>
      <c r="F94" s="414"/>
      <c r="G94" s="414"/>
      <c r="H94" s="622"/>
      <c r="I94" s="622"/>
      <c r="J94" s="623"/>
      <c r="K94" s="623"/>
    </row>
    <row r="95" spans="2:13">
      <c r="C95" s="337"/>
      <c r="E95" s="414"/>
      <c r="F95" s="414"/>
      <c r="G95" s="414"/>
      <c r="H95" s="415"/>
      <c r="I95" s="612" t="s">
        <v>1612</v>
      </c>
      <c r="J95" s="612"/>
      <c r="K95" s="612"/>
    </row>
    <row r="96" spans="2:13">
      <c r="C96" s="337"/>
      <c r="E96" s="414"/>
      <c r="F96" s="414"/>
      <c r="G96" s="414"/>
      <c r="H96" s="415"/>
      <c r="I96" s="612" t="s">
        <v>1550</v>
      </c>
      <c r="J96" s="612"/>
      <c r="K96" s="612"/>
    </row>
    <row r="97" spans="3:11">
      <c r="C97" s="337"/>
      <c r="E97" s="414"/>
      <c r="F97" s="414"/>
      <c r="G97" s="414"/>
      <c r="H97" s="416"/>
      <c r="I97" s="417"/>
      <c r="J97" s="417"/>
      <c r="K97" s="417"/>
    </row>
    <row r="98" spans="3:11">
      <c r="C98" s="337"/>
      <c r="E98" s="414"/>
      <c r="F98" s="414"/>
      <c r="G98" s="414"/>
      <c r="H98" s="416"/>
      <c r="I98" s="416"/>
      <c r="J98" s="416"/>
      <c r="K98" s="416"/>
    </row>
    <row r="99" spans="3:11">
      <c r="C99" s="337"/>
      <c r="E99" s="414"/>
      <c r="F99" s="414"/>
      <c r="G99" s="414"/>
      <c r="H99" s="416"/>
      <c r="I99" s="416"/>
      <c r="J99" s="416"/>
      <c r="K99" s="416"/>
    </row>
    <row r="100" spans="3:11">
      <c r="C100" s="337"/>
      <c r="E100" s="414"/>
      <c r="F100" s="414"/>
      <c r="G100" s="414"/>
      <c r="H100" s="416"/>
      <c r="I100" s="416"/>
      <c r="J100" s="416"/>
      <c r="K100" s="416"/>
    </row>
    <row r="101" spans="3:11">
      <c r="C101" s="337"/>
      <c r="E101" s="414"/>
      <c r="F101" s="414"/>
      <c r="G101" s="414"/>
      <c r="H101" s="418"/>
      <c r="I101" s="612" t="s">
        <v>1551</v>
      </c>
      <c r="J101" s="612"/>
      <c r="K101" s="612"/>
    </row>
    <row r="102" spans="3:11">
      <c r="C102" s="412"/>
      <c r="E102" s="414"/>
      <c r="F102" s="414"/>
      <c r="G102" s="414"/>
      <c r="H102" s="416"/>
      <c r="I102" s="416"/>
      <c r="J102" s="416"/>
      <c r="K102" s="416"/>
    </row>
    <row r="103" spans="3:11">
      <c r="C103" s="412"/>
      <c r="E103" s="414"/>
      <c r="F103" s="414"/>
      <c r="G103" s="414"/>
      <c r="H103" s="416"/>
      <c r="I103" s="416"/>
      <c r="J103" s="416"/>
      <c r="K103" s="416"/>
    </row>
    <row r="104" spans="3:11">
      <c r="C104" s="412"/>
      <c r="E104" s="414"/>
      <c r="F104" s="414"/>
      <c r="G104" s="414"/>
      <c r="H104" s="416"/>
      <c r="I104" s="416"/>
      <c r="J104" s="416"/>
      <c r="K104" s="416"/>
    </row>
  </sheetData>
  <sheetProtection sort="0" autoFilter="0"/>
  <protectedRanges>
    <protectedRange sqref="B82 B37:B44" name="Range1_1"/>
    <protectedRange sqref="F14:F16 F18:F20" name="Range1_1_2_2"/>
    <protectedRange sqref="B81:C81 B56:C56 C37:C44 B22:C24" name="Range1_1_1"/>
    <protectedRange sqref="C82" name="Range1_1_3_12"/>
    <protectedRange sqref="F17" name="Range1_1_2_2_1_1"/>
    <protectedRange sqref="C62" name="Range1_1_3_18"/>
    <protectedRange sqref="C26" name="Range1_1_3_11"/>
    <protectedRange sqref="C29" name="Range1_1_3_16"/>
    <protectedRange sqref="C33" name="Range1_1_3_17"/>
    <protectedRange sqref="C28" name="Range1_1_3"/>
    <protectedRange sqref="C32" name="Range1_1_3_1"/>
  </protectedRanges>
  <mergeCells count="22">
    <mergeCell ref="O3:P4"/>
    <mergeCell ref="B4:K4"/>
    <mergeCell ref="C87:F87"/>
    <mergeCell ref="B11:B13"/>
    <mergeCell ref="C11:C13"/>
    <mergeCell ref="D11:D13"/>
    <mergeCell ref="E11:E13"/>
    <mergeCell ref="F11:F13"/>
    <mergeCell ref="G11:G13"/>
    <mergeCell ref="I12:I13"/>
    <mergeCell ref="I96:K96"/>
    <mergeCell ref="I101:K101"/>
    <mergeCell ref="C89:F89"/>
    <mergeCell ref="G6:K6"/>
    <mergeCell ref="I95:K95"/>
    <mergeCell ref="C88:F88"/>
    <mergeCell ref="B90:K91"/>
    <mergeCell ref="H94:K94"/>
    <mergeCell ref="H11:K11"/>
    <mergeCell ref="H12:H13"/>
    <mergeCell ref="J12:J13"/>
    <mergeCell ref="K12:K13"/>
  </mergeCells>
  <phoneticPr fontId="136" type="noConversion"/>
  <conditionalFormatting sqref="C15 C17">
    <cfRule type="cellIs" dxfId="15" priority="463" operator="equal">
      <formula>0</formula>
    </cfRule>
  </conditionalFormatting>
  <conditionalFormatting sqref="E14:K23 S14:V20">
    <cfRule type="cellIs" dxfId="14" priority="42" stopIfTrue="1" operator="equal">
      <formula>0</formula>
    </cfRule>
  </conditionalFormatting>
  <conditionalFormatting sqref="C44">
    <cfRule type="cellIs" dxfId="13" priority="54" operator="equal">
      <formula>0</formula>
    </cfRule>
  </conditionalFormatting>
  <conditionalFormatting sqref="C59">
    <cfRule type="cellIs" dxfId="12" priority="25" operator="equal">
      <formula>0</formula>
    </cfRule>
  </conditionalFormatting>
  <conditionalFormatting sqref="C62">
    <cfRule type="cellIs" dxfId="11" priority="15" operator="equal">
      <formula>0</formula>
    </cfRule>
  </conditionalFormatting>
  <conditionalFormatting sqref="C82">
    <cfRule type="cellIs" dxfId="10" priority="61" operator="equal">
      <formula>0</formula>
    </cfRule>
  </conditionalFormatting>
  <conditionalFormatting sqref="E1:E3 G1:G13 E5:E13 H12:I12 O13 E84:G84 H84:K86 E85:H85 E86:F86">
    <cfRule type="cellIs" dxfId="9" priority="1043" stopIfTrue="1" operator="equal">
      <formula>0</formula>
    </cfRule>
  </conditionalFormatting>
  <conditionalFormatting sqref="E44:K64 E24:E43 G24:K43 E73:K83 E65:E72 G65:K72">
    <cfRule type="cellIs" dxfId="8" priority="11" stopIfTrue="1" operator="equal">
      <formula>0</formula>
    </cfRule>
  </conditionalFormatting>
  <conditionalFormatting sqref="G85:G65551 E90:E65551">
    <cfRule type="cellIs" dxfId="7" priority="177" stopIfTrue="1" operator="equal">
      <formula>0</formula>
    </cfRule>
  </conditionalFormatting>
  <conditionalFormatting sqref="C25">
    <cfRule type="cellIs" dxfId="6" priority="7" operator="equal">
      <formula>0</formula>
    </cfRule>
  </conditionalFormatting>
  <conditionalFormatting sqref="C29">
    <cfRule type="cellIs" dxfId="5" priority="6" operator="equal">
      <formula>0</formula>
    </cfRule>
  </conditionalFormatting>
  <conditionalFormatting sqref="F24:F43">
    <cfRule type="cellIs" dxfId="4" priority="5" stopIfTrue="1" operator="equal">
      <formula>0</formula>
    </cfRule>
  </conditionalFormatting>
  <conditionalFormatting sqref="C71">
    <cfRule type="cellIs" dxfId="3" priority="4" operator="equal">
      <formula>0</formula>
    </cfRule>
  </conditionalFormatting>
  <conditionalFormatting sqref="F65:F72">
    <cfRule type="cellIs" dxfId="2" priority="3" stopIfTrue="1" operator="equal">
      <formula>0</formula>
    </cfRule>
  </conditionalFormatting>
  <conditionalFormatting sqref="C28">
    <cfRule type="cellIs" dxfId="1" priority="2" operator="equal">
      <formula>0</formula>
    </cfRule>
  </conditionalFormatting>
  <conditionalFormatting sqref="C32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64 H14:K86 F73:F83 F21:F57 C26:C2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29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8" zoomScale="130" zoomScaleNormal="115" zoomScaleSheetLayoutView="130" workbookViewId="0">
      <selection activeCell="U27" sqref="U2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5" t="s">
        <v>1438</v>
      </c>
      <c r="X2" s="696"/>
      <c r="Y2" s="696"/>
      <c r="Z2" s="696"/>
      <c r="AA2" s="696"/>
      <c r="AB2" s="696"/>
      <c r="AC2" s="696"/>
      <c r="AD2" s="697"/>
    </row>
    <row r="3" spans="3:30">
      <c r="C3" s="238"/>
      <c r="W3" s="698"/>
      <c r="X3" s="699"/>
      <c r="Y3" s="699"/>
      <c r="Z3" s="699"/>
      <c r="AA3" s="699"/>
      <c r="AB3" s="699"/>
      <c r="AC3" s="699"/>
      <c r="AD3" s="700"/>
    </row>
    <row r="4" spans="3:30">
      <c r="C4" s="238"/>
      <c r="W4" s="239" t="s">
        <v>986</v>
      </c>
      <c r="AD4" s="240"/>
    </row>
    <row r="5" spans="3:30">
      <c r="C5" s="238"/>
      <c r="W5" s="241" t="s">
        <v>990</v>
      </c>
      <c r="X5" s="644" t="s">
        <v>989</v>
      </c>
      <c r="Y5" s="644"/>
      <c r="Z5" s="644"/>
      <c r="AA5" s="644" t="s">
        <v>987</v>
      </c>
      <c r="AB5" s="644"/>
      <c r="AC5" s="644" t="s">
        <v>988</v>
      </c>
      <c r="AD5" s="645"/>
    </row>
    <row r="6" spans="3:30">
      <c r="C6" s="238"/>
      <c r="W6" s="241">
        <v>1</v>
      </c>
      <c r="X6" s="644" t="s">
        <v>992</v>
      </c>
      <c r="Y6" s="644"/>
      <c r="Z6" s="644"/>
      <c r="AA6" s="644"/>
      <c r="AB6" s="644"/>
      <c r="AC6" s="644"/>
      <c r="AD6" s="645"/>
    </row>
    <row r="7" spans="3:30">
      <c r="C7" s="238"/>
      <c r="E7" s="495" t="s">
        <v>1621</v>
      </c>
      <c r="W7" s="241">
        <v>2</v>
      </c>
      <c r="X7" s="644" t="s">
        <v>993</v>
      </c>
      <c r="Y7" s="644"/>
      <c r="Z7" s="644"/>
      <c r="AA7" s="644"/>
      <c r="AB7" s="644"/>
      <c r="AC7" s="644"/>
      <c r="AD7" s="645"/>
    </row>
    <row r="8" spans="3:30">
      <c r="C8" s="238"/>
      <c r="W8" s="241">
        <v>3</v>
      </c>
      <c r="X8" s="644" t="s">
        <v>994</v>
      </c>
      <c r="Y8" s="644"/>
      <c r="Z8" s="644"/>
      <c r="AA8" s="644"/>
      <c r="AB8" s="644"/>
      <c r="AC8" s="644"/>
      <c r="AD8" s="645"/>
    </row>
    <row r="9" spans="3:30">
      <c r="C9" s="238"/>
      <c r="W9" s="241">
        <v>4</v>
      </c>
      <c r="X9" s="644" t="s">
        <v>995</v>
      </c>
      <c r="Y9" s="644"/>
      <c r="Z9" s="644"/>
      <c r="AA9" s="644"/>
      <c r="AB9" s="644"/>
      <c r="AC9" s="644"/>
      <c r="AD9" s="645"/>
    </row>
    <row r="10" spans="3:30">
      <c r="C10" s="238"/>
      <c r="W10" s="241">
        <v>5</v>
      </c>
      <c r="X10" s="644" t="s">
        <v>996</v>
      </c>
      <c r="Y10" s="644"/>
      <c r="Z10" s="644"/>
      <c r="AA10" s="644"/>
      <c r="AB10" s="644"/>
      <c r="AC10" s="644"/>
      <c r="AD10" s="645"/>
    </row>
    <row r="11" spans="3:30">
      <c r="C11" s="238"/>
      <c r="W11" s="241">
        <v>6</v>
      </c>
      <c r="X11" s="644" t="s">
        <v>997</v>
      </c>
      <c r="Y11" s="644"/>
      <c r="Z11" s="644"/>
      <c r="AA11" s="644"/>
      <c r="AB11" s="644"/>
      <c r="AC11" s="644"/>
      <c r="AD11" s="645"/>
    </row>
    <row r="12" spans="3:30">
      <c r="C12" s="238"/>
      <c r="W12" s="241">
        <v>7</v>
      </c>
      <c r="X12" s="644" t="s">
        <v>998</v>
      </c>
      <c r="Y12" s="644"/>
      <c r="Z12" s="644"/>
      <c r="AA12" s="644"/>
      <c r="AB12" s="644"/>
      <c r="AC12" s="644"/>
      <c r="AD12" s="645"/>
    </row>
    <row r="13" spans="3:30" ht="12.75" customHeight="1">
      <c r="C13" s="238"/>
      <c r="W13" s="241">
        <v>8</v>
      </c>
      <c r="X13" s="644" t="s">
        <v>999</v>
      </c>
      <c r="Y13" s="644"/>
      <c r="Z13" s="644"/>
      <c r="AA13" s="644"/>
      <c r="AB13" s="644"/>
      <c r="AC13" s="644"/>
      <c r="AD13" s="645"/>
    </row>
    <row r="14" spans="3:30">
      <c r="C14" s="238"/>
      <c r="W14" s="241">
        <v>9</v>
      </c>
      <c r="X14" s="644" t="s">
        <v>1000</v>
      </c>
      <c r="Y14" s="644"/>
      <c r="Z14" s="644"/>
      <c r="AA14" s="644"/>
      <c r="AB14" s="644"/>
      <c r="AC14" s="644"/>
      <c r="AD14" s="645"/>
    </row>
    <row r="15" spans="3:30">
      <c r="C15" s="238"/>
      <c r="W15" s="241">
        <v>10</v>
      </c>
      <c r="X15" s="644" t="s">
        <v>1009</v>
      </c>
      <c r="Y15" s="644"/>
      <c r="Z15" s="644"/>
      <c r="AA15" s="644"/>
      <c r="AB15" s="644"/>
      <c r="AC15" s="644"/>
      <c r="AD15" s="645"/>
    </row>
    <row r="16" spans="3:30">
      <c r="C16" s="238"/>
      <c r="W16" s="241">
        <v>11</v>
      </c>
      <c r="X16" s="644" t="s">
        <v>1457</v>
      </c>
      <c r="Y16" s="644"/>
      <c r="Z16" s="644"/>
      <c r="AA16" s="644"/>
      <c r="AB16" s="644"/>
      <c r="AC16" s="644"/>
      <c r="AD16" s="645"/>
    </row>
    <row r="17" spans="3:30">
      <c r="C17" s="238"/>
      <c r="S17" s="242"/>
      <c r="W17" s="241">
        <v>12</v>
      </c>
      <c r="X17" s="644" t="s">
        <v>1010</v>
      </c>
      <c r="Y17" s="644"/>
      <c r="Z17" s="644"/>
      <c r="AA17" s="644"/>
      <c r="AB17" s="644"/>
      <c r="AC17" s="644"/>
      <c r="AD17" s="645"/>
    </row>
    <row r="18" spans="3:30">
      <c r="C18" s="243"/>
      <c r="D18" s="244"/>
      <c r="E18" s="244"/>
      <c r="W18" s="241">
        <v>13</v>
      </c>
      <c r="X18" s="644"/>
      <c r="Y18" s="644"/>
      <c r="Z18" s="644"/>
      <c r="AA18" s="644"/>
      <c r="AB18" s="644"/>
      <c r="AC18" s="644"/>
      <c r="AD18" s="645"/>
    </row>
    <row r="19" spans="3:30">
      <c r="C19" s="238"/>
      <c r="W19" s="245"/>
      <c r="X19" s="693"/>
      <c r="Y19" s="693"/>
      <c r="Z19" s="693"/>
      <c r="AA19" s="693"/>
      <c r="AB19" s="693"/>
      <c r="AC19" s="693"/>
      <c r="AD19" s="694"/>
    </row>
    <row r="20" spans="3:30">
      <c r="C20" s="238"/>
      <c r="W20" s="680" t="s">
        <v>991</v>
      </c>
      <c r="X20" s="681"/>
      <c r="Y20" s="681"/>
      <c r="Z20" s="681"/>
      <c r="AA20" s="681"/>
      <c r="AB20" s="681"/>
      <c r="AC20" s="681"/>
      <c r="AD20" s="682"/>
    </row>
    <row r="21" spans="3:30">
      <c r="C21" s="238"/>
      <c r="W21" s="683"/>
      <c r="X21" s="684"/>
      <c r="Y21" s="684"/>
      <c r="Z21" s="685"/>
      <c r="AA21" s="686" t="s">
        <v>985</v>
      </c>
      <c r="AB21" s="687"/>
      <c r="AC21" s="687"/>
      <c r="AD21" s="688"/>
    </row>
    <row r="22" spans="3:30">
      <c r="C22" s="238"/>
      <c r="W22" s="689"/>
      <c r="X22" s="690"/>
      <c r="Y22" s="497"/>
      <c r="Z22" s="502"/>
      <c r="AA22" s="691"/>
      <c r="AB22" s="692"/>
      <c r="AC22" s="248"/>
      <c r="AD22" s="249"/>
    </row>
    <row r="23" spans="3:30">
      <c r="C23" s="238"/>
      <c r="W23" s="689"/>
      <c r="X23" s="690"/>
      <c r="Y23" s="497"/>
      <c r="Z23" s="502"/>
      <c r="AA23" s="678"/>
      <c r="AB23" s="679"/>
      <c r="AC23" s="248"/>
      <c r="AD23" s="249"/>
    </row>
    <row r="24" spans="3:30">
      <c r="C24" s="238"/>
      <c r="W24" s="673"/>
      <c r="X24" s="675"/>
      <c r="Y24" s="246"/>
      <c r="Z24" s="247"/>
      <c r="AA24" s="676"/>
      <c r="AB24" s="677"/>
      <c r="AC24" s="248"/>
      <c r="AD24" s="249"/>
    </row>
    <row r="25" spans="3:30">
      <c r="C25" s="238"/>
      <c r="W25" s="673"/>
      <c r="X25" s="675"/>
      <c r="Y25" s="246"/>
      <c r="Z25" s="247"/>
      <c r="AA25" s="678"/>
      <c r="AB25" s="679"/>
      <c r="AC25" s="248"/>
      <c r="AD25" s="249"/>
    </row>
    <row r="26" spans="3:30">
      <c r="C26" s="238"/>
      <c r="W26" s="485"/>
      <c r="X26" s="486"/>
      <c r="Y26" s="246"/>
      <c r="Z26" s="247"/>
      <c r="AA26" s="678"/>
      <c r="AB26" s="679"/>
      <c r="AC26" s="248"/>
      <c r="AD26" s="249"/>
    </row>
    <row r="27" spans="3:30">
      <c r="C27" s="238"/>
      <c r="W27" s="485"/>
      <c r="X27" s="486"/>
      <c r="Y27" s="246"/>
      <c r="Z27" s="247"/>
      <c r="AA27" s="672"/>
      <c r="AB27" s="667"/>
      <c r="AC27" s="248"/>
      <c r="AD27" s="249"/>
    </row>
    <row r="28" spans="3:30">
      <c r="C28" s="238"/>
      <c r="W28" s="485"/>
      <c r="X28" s="486"/>
      <c r="Y28" s="246"/>
      <c r="Z28" s="247"/>
      <c r="AA28" s="672"/>
      <c r="AB28" s="667"/>
      <c r="AC28" s="248"/>
      <c r="AD28" s="249"/>
    </row>
    <row r="29" spans="3:30">
      <c r="C29" s="238"/>
      <c r="W29" s="485"/>
      <c r="X29" s="486"/>
      <c r="Y29" s="246"/>
      <c r="Z29" s="247"/>
      <c r="AA29" s="672"/>
      <c r="AB29" s="667"/>
      <c r="AC29" s="248"/>
      <c r="AD29" s="249"/>
    </row>
    <row r="30" spans="3:30" ht="11.25" customHeight="1">
      <c r="C30" s="238"/>
      <c r="W30" s="487"/>
      <c r="X30" s="488"/>
      <c r="Y30" s="246"/>
      <c r="Z30" s="247"/>
      <c r="AA30" s="672"/>
      <c r="AB30" s="667"/>
      <c r="AC30" s="248"/>
      <c r="AD30" s="249"/>
    </row>
    <row r="31" spans="3:30">
      <c r="C31" s="238"/>
      <c r="U31" s="250"/>
      <c r="W31" s="485"/>
      <c r="X31" s="486"/>
      <c r="Y31" s="246"/>
      <c r="Z31" s="247"/>
      <c r="AA31" s="672"/>
      <c r="AB31" s="667"/>
      <c r="AC31" s="248"/>
      <c r="AD31" s="249"/>
    </row>
    <row r="32" spans="3:30">
      <c r="C32" s="238"/>
      <c r="U32" s="250"/>
      <c r="W32" s="485"/>
      <c r="X32" s="486"/>
      <c r="Y32" s="246"/>
      <c r="Z32" s="247"/>
      <c r="AA32" s="672"/>
      <c r="AB32" s="667"/>
      <c r="AC32" s="248"/>
      <c r="AD32" s="249"/>
    </row>
    <row r="33" spans="3:30">
      <c r="C33" s="238"/>
      <c r="W33" s="485"/>
      <c r="X33" s="486"/>
      <c r="Y33" s="246"/>
      <c r="Z33" s="247"/>
      <c r="AA33" s="672"/>
      <c r="AB33" s="667"/>
      <c r="AC33" s="248"/>
      <c r="AD33" s="249"/>
    </row>
    <row r="34" spans="3:30">
      <c r="C34" s="238"/>
      <c r="W34" s="485"/>
      <c r="X34" s="486"/>
      <c r="Y34" s="246"/>
      <c r="Z34" s="247"/>
      <c r="AA34" s="672"/>
      <c r="AB34" s="667"/>
      <c r="AC34" s="248"/>
      <c r="AD34" s="249"/>
    </row>
    <row r="35" spans="3:30">
      <c r="C35" s="238"/>
      <c r="W35" s="673"/>
      <c r="X35" s="674"/>
      <c r="Y35" s="246"/>
      <c r="Z35" s="247"/>
      <c r="AA35" s="672"/>
      <c r="AB35" s="667"/>
      <c r="AC35" s="248"/>
      <c r="AD35" s="249"/>
    </row>
    <row r="36" spans="3:30">
      <c r="C36" s="238"/>
      <c r="W36" s="664"/>
      <c r="X36" s="665"/>
      <c r="Y36" s="246"/>
      <c r="Z36" s="251"/>
      <c r="AA36" s="666"/>
      <c r="AB36" s="667"/>
      <c r="AC36" s="248"/>
      <c r="AD36" s="249"/>
    </row>
    <row r="37" spans="3:30" ht="12.75" customHeight="1">
      <c r="C37" s="238"/>
      <c r="W37" s="668"/>
      <c r="X37" s="669"/>
      <c r="Y37" s="246"/>
      <c r="Z37" s="251"/>
      <c r="AA37" s="670"/>
      <c r="AB37" s="671"/>
      <c r="AC37" s="252"/>
      <c r="AD37" s="253"/>
    </row>
    <row r="38" spans="3:30" ht="12.75" customHeight="1">
      <c r="C38" s="238"/>
      <c r="W38" s="668"/>
      <c r="X38" s="66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8"/>
      <c r="X39" s="669"/>
      <c r="Y39" s="254"/>
      <c r="Z39" s="257"/>
      <c r="AA39" s="660"/>
      <c r="AB39" s="661"/>
      <c r="AC39" s="252"/>
      <c r="AD39" s="253"/>
    </row>
    <row r="40" spans="3:30" ht="12" customHeight="1">
      <c r="C40" s="238"/>
      <c r="W40" s="656"/>
      <c r="X40" s="65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8"/>
      <c r="X41" s="659"/>
      <c r="Y41" s="260"/>
      <c r="Z41" s="261"/>
      <c r="AA41" s="660"/>
      <c r="AB41" s="661"/>
      <c r="AC41" s="252"/>
      <c r="AD41" s="253"/>
    </row>
    <row r="42" spans="3:30" ht="12" customHeight="1">
      <c r="C42" s="238"/>
      <c r="W42" s="662" t="s">
        <v>1458</v>
      </c>
      <c r="X42" s="663"/>
      <c r="Y42" s="663"/>
      <c r="Z42" s="66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1" t="s">
        <v>11</v>
      </c>
      <c r="X44" s="642"/>
      <c r="Y44" s="644"/>
      <c r="Z44" s="644"/>
      <c r="AA44" s="644"/>
      <c r="AB44" s="644"/>
      <c r="AC44" s="644"/>
      <c r="AD44" s="64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1" t="s">
        <v>984</v>
      </c>
      <c r="X45" s="642"/>
      <c r="Y45" s="644">
        <v>1</v>
      </c>
      <c r="Z45" s="644"/>
      <c r="AA45" s="644"/>
      <c r="AB45" s="644" t="s">
        <v>12</v>
      </c>
      <c r="AC45" s="64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1" t="s">
        <v>15</v>
      </c>
      <c r="X46" s="642"/>
      <c r="Y46" s="655"/>
      <c r="Z46" s="655"/>
      <c r="AA46" s="655"/>
      <c r="AB46" s="644" t="s">
        <v>16</v>
      </c>
      <c r="AC46" s="64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9" t="s">
        <v>17</v>
      </c>
      <c r="X47" s="649"/>
      <c r="Y47" s="649"/>
      <c r="Z47" s="649"/>
      <c r="AA47" s="649"/>
      <c r="AB47" s="649"/>
      <c r="AC47" s="649"/>
      <c r="AD47" s="65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1" t="str">
        <f>RAB!G6</f>
        <v>AGR PUWANINGSIH</v>
      </c>
      <c r="X48" s="651"/>
      <c r="Y48" s="651"/>
      <c r="Z48" s="651"/>
      <c r="AA48" s="651"/>
      <c r="AB48" s="651"/>
      <c r="AC48" s="651"/>
      <c r="AD48" s="65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1"/>
      <c r="X49" s="651"/>
      <c r="Y49" s="651"/>
      <c r="Z49" s="651"/>
      <c r="AA49" s="651"/>
      <c r="AB49" s="651"/>
      <c r="AC49" s="651"/>
      <c r="AD49" s="65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1"/>
      <c r="X50" s="651"/>
      <c r="Y50" s="651"/>
      <c r="Z50" s="651"/>
      <c r="AA50" s="651"/>
      <c r="AB50" s="651"/>
      <c r="AC50" s="651"/>
      <c r="AD50" s="65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3"/>
      <c r="X51" s="653"/>
      <c r="Y51" s="653"/>
      <c r="Z51" s="653"/>
      <c r="AA51" s="653"/>
      <c r="AB51" s="653"/>
      <c r="AC51" s="653"/>
      <c r="AD51" s="65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1" t="s">
        <v>18</v>
      </c>
      <c r="X52" s="642"/>
      <c r="Y52" s="644" t="s">
        <v>1615</v>
      </c>
      <c r="Z52" s="644"/>
      <c r="AA52" s="644"/>
      <c r="AB52" s="644"/>
      <c r="AC52" s="644"/>
      <c r="AD52" s="64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1" t="s">
        <v>19</v>
      </c>
      <c r="X53" s="642"/>
      <c r="Y53" s="644" t="s">
        <v>1616</v>
      </c>
      <c r="Z53" s="644"/>
      <c r="AA53" s="644"/>
      <c r="AB53" s="644"/>
      <c r="AC53" s="644"/>
      <c r="AD53" s="64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1" t="s">
        <v>20</v>
      </c>
      <c r="X54" s="642"/>
      <c r="Y54" s="643" t="s">
        <v>1617</v>
      </c>
      <c r="Z54" s="643"/>
      <c r="AA54" s="643"/>
      <c r="AB54" s="644"/>
      <c r="AC54" s="644"/>
      <c r="AD54" s="64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6" t="s">
        <v>21</v>
      </c>
      <c r="X55" s="647"/>
      <c r="Y55" s="643" t="s">
        <v>1553</v>
      </c>
      <c r="Z55" s="643"/>
      <c r="AA55" s="643"/>
      <c r="AB55" s="643"/>
      <c r="AC55" s="643"/>
      <c r="AD55" s="64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Y44" sqref="Y44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1" t="s">
        <v>1530</v>
      </c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3"/>
      <c r="AD4" s="217"/>
      <c r="AE4" s="216"/>
      <c r="AF4" s="216"/>
    </row>
    <row r="5" spans="2:32" ht="13.5" customHeight="1">
      <c r="B5" s="215"/>
      <c r="C5" s="215"/>
      <c r="D5" s="704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06"/>
      <c r="AD5" s="217"/>
      <c r="AE5" s="216"/>
      <c r="AF5" s="216"/>
    </row>
    <row r="6" spans="2:32" ht="12.75" customHeight="1">
      <c r="B6" s="215"/>
      <c r="C6" s="215"/>
      <c r="D6" s="704"/>
      <c r="E6" s="705"/>
      <c r="F6" s="705"/>
      <c r="G6" s="705"/>
      <c r="H6" s="705"/>
      <c r="I6" s="705"/>
      <c r="J6" s="705"/>
      <c r="K6" s="705"/>
      <c r="L6" s="705"/>
      <c r="M6" s="705"/>
      <c r="N6" s="705"/>
      <c r="O6" s="705"/>
      <c r="P6" s="705"/>
      <c r="Q6" s="705"/>
      <c r="R6" s="705"/>
      <c r="S6" s="705"/>
      <c r="T6" s="705"/>
      <c r="U6" s="705"/>
      <c r="V6" s="705"/>
      <c r="W6" s="705"/>
      <c r="X6" s="705"/>
      <c r="Y6" s="705"/>
      <c r="Z6" s="705"/>
      <c r="AA6" s="705"/>
      <c r="AB6" s="705"/>
      <c r="AC6" s="706"/>
      <c r="AE6" s="216"/>
      <c r="AF6" s="216"/>
    </row>
    <row r="7" spans="2:32" ht="12.75" customHeight="1" thickBot="1">
      <c r="B7" s="215"/>
      <c r="C7" s="215"/>
      <c r="D7" s="707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08"/>
      <c r="P7" s="708"/>
      <c r="Q7" s="708"/>
      <c r="R7" s="708"/>
      <c r="S7" s="708"/>
      <c r="T7" s="708"/>
      <c r="U7" s="708"/>
      <c r="V7" s="708"/>
      <c r="W7" s="708"/>
      <c r="X7" s="708"/>
      <c r="Y7" s="708"/>
      <c r="Z7" s="708"/>
      <c r="AA7" s="708"/>
      <c r="AB7" s="708"/>
      <c r="AC7" s="70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4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5" t="s">
        <v>1529</v>
      </c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10"/>
      <c r="D6" s="710"/>
      <c r="E6" s="710"/>
      <c r="F6" s="710"/>
      <c r="G6" s="710"/>
      <c r="H6" s="710"/>
      <c r="I6" s="710"/>
      <c r="J6" s="710"/>
      <c r="K6" s="710"/>
      <c r="L6" s="710"/>
      <c r="M6" s="710"/>
      <c r="W6" s="182"/>
      <c r="Y6" s="432"/>
      <c r="Z6" s="432"/>
      <c r="AA6" s="432"/>
      <c r="AB6" s="433"/>
      <c r="AC6" s="433"/>
    </row>
    <row r="7" spans="1:29" ht="18" customHeight="1">
      <c r="A7" s="181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2023-02-27T08:00:50Z</cp:lastPrinted>
  <dcterms:created xsi:type="dcterms:W3CDTF">2011-02-06T11:57:38Z</dcterms:created>
  <dcterms:modified xsi:type="dcterms:W3CDTF">2024-05-29T08:25:12Z</dcterms:modified>
</cp:coreProperties>
</file>