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E99D0250-8BBE-43AF-8EE6-53953454CBA7}" xr6:coauthVersionLast="47" xr6:coauthVersionMax="47" xr10:uidLastSave="{00000000-0000-0000-0000-000000000000}"/>
  <bookViews>
    <workbookView xWindow="-120" yWindow="-120" windowWidth="29040" windowHeight="15720" tabRatio="859" firstSheet="1" activeTab="10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SLD" sheetId="67" r:id="rId10"/>
    <sheet name="GAMBAR" sheetId="64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>#REF!</definedName>
    <definedName name="\P" localSheetId="6">#REF!</definedName>
    <definedName name="\P" localSheetId="10">#REF!</definedName>
    <definedName name="\P" localSheetId="7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>#REF!</definedName>
    <definedName name="\W" localSheetId="6">#REF!</definedName>
    <definedName name="\W" localSheetId="10">#REF!</definedName>
    <definedName name="\W" localSheetId="7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10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10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10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10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localSheetId="9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10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localSheetId="9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>#REF!</definedName>
    <definedName name="_4" localSheetId="6">#REF!</definedName>
    <definedName name="_4" localSheetId="10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>#REF!</definedName>
    <definedName name="_5" localSheetId="6">#REF!</definedName>
    <definedName name="_5" localSheetId="10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localSheetId="9" hidden="1">[13]graf2!$D$12:$L$12</definedName>
    <definedName name="_6__123Graph_BCHART_2" hidden="1">[14]graf2!$D$12:$L$12</definedName>
    <definedName name="_6__123Graph_CCHART_2" localSheetId="10" hidden="1">[12]graf2!$D$14:$L$14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>#REF!</definedName>
    <definedName name="_8FORM_B" localSheetId="6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10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9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9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9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10">#REF!</definedName>
    <definedName name="_Z" localSheetId="7">#REF!</definedName>
    <definedName name="_Z">#REF!</definedName>
    <definedName name="a" localSheetId="6">[15]JAN07!#REF!</definedName>
    <definedName name="a" localSheetId="10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9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10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9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10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9" hidden="1">{#N/A,#N/A,FALSE,"M.42"}</definedName>
    <definedName name="asasdasd" hidden="1">{#N/A,#N/A,FALSE,"M.42"}</definedName>
    <definedName name="Asumsi" localSheetId="6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>#REF!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9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10">#REF!</definedName>
    <definedName name="baba" localSheetId="5">#REF!</definedName>
    <definedName name="baba">#REF!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9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9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9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9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9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9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9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10">[28]MENU1!$D$4:$T$15</definedName>
    <definedName name="BULAN" localSheetId="5">[28]MENU1!$D$4:$T$15</definedName>
    <definedName name="BULAN">[28]MENU1!$D$4:$T$15</definedName>
    <definedName name="Bulan_Ke" localSheetId="10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9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9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9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9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10">[29]CashFlow!$I$56:$J$57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>#REF!</definedName>
    <definedName name="Dampak" localSheetId="6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9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9" hidden="1">{#N/A,#N/A,FALSE,"M.42"}</definedName>
    <definedName name="dfssfdhn" hidden="1">{#N/A,#N/A,FALSE,"M.42"}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9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10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10">'[19]AHS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9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9" hidden="1">{#N/A,#N/A,FALSE,"M.31"}</definedName>
    <definedName name="DSD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9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9" hidden="1">{#N/A,#N/A,FALSE,"M.41"}</definedName>
    <definedName name="er" hidden="1">{#N/A,#N/A,FALSE,"M.41"}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9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9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>#REF!</definedName>
    <definedName name="FASDF" localSheetId="6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9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9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9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9" hidden="1">{#N/A,#N/A,FALSE,"M.02"}</definedName>
    <definedName name="Gambar_2" hidden="1">{#N/A,#N/A,FALSE,"M.02"}</definedName>
    <definedName name="GANGGUAN" localSheetId="10">[40]MENU!$M$11:$M$124</definedName>
    <definedName name="GANGGUAN">#N/A</definedName>
    <definedName name="GARDU" localSheetId="10">[40]PARAMETER!$A$11:$A$1059</definedName>
    <definedName name="GARDU">#N/A</definedName>
    <definedName name="GARDU1" localSheetId="10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10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9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10">[47]Format!$AA$1:$AG$1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9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9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10">[40]MENU!$O$11:$O$124</definedName>
    <definedName name="INDEX_KODE">#N/A</definedName>
    <definedName name="INDEX1" localSheetId="10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9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9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10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9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9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>#REF!</definedName>
    <definedName name="JYJYTJ" localSheetId="6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9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10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10">[40]PARAMETER!$D$11:$D$1059</definedName>
    <definedName name="KODE_OUTGOING">#N/A</definedName>
    <definedName name="KODE1" localSheetId="10">[40]MENU!$B$11:$B$110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>#REF!</definedName>
    <definedName name="komposisi">[39]KoMposisi!$A$6:$BV$22</definedName>
    <definedName name="KomunikasiBulan" localSheetId="10">'[19]AHS - Non Personel'!$D$22</definedName>
    <definedName name="KomunikasiBulan">#N/A</definedName>
    <definedName name="KomunikasiHari" localSheetId="10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10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10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9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10">[18]JAN09!#REF!</definedName>
    <definedName name="lk" localSheetId="5">[18]JAN09!#REF!</definedName>
    <definedName name="lk">[18]JAN09!#REF!</definedName>
    <definedName name="ll" localSheetId="6">#REF!</definedName>
    <definedName name="ll" localSheetId="10">#REF!</definedName>
    <definedName name="ll" localSheetId="5">#REF!</definedName>
    <definedName name="ll">#REF!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9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10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10">'[19]AHS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9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9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9" hidden="1">{#N/A,#N/A,FALSE,"M.33"}</definedName>
    <definedName name="MDNpst" hidden="1">{#N/A,#N/A,FALSE,"M.33"}</definedName>
    <definedName name="MENU_GARDU" localSheetId="10">[40]MENU!$D$11:$D$110</definedName>
    <definedName name="MENU_GARDU">#N/A</definedName>
    <definedName name="MENU_PENYULANG" localSheetId="10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9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10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10">'[19]AHS - Personel'!$G$19</definedName>
    <definedName name="Opr_Hari">#N/A</definedName>
    <definedName name="opv">[69]Valuation!$I$53</definedName>
    <definedName name="OUTGOING" localSheetId="10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9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9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9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10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10">GAMBAR!$A$1:$AF$225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RAB!$A$1:$K$474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9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10">'[19]AHS - Personel'!$F$11</definedName>
    <definedName name="ProgGISBln">#N/A</definedName>
    <definedName name="ProgGISHari" localSheetId="10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9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10">#REF!</definedName>
    <definedName name="QRYTRY" localSheetId="7">#REF!</definedName>
    <definedName name="QRYTRY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9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10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9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10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9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9" hidden="1">{#N/A,#N/A,FALSE,"M.43"}</definedName>
    <definedName name="rt" hidden="1">{#N/A,#N/A,FALSE,"M.43"}</definedName>
    <definedName name="RTYHRTY" localSheetId="6">#REF!</definedName>
    <definedName name="RTYHRTY" localSheetId="10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10">#REF!</definedName>
    <definedName name="S" localSheetId="7">{#N/A,#N/A,FALSE,"M.31"}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9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10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10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9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10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10">'[19]AHS - Non Personel'!$D$15</definedName>
    <definedName name="SewaKomHari">#N/A</definedName>
    <definedName name="SewaLaptopBln" localSheetId="10">'[19]AHS - Non Personel'!$D$12</definedName>
    <definedName name="SewaLaptopBln">#N/A</definedName>
    <definedName name="SewaMejaKursi">'[64]AHS - Non Personel'!$D$32</definedName>
    <definedName name="SewaMobil" localSheetId="10">'[19]AHS - Non Personel'!$D$8</definedName>
    <definedName name="SewaMobil">#N/A</definedName>
    <definedName name="sewamobilbak_hari">'[64]AHS - Non Personel'!$D$29</definedName>
    <definedName name="SewaMotorBln" localSheetId="10">'[19]AHS - Non Personel'!$D$10</definedName>
    <definedName name="SewaMotorBln">#N/A</definedName>
    <definedName name="SewaMotorHari" localSheetId="10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10">#REF!</definedName>
    <definedName name="SF" localSheetId="7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9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9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10">#REF!</definedName>
    <definedName name="Stand" localSheetId="7">#REF!</definedName>
    <definedName name="Stand">#REF!</definedName>
    <definedName name="STATUS_REMOTE" localSheetId="10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10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10">'[19]AHS - Personel'!$G$21</definedName>
    <definedName name="Surveyor_hari">#N/A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9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9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9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10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10">[85]bantu!$M$5:$X$5</definedName>
    <definedName name="Tahun" localSheetId="9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10">'[19]AHS - Personel'!$F$15</definedName>
    <definedName name="TechBulan">#N/A</definedName>
    <definedName name="TechHari" localSheetId="10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10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10">[18]JAN09!#REF!</definedName>
    <definedName name="TIARA" localSheetId="7">[18]JAN09!#REF!</definedName>
    <definedName name="TIARA">[18]JAN09!#REF!</definedName>
    <definedName name="Tiket" localSheetId="10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10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9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9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9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9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9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9" hidden="1">{#N/A,#N/A,FALSE,"M.43"}</definedName>
    <definedName name="wrmn" hidden="1">{#N/A,#N/A,FALSE,"M.43"}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9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9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9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9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9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9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9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9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9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9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9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9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9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hidden="1">{#N/A,#N/A,FALSE,"M.43"}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9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10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48" i="11" l="1"/>
  <c r="H448" i="11" s="1"/>
  <c r="E448" i="11"/>
  <c r="G448" i="11"/>
  <c r="J449" i="11"/>
  <c r="I449" i="11"/>
  <c r="D450" i="11"/>
  <c r="H450" i="11" s="1"/>
  <c r="E450" i="11"/>
  <c r="G450" i="11"/>
  <c r="H451" i="11"/>
  <c r="D452" i="11"/>
  <c r="H452" i="11" s="1"/>
  <c r="E452" i="11"/>
  <c r="G452" i="11"/>
  <c r="D453" i="11"/>
  <c r="H453" i="11" s="1"/>
  <c r="E453" i="11"/>
  <c r="G453" i="11"/>
  <c r="F445" i="11"/>
  <c r="F444" i="11"/>
  <c r="F443" i="11"/>
  <c r="F442" i="11"/>
  <c r="F441" i="11"/>
  <c r="F440" i="11"/>
  <c r="F43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1" i="11"/>
  <c r="F372" i="11"/>
  <c r="F370" i="11"/>
  <c r="F369" i="11"/>
  <c r="F371" i="11" s="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D353" i="11"/>
  <c r="J353" i="11" s="1"/>
  <c r="E353" i="11"/>
  <c r="G353" i="11"/>
  <c r="D354" i="11"/>
  <c r="J354" i="11" s="1"/>
  <c r="E354" i="11"/>
  <c r="G354" i="11"/>
  <c r="D355" i="11"/>
  <c r="J355" i="11" s="1"/>
  <c r="E355" i="11"/>
  <c r="G355" i="11"/>
  <c r="D356" i="11"/>
  <c r="E356" i="11"/>
  <c r="G356" i="11"/>
  <c r="D357" i="11"/>
  <c r="J357" i="11" s="1"/>
  <c r="E357" i="11"/>
  <c r="G357" i="11"/>
  <c r="D358" i="11"/>
  <c r="J358" i="11" s="1"/>
  <c r="E358" i="11"/>
  <c r="G358" i="11"/>
  <c r="D359" i="11"/>
  <c r="H359" i="11" s="1"/>
  <c r="E359" i="11"/>
  <c r="G359" i="11"/>
  <c r="D360" i="11"/>
  <c r="H360" i="11" s="1"/>
  <c r="E360" i="11"/>
  <c r="G360" i="11"/>
  <c r="D361" i="11"/>
  <c r="J361" i="11" s="1"/>
  <c r="E361" i="11"/>
  <c r="G361" i="11"/>
  <c r="D362" i="11"/>
  <c r="J362" i="11" s="1"/>
  <c r="E362" i="11"/>
  <c r="G362" i="11"/>
  <c r="D363" i="11"/>
  <c r="H363" i="11" s="1"/>
  <c r="E363" i="11"/>
  <c r="G363" i="11"/>
  <c r="D364" i="11"/>
  <c r="H364" i="11" s="1"/>
  <c r="E364" i="11"/>
  <c r="G364" i="11"/>
  <c r="D365" i="11"/>
  <c r="J365" i="11" s="1"/>
  <c r="E365" i="11"/>
  <c r="G365" i="11"/>
  <c r="D366" i="11"/>
  <c r="E366" i="11"/>
  <c r="G366" i="11"/>
  <c r="D367" i="11"/>
  <c r="H367" i="11" s="1"/>
  <c r="E367" i="11"/>
  <c r="G367" i="11"/>
  <c r="D368" i="11"/>
  <c r="H368" i="11" s="1"/>
  <c r="E368" i="11"/>
  <c r="G368" i="11"/>
  <c r="D369" i="11"/>
  <c r="J369" i="11" s="1"/>
  <c r="E369" i="11"/>
  <c r="G369" i="11"/>
  <c r="D370" i="11"/>
  <c r="J370" i="11" s="1"/>
  <c r="E370" i="11"/>
  <c r="G370" i="11"/>
  <c r="D371" i="11"/>
  <c r="H371" i="11" s="1"/>
  <c r="E371" i="11"/>
  <c r="G371" i="11"/>
  <c r="D372" i="11"/>
  <c r="H372" i="11" s="1"/>
  <c r="E372" i="11"/>
  <c r="G372" i="11"/>
  <c r="D373" i="11"/>
  <c r="H373" i="11" s="1"/>
  <c r="E373" i="11"/>
  <c r="G37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D280" i="11"/>
  <c r="J280" i="11" s="1"/>
  <c r="E280" i="11"/>
  <c r="G280" i="11"/>
  <c r="D281" i="11"/>
  <c r="J281" i="11" s="1"/>
  <c r="E281" i="11"/>
  <c r="G281" i="11"/>
  <c r="D282" i="11"/>
  <c r="J282" i="11" s="1"/>
  <c r="E282" i="11"/>
  <c r="G282" i="11"/>
  <c r="D283" i="11"/>
  <c r="E283" i="11"/>
  <c r="G283" i="11"/>
  <c r="D284" i="11"/>
  <c r="J284" i="11" s="1"/>
  <c r="E284" i="11"/>
  <c r="G284" i="11"/>
  <c r="D285" i="11"/>
  <c r="J285" i="11" s="1"/>
  <c r="E285" i="11"/>
  <c r="G285" i="11"/>
  <c r="D286" i="11"/>
  <c r="H286" i="11" s="1"/>
  <c r="E286" i="11"/>
  <c r="G286" i="11"/>
  <c r="D287" i="11"/>
  <c r="H287" i="11" s="1"/>
  <c r="E287" i="11"/>
  <c r="G287" i="11"/>
  <c r="D288" i="11"/>
  <c r="J288" i="11" s="1"/>
  <c r="E288" i="11"/>
  <c r="G288" i="11"/>
  <c r="D289" i="11"/>
  <c r="J289" i="11" s="1"/>
  <c r="E289" i="11"/>
  <c r="G289" i="11"/>
  <c r="D290" i="11"/>
  <c r="H290" i="11" s="1"/>
  <c r="E290" i="11"/>
  <c r="G290" i="11"/>
  <c r="D291" i="11"/>
  <c r="H291" i="11" s="1"/>
  <c r="E291" i="11"/>
  <c r="G291" i="11"/>
  <c r="D292" i="11"/>
  <c r="J292" i="11" s="1"/>
  <c r="E292" i="11"/>
  <c r="G292" i="11"/>
  <c r="D293" i="11"/>
  <c r="J293" i="11" s="1"/>
  <c r="E293" i="11"/>
  <c r="G293" i="11"/>
  <c r="D294" i="11"/>
  <c r="H294" i="11" s="1"/>
  <c r="E294" i="11"/>
  <c r="G294" i="11"/>
  <c r="D295" i="11"/>
  <c r="H295" i="11" s="1"/>
  <c r="E295" i="11"/>
  <c r="G295" i="11"/>
  <c r="D296" i="11"/>
  <c r="J296" i="11" s="1"/>
  <c r="E296" i="11"/>
  <c r="G296" i="11"/>
  <c r="D297" i="11"/>
  <c r="J297" i="11" s="1"/>
  <c r="E297" i="11"/>
  <c r="G297" i="11"/>
  <c r="D298" i="11"/>
  <c r="H298" i="11" s="1"/>
  <c r="E298" i="11"/>
  <c r="G298" i="11"/>
  <c r="D299" i="11"/>
  <c r="H299" i="11" s="1"/>
  <c r="E299" i="11"/>
  <c r="G299" i="11"/>
  <c r="D300" i="11"/>
  <c r="J300" i="11" s="1"/>
  <c r="E300" i="11"/>
  <c r="G300" i="11"/>
  <c r="D301" i="11"/>
  <c r="J301" i="11" s="1"/>
  <c r="E301" i="11"/>
  <c r="G301" i="11"/>
  <c r="D302" i="11"/>
  <c r="H302" i="11" s="1"/>
  <c r="E302" i="11"/>
  <c r="G302" i="11"/>
  <c r="D303" i="11"/>
  <c r="H303" i="11" s="1"/>
  <c r="E303" i="11"/>
  <c r="G303" i="11"/>
  <c r="F208" i="11"/>
  <c r="F209" i="11"/>
  <c r="F210" i="11"/>
  <c r="F211" i="11"/>
  <c r="F212" i="11"/>
  <c r="F213" i="11"/>
  <c r="D113" i="11"/>
  <c r="J113" i="11" s="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04" i="11"/>
  <c r="F103" i="11"/>
  <c r="F102" i="11"/>
  <c r="F101" i="11"/>
  <c r="F100" i="11"/>
  <c r="D99" i="11"/>
  <c r="J99" i="11" s="1"/>
  <c r="E99" i="11"/>
  <c r="G99" i="11"/>
  <c r="D100" i="11"/>
  <c r="J100" i="11" s="1"/>
  <c r="E100" i="11"/>
  <c r="G100" i="11"/>
  <c r="D101" i="11"/>
  <c r="H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E104" i="11"/>
  <c r="G104" i="11"/>
  <c r="D105" i="11"/>
  <c r="H105" i="11" s="1"/>
  <c r="E105" i="11"/>
  <c r="G105" i="11"/>
  <c r="D106" i="11"/>
  <c r="J106" i="11" s="1"/>
  <c r="E106" i="11"/>
  <c r="G106" i="11"/>
  <c r="F133" i="11"/>
  <c r="F132" i="11"/>
  <c r="F131" i="11"/>
  <c r="F130" i="11"/>
  <c r="D129" i="11"/>
  <c r="J129" i="11" s="1"/>
  <c r="E129" i="11"/>
  <c r="G129" i="11"/>
  <c r="D130" i="11"/>
  <c r="J130" i="11" s="1"/>
  <c r="E130" i="11"/>
  <c r="G130" i="11"/>
  <c r="D131" i="11"/>
  <c r="H131" i="11" s="1"/>
  <c r="E131" i="11"/>
  <c r="G131" i="11"/>
  <c r="D132" i="11"/>
  <c r="H132" i="11" s="1"/>
  <c r="E132" i="11"/>
  <c r="G132" i="11"/>
  <c r="D133" i="11"/>
  <c r="I133" i="11" s="1"/>
  <c r="E133" i="11"/>
  <c r="G133" i="11"/>
  <c r="D134" i="11"/>
  <c r="J134" i="11" s="1"/>
  <c r="E134" i="11"/>
  <c r="G134" i="11"/>
  <c r="F123" i="11"/>
  <c r="F125" i="11" s="1"/>
  <c r="F121" i="11"/>
  <c r="F120" i="11"/>
  <c r="F119" i="11"/>
  <c r="F118" i="11"/>
  <c r="F117" i="11"/>
  <c r="F116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D75" i="11"/>
  <c r="H75" i="11" s="1"/>
  <c r="E75" i="11"/>
  <c r="G75" i="11"/>
  <c r="D76" i="11"/>
  <c r="J76" i="11" s="1"/>
  <c r="E76" i="11"/>
  <c r="G76" i="11"/>
  <c r="D77" i="11"/>
  <c r="E77" i="11"/>
  <c r="G77" i="11"/>
  <c r="D78" i="11"/>
  <c r="J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J83" i="11" s="1"/>
  <c r="E83" i="11"/>
  <c r="G83" i="11"/>
  <c r="D84" i="11"/>
  <c r="J84" i="11" s="1"/>
  <c r="E84" i="11"/>
  <c r="G84" i="11"/>
  <c r="D85" i="11"/>
  <c r="H85" i="11" s="1"/>
  <c r="E85" i="11"/>
  <c r="G85" i="11"/>
  <c r="D86" i="11"/>
  <c r="H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H90" i="11" s="1"/>
  <c r="E90" i="11"/>
  <c r="G90" i="11"/>
  <c r="D91" i="11"/>
  <c r="J91" i="11" s="1"/>
  <c r="E91" i="11"/>
  <c r="G91" i="11"/>
  <c r="D92" i="11"/>
  <c r="J92" i="11" s="1"/>
  <c r="E92" i="11"/>
  <c r="G92" i="11"/>
  <c r="D93" i="11"/>
  <c r="H93" i="11" s="1"/>
  <c r="E93" i="11"/>
  <c r="G93" i="11"/>
  <c r="D94" i="11"/>
  <c r="J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H97" i="11" s="1"/>
  <c r="E97" i="11"/>
  <c r="G97" i="11"/>
  <c r="D98" i="11"/>
  <c r="H98" i="11" s="1"/>
  <c r="E98" i="11"/>
  <c r="G98" i="11"/>
  <c r="Z28" i="64"/>
  <c r="Z138" i="64"/>
  <c r="Z87" i="64"/>
  <c r="E175" i="64"/>
  <c r="E119" i="64"/>
  <c r="E62" i="64"/>
  <c r="F436" i="11"/>
  <c r="F435" i="11"/>
  <c r="F434" i="11"/>
  <c r="F433" i="11"/>
  <c r="F432" i="11"/>
  <c r="F429" i="11"/>
  <c r="F427" i="11"/>
  <c r="F426" i="11"/>
  <c r="F425" i="11"/>
  <c r="F419" i="11"/>
  <c r="F418" i="11"/>
  <c r="F417" i="11"/>
  <c r="F416" i="11"/>
  <c r="F415" i="11"/>
  <c r="F414" i="11"/>
  <c r="F413" i="11"/>
  <c r="F412" i="11"/>
  <c r="F411" i="11"/>
  <c r="F386" i="11"/>
  <c r="F385" i="11"/>
  <c r="F384" i="11"/>
  <c r="F383" i="11"/>
  <c r="F382" i="11"/>
  <c r="F379" i="11"/>
  <c r="F378" i="11"/>
  <c r="F377" i="11"/>
  <c r="F376" i="11"/>
  <c r="F375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0" i="11"/>
  <c r="F319" i="11"/>
  <c r="F318" i="11"/>
  <c r="F317" i="11"/>
  <c r="F314" i="11"/>
  <c r="F313" i="11"/>
  <c r="F312" i="11"/>
  <c r="F311" i="11"/>
  <c r="F310" i="11"/>
  <c r="F309" i="11"/>
  <c r="F308" i="11"/>
  <c r="F307" i="11"/>
  <c r="F306" i="11"/>
  <c r="F305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32" i="11"/>
  <c r="F231" i="11"/>
  <c r="F230" i="11"/>
  <c r="F229" i="11"/>
  <c r="F226" i="11"/>
  <c r="F225" i="11"/>
  <c r="F224" i="11"/>
  <c r="F223" i="11"/>
  <c r="F222" i="11"/>
  <c r="F219" i="11"/>
  <c r="F218" i="11"/>
  <c r="F217" i="11"/>
  <c r="F216" i="11"/>
  <c r="F203" i="11"/>
  <c r="F202" i="11"/>
  <c r="F201" i="11"/>
  <c r="F200" i="11"/>
  <c r="F197" i="11"/>
  <c r="F196" i="11"/>
  <c r="F195" i="11"/>
  <c r="F194" i="11"/>
  <c r="F193" i="11"/>
  <c r="F192" i="11"/>
  <c r="F191" i="11"/>
  <c r="F190" i="11"/>
  <c r="F189" i="11"/>
  <c r="F188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39" i="11"/>
  <c r="F138" i="11"/>
  <c r="F137" i="11"/>
  <c r="F136" i="11"/>
  <c r="F111" i="11"/>
  <c r="F110" i="11"/>
  <c r="F109" i="11"/>
  <c r="F108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3" i="11"/>
  <c r="F29" i="11"/>
  <c r="F25" i="11"/>
  <c r="F20" i="11"/>
  <c r="D260" i="11"/>
  <c r="H260" i="11" s="1"/>
  <c r="E260" i="11"/>
  <c r="G260" i="11"/>
  <c r="D261" i="11"/>
  <c r="E261" i="11"/>
  <c r="G261" i="11"/>
  <c r="D262" i="11"/>
  <c r="H262" i="11" s="1"/>
  <c r="E262" i="11"/>
  <c r="G262" i="11"/>
  <c r="D263" i="11"/>
  <c r="H263" i="11" s="1"/>
  <c r="E263" i="11"/>
  <c r="G263" i="11"/>
  <c r="D264" i="11"/>
  <c r="J264" i="11" s="1"/>
  <c r="E264" i="11"/>
  <c r="G264" i="11"/>
  <c r="D265" i="11"/>
  <c r="E265" i="11"/>
  <c r="G265" i="11"/>
  <c r="D266" i="11"/>
  <c r="H266" i="11" s="1"/>
  <c r="E266" i="11"/>
  <c r="G266" i="11"/>
  <c r="D267" i="11"/>
  <c r="H267" i="11" s="1"/>
  <c r="E267" i="11"/>
  <c r="G267" i="11"/>
  <c r="D268" i="11"/>
  <c r="H268" i="11" s="1"/>
  <c r="E268" i="11"/>
  <c r="G268" i="11"/>
  <c r="D269" i="11"/>
  <c r="E269" i="11"/>
  <c r="G269" i="11"/>
  <c r="D270" i="11"/>
  <c r="H270" i="11" s="1"/>
  <c r="E270" i="11"/>
  <c r="G270" i="11"/>
  <c r="D271" i="11"/>
  <c r="H271" i="11" s="1"/>
  <c r="E271" i="11"/>
  <c r="G271" i="11"/>
  <c r="D272" i="11"/>
  <c r="J272" i="11" s="1"/>
  <c r="E272" i="11"/>
  <c r="G272" i="11"/>
  <c r="D273" i="11"/>
  <c r="E273" i="11"/>
  <c r="G273" i="11"/>
  <c r="D274" i="11"/>
  <c r="H274" i="11" s="1"/>
  <c r="E274" i="11"/>
  <c r="G274" i="11"/>
  <c r="D275" i="11"/>
  <c r="H275" i="11" s="1"/>
  <c r="E275" i="11"/>
  <c r="G275" i="11"/>
  <c r="D276" i="11"/>
  <c r="J276" i="11" s="1"/>
  <c r="E276" i="11"/>
  <c r="G276" i="11"/>
  <c r="D277" i="11"/>
  <c r="E277" i="11"/>
  <c r="G277" i="11"/>
  <c r="D278" i="11"/>
  <c r="H278" i="11" s="1"/>
  <c r="E278" i="11"/>
  <c r="G278" i="11"/>
  <c r="D279" i="11"/>
  <c r="H279" i="11" s="1"/>
  <c r="E279" i="11"/>
  <c r="G279" i="11"/>
  <c r="D304" i="11"/>
  <c r="H304" i="11" s="1"/>
  <c r="E304" i="11"/>
  <c r="G304" i="11"/>
  <c r="D305" i="11"/>
  <c r="E305" i="11"/>
  <c r="G305" i="11"/>
  <c r="D306" i="11"/>
  <c r="H306" i="11" s="1"/>
  <c r="E306" i="11"/>
  <c r="G306" i="11"/>
  <c r="D307" i="11"/>
  <c r="H307" i="11" s="1"/>
  <c r="E307" i="11"/>
  <c r="G307" i="11"/>
  <c r="D308" i="11"/>
  <c r="H308" i="11" s="1"/>
  <c r="E308" i="11"/>
  <c r="G308" i="11"/>
  <c r="D309" i="11"/>
  <c r="J309" i="11" s="1"/>
  <c r="E309" i="11"/>
  <c r="G309" i="11"/>
  <c r="D310" i="11"/>
  <c r="E310" i="11"/>
  <c r="G310" i="11"/>
  <c r="D311" i="11"/>
  <c r="H311" i="11" s="1"/>
  <c r="E311" i="11"/>
  <c r="G311" i="11"/>
  <c r="D312" i="11"/>
  <c r="H312" i="11" s="1"/>
  <c r="E312" i="11"/>
  <c r="G312" i="11"/>
  <c r="D313" i="11"/>
  <c r="J313" i="11" s="1"/>
  <c r="E313" i="11"/>
  <c r="G313" i="11"/>
  <c r="D314" i="11"/>
  <c r="H314" i="11" s="1"/>
  <c r="E314" i="11"/>
  <c r="G314" i="11"/>
  <c r="D315" i="11"/>
  <c r="H315" i="11" s="1"/>
  <c r="E315" i="11"/>
  <c r="G315" i="11"/>
  <c r="D316" i="11"/>
  <c r="J316" i="11" s="1"/>
  <c r="E316" i="11"/>
  <c r="G316" i="11"/>
  <c r="D317" i="11"/>
  <c r="J317" i="11" s="1"/>
  <c r="E317" i="11"/>
  <c r="G317" i="11"/>
  <c r="D318" i="11"/>
  <c r="H318" i="11" s="1"/>
  <c r="E318" i="11"/>
  <c r="G318" i="11"/>
  <c r="D319" i="11"/>
  <c r="H319" i="11" s="1"/>
  <c r="E319" i="11"/>
  <c r="G319" i="11"/>
  <c r="D320" i="11"/>
  <c r="I320" i="11" s="1"/>
  <c r="E320" i="11"/>
  <c r="G320" i="11"/>
  <c r="D321" i="11"/>
  <c r="E321" i="11"/>
  <c r="G321" i="11"/>
  <c r="D322" i="11"/>
  <c r="H322" i="11" s="1"/>
  <c r="E322" i="11"/>
  <c r="G322" i="11"/>
  <c r="D323" i="11"/>
  <c r="I323" i="11" s="1"/>
  <c r="E323" i="11"/>
  <c r="G323" i="11"/>
  <c r="D324" i="11"/>
  <c r="H324" i="11" s="1"/>
  <c r="E324" i="11"/>
  <c r="G324" i="11"/>
  <c r="D325" i="11"/>
  <c r="E325" i="11"/>
  <c r="G325" i="11"/>
  <c r="D326" i="11"/>
  <c r="J326" i="11" s="1"/>
  <c r="E326" i="11"/>
  <c r="G326" i="11"/>
  <c r="D327" i="11"/>
  <c r="J327" i="11" s="1"/>
  <c r="E327" i="11"/>
  <c r="G327" i="11"/>
  <c r="D328" i="11"/>
  <c r="J328" i="11" s="1"/>
  <c r="E328" i="11"/>
  <c r="G328" i="11"/>
  <c r="D329" i="11"/>
  <c r="J329" i="11" s="1"/>
  <c r="E329" i="11"/>
  <c r="G329" i="11"/>
  <c r="D330" i="11"/>
  <c r="E330" i="11"/>
  <c r="G330" i="11"/>
  <c r="D331" i="11"/>
  <c r="E331" i="11"/>
  <c r="G331" i="11"/>
  <c r="D332" i="11"/>
  <c r="J332" i="11" s="1"/>
  <c r="E332" i="11"/>
  <c r="G332" i="11"/>
  <c r="D333" i="11"/>
  <c r="J333" i="11" s="1"/>
  <c r="E333" i="11"/>
  <c r="G333" i="11"/>
  <c r="D334" i="11"/>
  <c r="H334" i="11" s="1"/>
  <c r="E334" i="11"/>
  <c r="G334" i="11"/>
  <c r="D335" i="11"/>
  <c r="J335" i="11" s="1"/>
  <c r="E335" i="11"/>
  <c r="G335" i="11"/>
  <c r="D336" i="11"/>
  <c r="J336" i="11" s="1"/>
  <c r="E336" i="11"/>
  <c r="G336" i="11"/>
  <c r="D337" i="11"/>
  <c r="E337" i="11"/>
  <c r="G337" i="11"/>
  <c r="D338" i="11"/>
  <c r="H338" i="11" s="1"/>
  <c r="E338" i="11"/>
  <c r="G338" i="11"/>
  <c r="D339" i="11"/>
  <c r="H339" i="11" s="1"/>
  <c r="E339" i="11"/>
  <c r="G339" i="11"/>
  <c r="D340" i="11"/>
  <c r="J340" i="11" s="1"/>
  <c r="E340" i="11"/>
  <c r="G340" i="11"/>
  <c r="D341" i="11"/>
  <c r="J341" i="11" s="1"/>
  <c r="E341" i="11"/>
  <c r="G341" i="11"/>
  <c r="D342" i="11"/>
  <c r="E342" i="11"/>
  <c r="G342" i="11"/>
  <c r="D343" i="11"/>
  <c r="H343" i="11" s="1"/>
  <c r="E343" i="11"/>
  <c r="G343" i="11"/>
  <c r="D344" i="11"/>
  <c r="J344" i="11" s="1"/>
  <c r="E344" i="11"/>
  <c r="G344" i="11"/>
  <c r="D345" i="11"/>
  <c r="J345" i="11" s="1"/>
  <c r="E345" i="11"/>
  <c r="G345" i="11"/>
  <c r="D346" i="11"/>
  <c r="H346" i="11" s="1"/>
  <c r="E346" i="11"/>
  <c r="G346" i="11"/>
  <c r="D347" i="11"/>
  <c r="H347" i="11" s="1"/>
  <c r="E347" i="11"/>
  <c r="G347" i="11"/>
  <c r="D348" i="11"/>
  <c r="J348" i="11" s="1"/>
  <c r="E348" i="11"/>
  <c r="G348" i="11"/>
  <c r="D349" i="11"/>
  <c r="J349" i="11" s="1"/>
  <c r="E349" i="11"/>
  <c r="G349" i="11"/>
  <c r="D350" i="11"/>
  <c r="H350" i="11" s="1"/>
  <c r="E350" i="11"/>
  <c r="G350" i="11"/>
  <c r="D351" i="11"/>
  <c r="E351" i="11"/>
  <c r="G351" i="11"/>
  <c r="D352" i="11"/>
  <c r="J352" i="11" s="1"/>
  <c r="E352" i="11"/>
  <c r="G352" i="11"/>
  <c r="D374" i="11"/>
  <c r="E374" i="11"/>
  <c r="G374" i="11"/>
  <c r="D375" i="11"/>
  <c r="H375" i="11" s="1"/>
  <c r="E375" i="11"/>
  <c r="G375" i="11"/>
  <c r="D376" i="11"/>
  <c r="I376" i="11" s="1"/>
  <c r="E376" i="11"/>
  <c r="G376" i="11"/>
  <c r="D377" i="11"/>
  <c r="J377" i="11" s="1"/>
  <c r="E377" i="11"/>
  <c r="G377" i="11"/>
  <c r="D378" i="11"/>
  <c r="J378" i="11" s="1"/>
  <c r="E378" i="11"/>
  <c r="G378" i="11"/>
  <c r="D379" i="11"/>
  <c r="E379" i="11"/>
  <c r="G379" i="11"/>
  <c r="D380" i="11"/>
  <c r="H380" i="11" s="1"/>
  <c r="E380" i="11"/>
  <c r="G380" i="11"/>
  <c r="D381" i="11"/>
  <c r="J381" i="11" s="1"/>
  <c r="E381" i="11"/>
  <c r="G381" i="11"/>
  <c r="D382" i="11"/>
  <c r="J382" i="11" s="1"/>
  <c r="E382" i="11"/>
  <c r="G382" i="11"/>
  <c r="D383" i="11"/>
  <c r="H383" i="11" s="1"/>
  <c r="E383" i="11"/>
  <c r="G383" i="11"/>
  <c r="D384" i="11"/>
  <c r="H384" i="11" s="1"/>
  <c r="E384" i="11"/>
  <c r="G384" i="11"/>
  <c r="D385" i="11"/>
  <c r="J385" i="11" s="1"/>
  <c r="E385" i="11"/>
  <c r="G385" i="11"/>
  <c r="D386" i="11"/>
  <c r="E386" i="11"/>
  <c r="G386" i="11"/>
  <c r="D387" i="11"/>
  <c r="H387" i="11" s="1"/>
  <c r="E387" i="11"/>
  <c r="G387" i="11"/>
  <c r="D388" i="11"/>
  <c r="H388" i="11" s="1"/>
  <c r="E388" i="11"/>
  <c r="G388" i="11"/>
  <c r="D389" i="11"/>
  <c r="J389" i="11" s="1"/>
  <c r="E389" i="11"/>
  <c r="G389" i="11"/>
  <c r="D390" i="11"/>
  <c r="I390" i="11" s="1"/>
  <c r="E390" i="11"/>
  <c r="G390" i="11"/>
  <c r="D391" i="11"/>
  <c r="J391" i="11" s="1"/>
  <c r="E391" i="11"/>
  <c r="G391" i="11"/>
  <c r="D392" i="11"/>
  <c r="J392" i="11" s="1"/>
  <c r="E392" i="11"/>
  <c r="G392" i="11"/>
  <c r="D393" i="11"/>
  <c r="J393" i="11" s="1"/>
  <c r="E393" i="11"/>
  <c r="G393" i="11"/>
  <c r="D394" i="11"/>
  <c r="J394" i="11" s="1"/>
  <c r="E394" i="11"/>
  <c r="G394" i="11"/>
  <c r="D395" i="11"/>
  <c r="J395" i="11" s="1"/>
  <c r="E395" i="11"/>
  <c r="G395" i="11"/>
  <c r="D396" i="11"/>
  <c r="J396" i="11" s="1"/>
  <c r="E396" i="11"/>
  <c r="G396" i="11"/>
  <c r="D397" i="11"/>
  <c r="J397" i="11" s="1"/>
  <c r="E397" i="11"/>
  <c r="G397" i="11"/>
  <c r="D398" i="11"/>
  <c r="J398" i="11" s="1"/>
  <c r="E398" i="11"/>
  <c r="G398" i="11"/>
  <c r="D399" i="11"/>
  <c r="H399" i="11" s="1"/>
  <c r="E399" i="11"/>
  <c r="G399" i="11"/>
  <c r="D400" i="11"/>
  <c r="H400" i="11" s="1"/>
  <c r="E400" i="11"/>
  <c r="G400" i="11"/>
  <c r="D401" i="11"/>
  <c r="J401" i="11" s="1"/>
  <c r="E401" i="11"/>
  <c r="G401" i="11"/>
  <c r="D402" i="11"/>
  <c r="J402" i="11" s="1"/>
  <c r="E402" i="11"/>
  <c r="G402" i="11"/>
  <c r="D403" i="11"/>
  <c r="H403" i="11" s="1"/>
  <c r="E403" i="11"/>
  <c r="G403" i="11"/>
  <c r="D404" i="11"/>
  <c r="J404" i="11" s="1"/>
  <c r="E404" i="11"/>
  <c r="G404" i="11"/>
  <c r="D405" i="11"/>
  <c r="J405" i="11" s="1"/>
  <c r="E405" i="11"/>
  <c r="G405" i="11"/>
  <c r="D406" i="11"/>
  <c r="E406" i="11"/>
  <c r="G406" i="11"/>
  <c r="D407" i="11"/>
  <c r="H407" i="11" s="1"/>
  <c r="E407" i="11"/>
  <c r="G407" i="11"/>
  <c r="D408" i="11"/>
  <c r="H408" i="11" s="1"/>
  <c r="E408" i="11"/>
  <c r="G408" i="11"/>
  <c r="D409" i="11"/>
  <c r="J409" i="11" s="1"/>
  <c r="E409" i="11"/>
  <c r="G409" i="11"/>
  <c r="D410" i="11"/>
  <c r="E410" i="11"/>
  <c r="G410" i="11"/>
  <c r="D411" i="11"/>
  <c r="H411" i="11" s="1"/>
  <c r="E411" i="11"/>
  <c r="G411" i="11"/>
  <c r="D412" i="11"/>
  <c r="J412" i="11" s="1"/>
  <c r="E412" i="11"/>
  <c r="G412" i="11"/>
  <c r="D413" i="11"/>
  <c r="J413" i="11" s="1"/>
  <c r="E413" i="11"/>
  <c r="G413" i="11"/>
  <c r="D414" i="11"/>
  <c r="H414" i="11" s="1"/>
  <c r="E414" i="11"/>
  <c r="G414" i="11"/>
  <c r="D415" i="11"/>
  <c r="H415" i="11" s="1"/>
  <c r="E415" i="11"/>
  <c r="G415" i="11"/>
  <c r="D416" i="11"/>
  <c r="J416" i="11" s="1"/>
  <c r="E416" i="11"/>
  <c r="G416" i="11"/>
  <c r="D417" i="11"/>
  <c r="J417" i="11" s="1"/>
  <c r="E417" i="11"/>
  <c r="G417" i="11"/>
  <c r="D418" i="11"/>
  <c r="H418" i="11" s="1"/>
  <c r="E418" i="11"/>
  <c r="G418" i="11"/>
  <c r="D419" i="11"/>
  <c r="H419" i="11" s="1"/>
  <c r="E419" i="11"/>
  <c r="G419" i="11"/>
  <c r="D420" i="11"/>
  <c r="J420" i="11" s="1"/>
  <c r="E420" i="11"/>
  <c r="G420" i="11"/>
  <c r="D421" i="11"/>
  <c r="E421" i="11"/>
  <c r="G421" i="11"/>
  <c r="D422" i="11"/>
  <c r="H422" i="11" s="1"/>
  <c r="E422" i="11"/>
  <c r="G422" i="11"/>
  <c r="D423" i="11"/>
  <c r="J423" i="11" s="1"/>
  <c r="E423" i="11"/>
  <c r="G423" i="11"/>
  <c r="D424" i="11"/>
  <c r="J424" i="11" s="1"/>
  <c r="E424" i="11"/>
  <c r="G424" i="11"/>
  <c r="D425" i="11"/>
  <c r="E425" i="11"/>
  <c r="G425" i="11"/>
  <c r="D426" i="11"/>
  <c r="E426" i="11"/>
  <c r="G426" i="11"/>
  <c r="D427" i="11"/>
  <c r="J427" i="11" s="1"/>
  <c r="E427" i="11"/>
  <c r="G427" i="11"/>
  <c r="D428" i="11"/>
  <c r="J428" i="11" s="1"/>
  <c r="E428" i="11"/>
  <c r="G428" i="11"/>
  <c r="D429" i="11"/>
  <c r="H429" i="11" s="1"/>
  <c r="E429" i="11"/>
  <c r="G429" i="11"/>
  <c r="D430" i="11"/>
  <c r="H430" i="11" s="1"/>
  <c r="E430" i="11"/>
  <c r="G430" i="11"/>
  <c r="D431" i="11"/>
  <c r="H431" i="11" s="1"/>
  <c r="E431" i="11"/>
  <c r="G431" i="11"/>
  <c r="D432" i="11"/>
  <c r="J432" i="11" s="1"/>
  <c r="E432" i="11"/>
  <c r="G432" i="11"/>
  <c r="D433" i="11"/>
  <c r="J433" i="11" s="1"/>
  <c r="E433" i="11"/>
  <c r="G433" i="11"/>
  <c r="D434" i="11"/>
  <c r="H434" i="11" s="1"/>
  <c r="E434" i="11"/>
  <c r="G434" i="11"/>
  <c r="D435" i="11"/>
  <c r="H435" i="11" s="1"/>
  <c r="E435" i="11"/>
  <c r="G435" i="11"/>
  <c r="D436" i="11"/>
  <c r="E436" i="11"/>
  <c r="G436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J19" i="11" s="1"/>
  <c r="E19" i="11"/>
  <c r="G19" i="11"/>
  <c r="D20" i="11"/>
  <c r="E20" i="11"/>
  <c r="G20" i="11"/>
  <c r="D21" i="11"/>
  <c r="J21" i="11" s="1"/>
  <c r="E21" i="11"/>
  <c r="G21" i="11"/>
  <c r="D22" i="11"/>
  <c r="E22" i="11"/>
  <c r="G22" i="11"/>
  <c r="D23" i="11"/>
  <c r="H23" i="11" s="1"/>
  <c r="E23" i="11"/>
  <c r="G23" i="11"/>
  <c r="D24" i="11"/>
  <c r="E24" i="11"/>
  <c r="G24" i="11"/>
  <c r="D25" i="11"/>
  <c r="I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E28" i="11"/>
  <c r="G28" i="11"/>
  <c r="D29" i="1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J41" i="11" s="1"/>
  <c r="E41" i="11"/>
  <c r="G41" i="11"/>
  <c r="D42" i="11"/>
  <c r="E42" i="11"/>
  <c r="G42" i="11"/>
  <c r="D43" i="11"/>
  <c r="H43" i="11" s="1"/>
  <c r="E43" i="11"/>
  <c r="G43" i="11"/>
  <c r="D44" i="11"/>
  <c r="J44" i="11" s="1"/>
  <c r="E44" i="11"/>
  <c r="G44" i="11"/>
  <c r="D45" i="11"/>
  <c r="E45" i="11"/>
  <c r="G45" i="11"/>
  <c r="D46" i="11"/>
  <c r="H46" i="11" s="1"/>
  <c r="E46" i="11"/>
  <c r="G46" i="11"/>
  <c r="D47" i="11"/>
  <c r="E47" i="11"/>
  <c r="G47" i="11"/>
  <c r="D48" i="11"/>
  <c r="J48" i="11" s="1"/>
  <c r="E48" i="11"/>
  <c r="G48" i="11"/>
  <c r="D49" i="11"/>
  <c r="E49" i="11"/>
  <c r="G49" i="11"/>
  <c r="D50" i="11"/>
  <c r="E50" i="11"/>
  <c r="G50" i="11"/>
  <c r="D51" i="11"/>
  <c r="E51" i="11"/>
  <c r="G51" i="11"/>
  <c r="D52" i="11"/>
  <c r="E52" i="11"/>
  <c r="G52" i="11"/>
  <c r="D53" i="11"/>
  <c r="I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E56" i="11"/>
  <c r="G56" i="11"/>
  <c r="D57" i="11"/>
  <c r="J57" i="11" s="1"/>
  <c r="E57" i="11"/>
  <c r="G57" i="11"/>
  <c r="D58" i="1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W103" i="64" s="1"/>
  <c r="D62" i="11"/>
  <c r="H62" i="11" s="1"/>
  <c r="E62" i="11"/>
  <c r="G62" i="11"/>
  <c r="D63" i="11"/>
  <c r="E63" i="11"/>
  <c r="G63" i="11"/>
  <c r="D64" i="11"/>
  <c r="H64" i="11" s="1"/>
  <c r="E64" i="11"/>
  <c r="G64" i="11"/>
  <c r="D65" i="11"/>
  <c r="E65" i="11"/>
  <c r="G65" i="11"/>
  <c r="D66" i="11"/>
  <c r="E66" i="11"/>
  <c r="G66" i="11"/>
  <c r="D67" i="1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E73" i="11"/>
  <c r="G73" i="11"/>
  <c r="D74" i="11"/>
  <c r="I74" i="11" s="1"/>
  <c r="E74" i="11"/>
  <c r="G74" i="11"/>
  <c r="D107" i="11"/>
  <c r="H107" i="11" s="1"/>
  <c r="E107" i="11"/>
  <c r="G107" i="11"/>
  <c r="D108" i="11"/>
  <c r="H108" i="11" s="1"/>
  <c r="E108" i="11"/>
  <c r="G108" i="11"/>
  <c r="D109" i="11"/>
  <c r="J109" i="11" s="1"/>
  <c r="E109" i="11"/>
  <c r="G109" i="11"/>
  <c r="D110" i="11"/>
  <c r="E110" i="11"/>
  <c r="G110" i="11"/>
  <c r="D111" i="11"/>
  <c r="H111" i="11" s="1"/>
  <c r="E111" i="11"/>
  <c r="G111" i="11"/>
  <c r="E113" i="11"/>
  <c r="G113" i="11"/>
  <c r="D115" i="11"/>
  <c r="E115" i="11"/>
  <c r="G115" i="11"/>
  <c r="D116" i="11"/>
  <c r="E116" i="11"/>
  <c r="G116" i="11"/>
  <c r="D117" i="11"/>
  <c r="J117" i="11" s="1"/>
  <c r="E117" i="11"/>
  <c r="G117" i="11"/>
  <c r="D118" i="11"/>
  <c r="J118" i="11" s="1"/>
  <c r="E118" i="11"/>
  <c r="G118" i="11"/>
  <c r="D119" i="11"/>
  <c r="E119" i="11"/>
  <c r="G119" i="11"/>
  <c r="D120" i="11"/>
  <c r="H120" i="11" s="1"/>
  <c r="E120" i="11"/>
  <c r="G120" i="11"/>
  <c r="D121" i="11"/>
  <c r="H121" i="11" s="1"/>
  <c r="E121" i="11"/>
  <c r="G121" i="11"/>
  <c r="D122" i="11"/>
  <c r="H122" i="11" s="1"/>
  <c r="E122" i="11"/>
  <c r="G122" i="11"/>
  <c r="D123" i="11"/>
  <c r="J123" i="11" s="1"/>
  <c r="E123" i="11"/>
  <c r="G123" i="11"/>
  <c r="D124" i="11"/>
  <c r="E124" i="11"/>
  <c r="G124" i="11"/>
  <c r="D125" i="11"/>
  <c r="H125" i="11" s="1"/>
  <c r="E125" i="11"/>
  <c r="G125" i="11"/>
  <c r="D126" i="11"/>
  <c r="J126" i="11" s="1"/>
  <c r="E126" i="11"/>
  <c r="G126" i="11"/>
  <c r="D127" i="11"/>
  <c r="E127" i="11"/>
  <c r="G127" i="11"/>
  <c r="D128" i="11"/>
  <c r="J128" i="11" s="1"/>
  <c r="E128" i="11"/>
  <c r="G128" i="11"/>
  <c r="D135" i="11"/>
  <c r="H135" i="11" s="1"/>
  <c r="E135" i="11"/>
  <c r="G135" i="11"/>
  <c r="D136" i="11"/>
  <c r="J136" i="11" s="1"/>
  <c r="E136" i="11"/>
  <c r="G136" i="11"/>
  <c r="D137" i="11"/>
  <c r="E137" i="11"/>
  <c r="G137" i="11"/>
  <c r="D138" i="11"/>
  <c r="H138" i="11" s="1"/>
  <c r="E138" i="11"/>
  <c r="G138" i="11"/>
  <c r="D139" i="11"/>
  <c r="E139" i="11"/>
  <c r="G139" i="11"/>
  <c r="D140" i="11"/>
  <c r="H140" i="11" s="1"/>
  <c r="E140" i="11"/>
  <c r="G140" i="11"/>
  <c r="D141" i="11"/>
  <c r="J141" i="11" s="1"/>
  <c r="E141" i="11"/>
  <c r="G141" i="11"/>
  <c r="D142" i="11"/>
  <c r="J142" i="11" s="1"/>
  <c r="E142" i="11"/>
  <c r="G142" i="11"/>
  <c r="D143" i="11"/>
  <c r="H143" i="11" s="1"/>
  <c r="E143" i="11"/>
  <c r="G143" i="11"/>
  <c r="D144" i="11"/>
  <c r="I144" i="11" s="1"/>
  <c r="E144" i="11"/>
  <c r="G144" i="11"/>
  <c r="D145" i="11"/>
  <c r="E145" i="11"/>
  <c r="G145" i="11"/>
  <c r="D146" i="11"/>
  <c r="H146" i="11" s="1"/>
  <c r="E146" i="11"/>
  <c r="G146" i="11"/>
  <c r="D147" i="11"/>
  <c r="E147" i="11"/>
  <c r="G147" i="11"/>
  <c r="D148" i="11"/>
  <c r="I148" i="11" s="1"/>
  <c r="E148" i="11"/>
  <c r="G148" i="11"/>
  <c r="D149" i="11"/>
  <c r="E149" i="11"/>
  <c r="G149" i="11"/>
  <c r="D150" i="11"/>
  <c r="J150" i="11" s="1"/>
  <c r="E150" i="11"/>
  <c r="G150" i="11"/>
  <c r="D151" i="11"/>
  <c r="E151" i="11"/>
  <c r="G151" i="11"/>
  <c r="D152" i="11"/>
  <c r="E152" i="11"/>
  <c r="G152" i="11"/>
  <c r="D153" i="11"/>
  <c r="E153" i="11"/>
  <c r="G153" i="11"/>
  <c r="D154" i="11"/>
  <c r="H154" i="11" s="1"/>
  <c r="E154" i="11"/>
  <c r="G154" i="11"/>
  <c r="W160" i="64" s="1"/>
  <c r="D155" i="11"/>
  <c r="E155" i="11"/>
  <c r="G155" i="11"/>
  <c r="D156" i="11"/>
  <c r="H156" i="11" s="1"/>
  <c r="E156" i="11"/>
  <c r="G156" i="11"/>
  <c r="D157" i="11"/>
  <c r="H157" i="11" s="1"/>
  <c r="E157" i="11"/>
  <c r="G157" i="11"/>
  <c r="D158" i="11"/>
  <c r="E158" i="11"/>
  <c r="G158" i="11"/>
  <c r="D159" i="11"/>
  <c r="J159" i="11" s="1"/>
  <c r="E159" i="11"/>
  <c r="G159" i="11"/>
  <c r="D160" i="11"/>
  <c r="E160" i="11"/>
  <c r="G160" i="11"/>
  <c r="D161" i="11"/>
  <c r="E161" i="11"/>
  <c r="G161" i="11"/>
  <c r="D162" i="11"/>
  <c r="H162" i="11" s="1"/>
  <c r="E162" i="11"/>
  <c r="G162" i="11"/>
  <c r="D163" i="11"/>
  <c r="J163" i="11" s="1"/>
  <c r="E163" i="11"/>
  <c r="G163" i="11"/>
  <c r="D164" i="11"/>
  <c r="J164" i="11" s="1"/>
  <c r="E164" i="11"/>
  <c r="G164" i="11"/>
  <c r="D165" i="11"/>
  <c r="E165" i="11"/>
  <c r="G165" i="11"/>
  <c r="D166" i="11"/>
  <c r="E166" i="11"/>
  <c r="G166" i="11"/>
  <c r="D167" i="11"/>
  <c r="E167" i="11"/>
  <c r="G167" i="11"/>
  <c r="D168" i="11"/>
  <c r="H168" i="11" s="1"/>
  <c r="E168" i="11"/>
  <c r="G168" i="11"/>
  <c r="D169" i="11"/>
  <c r="E169" i="11"/>
  <c r="G169" i="11"/>
  <c r="D170" i="11"/>
  <c r="E170" i="11"/>
  <c r="G170" i="11"/>
  <c r="D171" i="11"/>
  <c r="E171" i="11"/>
  <c r="G171" i="11"/>
  <c r="D172" i="11"/>
  <c r="H172" i="11" s="1"/>
  <c r="E172" i="11"/>
  <c r="G172" i="11"/>
  <c r="D173" i="11"/>
  <c r="H173" i="11" s="1"/>
  <c r="E173" i="11"/>
  <c r="G173" i="11"/>
  <c r="D174" i="11"/>
  <c r="J174" i="11" s="1"/>
  <c r="E174" i="11"/>
  <c r="G174" i="11"/>
  <c r="D175" i="11"/>
  <c r="E175" i="11"/>
  <c r="G175" i="11"/>
  <c r="D176" i="11"/>
  <c r="J176" i="11" s="1"/>
  <c r="E176" i="11"/>
  <c r="G176" i="11"/>
  <c r="D177" i="11"/>
  <c r="E177" i="11"/>
  <c r="G177" i="11"/>
  <c r="D178" i="11"/>
  <c r="H178" i="11" s="1"/>
  <c r="E178" i="11"/>
  <c r="G178" i="11"/>
  <c r="D179" i="11"/>
  <c r="J179" i="11" s="1"/>
  <c r="E179" i="11"/>
  <c r="G179" i="11"/>
  <c r="D180" i="11"/>
  <c r="H180" i="11" s="1"/>
  <c r="E180" i="11"/>
  <c r="G180" i="11"/>
  <c r="D181" i="11"/>
  <c r="E181" i="11"/>
  <c r="G181" i="11"/>
  <c r="D182" i="11"/>
  <c r="E182" i="11"/>
  <c r="G182" i="11"/>
  <c r="D183" i="11"/>
  <c r="J183" i="11" s="1"/>
  <c r="E183" i="11"/>
  <c r="G183" i="11"/>
  <c r="D184" i="11"/>
  <c r="H184" i="11" s="1"/>
  <c r="E184" i="11"/>
  <c r="G184" i="11"/>
  <c r="D185" i="11"/>
  <c r="I185" i="11" s="1"/>
  <c r="E185" i="11"/>
  <c r="G185" i="11"/>
  <c r="D186" i="11"/>
  <c r="E186" i="11"/>
  <c r="G186" i="11"/>
  <c r="D187" i="11"/>
  <c r="H187" i="11" s="1"/>
  <c r="E187" i="11"/>
  <c r="G187" i="11"/>
  <c r="D188" i="11"/>
  <c r="J188" i="11" s="1"/>
  <c r="E188" i="11"/>
  <c r="G188" i="11"/>
  <c r="D189" i="11"/>
  <c r="E189" i="11"/>
  <c r="G189" i="11"/>
  <c r="D190" i="11"/>
  <c r="H190" i="11" s="1"/>
  <c r="E190" i="11"/>
  <c r="G190" i="11"/>
  <c r="D191" i="11"/>
  <c r="E191" i="11"/>
  <c r="G191" i="11"/>
  <c r="D192" i="11"/>
  <c r="J192" i="11" s="1"/>
  <c r="E192" i="11"/>
  <c r="G192" i="11"/>
  <c r="D193" i="11"/>
  <c r="E193" i="11"/>
  <c r="G193" i="11"/>
  <c r="D194" i="11"/>
  <c r="J194" i="11" s="1"/>
  <c r="E194" i="11"/>
  <c r="G194" i="11"/>
  <c r="D195" i="11"/>
  <c r="J195" i="11" s="1"/>
  <c r="E195" i="11"/>
  <c r="G195" i="11"/>
  <c r="D196" i="11"/>
  <c r="J196" i="11" s="1"/>
  <c r="E196" i="11"/>
  <c r="G196" i="11"/>
  <c r="D197" i="11"/>
  <c r="E197" i="11"/>
  <c r="G197" i="11"/>
  <c r="D198" i="11"/>
  <c r="H198" i="11" s="1"/>
  <c r="E198" i="11"/>
  <c r="G198" i="11"/>
  <c r="D199" i="11"/>
  <c r="H199" i="11" s="1"/>
  <c r="E199" i="11"/>
  <c r="G199" i="11"/>
  <c r="D200" i="11"/>
  <c r="H200" i="11" s="1"/>
  <c r="E200" i="11"/>
  <c r="G200" i="11"/>
  <c r="D201" i="11"/>
  <c r="E201" i="11"/>
  <c r="G201" i="11"/>
  <c r="D202" i="11"/>
  <c r="H202" i="11" s="1"/>
  <c r="E202" i="11"/>
  <c r="G202" i="11"/>
  <c r="D203" i="11"/>
  <c r="H203" i="11" s="1"/>
  <c r="E203" i="11"/>
  <c r="G203" i="11"/>
  <c r="D204" i="11"/>
  <c r="J204" i="11" s="1"/>
  <c r="E204" i="11"/>
  <c r="G204" i="11"/>
  <c r="D205" i="11"/>
  <c r="I205" i="11" s="1"/>
  <c r="E205" i="11"/>
  <c r="G205" i="11"/>
  <c r="D207" i="11"/>
  <c r="J207" i="11" s="1"/>
  <c r="E207" i="11"/>
  <c r="G207" i="11"/>
  <c r="D208" i="11"/>
  <c r="E208" i="11"/>
  <c r="G208" i="11"/>
  <c r="D209" i="11"/>
  <c r="J209" i="11" s="1"/>
  <c r="E209" i="11"/>
  <c r="G209" i="11"/>
  <c r="D210" i="11"/>
  <c r="E210" i="11"/>
  <c r="G210" i="11"/>
  <c r="D211" i="11"/>
  <c r="E211" i="11"/>
  <c r="G211" i="11"/>
  <c r="W216" i="64" s="1"/>
  <c r="D212" i="11"/>
  <c r="H212" i="11" s="1"/>
  <c r="E212" i="11"/>
  <c r="G212" i="11"/>
  <c r="D213" i="11"/>
  <c r="H213" i="11" s="1"/>
  <c r="E213" i="11"/>
  <c r="G213" i="11"/>
  <c r="D214" i="11"/>
  <c r="E214" i="11"/>
  <c r="G214" i="11"/>
  <c r="D215" i="11"/>
  <c r="H215" i="11" s="1"/>
  <c r="E215" i="11"/>
  <c r="G215" i="11"/>
  <c r="D216" i="11"/>
  <c r="E216" i="11"/>
  <c r="G216" i="11"/>
  <c r="D217" i="11"/>
  <c r="H217" i="11" s="1"/>
  <c r="E217" i="11"/>
  <c r="G217" i="11"/>
  <c r="D218" i="11"/>
  <c r="E218" i="11"/>
  <c r="G218" i="11"/>
  <c r="D219" i="11"/>
  <c r="I219" i="11" s="1"/>
  <c r="E219" i="11"/>
  <c r="G219" i="11"/>
  <c r="D220" i="11"/>
  <c r="H220" i="11" s="1"/>
  <c r="E220" i="11"/>
  <c r="G220" i="11"/>
  <c r="D221" i="11"/>
  <c r="H221" i="11" s="1"/>
  <c r="E221" i="11"/>
  <c r="G221" i="11"/>
  <c r="D222" i="11"/>
  <c r="E222" i="11"/>
  <c r="G222" i="11"/>
  <c r="D223" i="11"/>
  <c r="E223" i="11"/>
  <c r="G223" i="11"/>
  <c r="D224" i="11"/>
  <c r="H224" i="11" s="1"/>
  <c r="E224" i="11"/>
  <c r="G224" i="11"/>
  <c r="D225" i="11"/>
  <c r="J225" i="11" s="1"/>
  <c r="E225" i="11"/>
  <c r="G225" i="11"/>
  <c r="D226" i="11"/>
  <c r="E226" i="11"/>
  <c r="G226" i="11"/>
  <c r="D227" i="11"/>
  <c r="J227" i="11" s="1"/>
  <c r="E227" i="11"/>
  <c r="G227" i="11"/>
  <c r="D228" i="11"/>
  <c r="H228" i="11" s="1"/>
  <c r="E228" i="11"/>
  <c r="G228" i="11"/>
  <c r="D229" i="11"/>
  <c r="H229" i="11" s="1"/>
  <c r="E229" i="11"/>
  <c r="G229" i="11"/>
  <c r="D230" i="11"/>
  <c r="J230" i="11" s="1"/>
  <c r="E230" i="11"/>
  <c r="G230" i="11"/>
  <c r="D231" i="11"/>
  <c r="H231" i="11" s="1"/>
  <c r="E231" i="11"/>
  <c r="G231" i="11"/>
  <c r="D232" i="11"/>
  <c r="E232" i="11"/>
  <c r="G232" i="11"/>
  <c r="D233" i="11"/>
  <c r="J233" i="11" s="1"/>
  <c r="E233" i="11"/>
  <c r="G233" i="11"/>
  <c r="D234" i="11"/>
  <c r="J234" i="11" s="1"/>
  <c r="E234" i="11"/>
  <c r="G234" i="11"/>
  <c r="D235" i="11"/>
  <c r="J235" i="11" s="1"/>
  <c r="E235" i="11"/>
  <c r="G235" i="11"/>
  <c r="D236" i="11"/>
  <c r="E236" i="11"/>
  <c r="G236" i="11"/>
  <c r="D237" i="11"/>
  <c r="J237" i="11" s="1"/>
  <c r="E237" i="11"/>
  <c r="G237" i="11"/>
  <c r="D238" i="11"/>
  <c r="E238" i="11"/>
  <c r="G238" i="11"/>
  <c r="D239" i="11"/>
  <c r="H239" i="11" s="1"/>
  <c r="E239" i="11"/>
  <c r="G239" i="11"/>
  <c r="D240" i="11"/>
  <c r="H240" i="11" s="1"/>
  <c r="E240" i="11"/>
  <c r="G240" i="11"/>
  <c r="D241" i="11"/>
  <c r="E241" i="11"/>
  <c r="G241" i="11"/>
  <c r="D242" i="11"/>
  <c r="J242" i="11" s="1"/>
  <c r="E242" i="11"/>
  <c r="G242" i="11"/>
  <c r="D243" i="11"/>
  <c r="E243" i="11"/>
  <c r="G243" i="11"/>
  <c r="D244" i="11"/>
  <c r="E244" i="11"/>
  <c r="G244" i="11"/>
  <c r="D245" i="11"/>
  <c r="H245" i="11" s="1"/>
  <c r="E245" i="11"/>
  <c r="G245" i="11"/>
  <c r="D246" i="11"/>
  <c r="J246" i="11" s="1"/>
  <c r="E246" i="11"/>
  <c r="G246" i="11"/>
  <c r="D247" i="11"/>
  <c r="H247" i="11" s="1"/>
  <c r="E247" i="11"/>
  <c r="G247" i="11"/>
  <c r="D248" i="11"/>
  <c r="H248" i="11" s="1"/>
  <c r="E248" i="11"/>
  <c r="G248" i="11"/>
  <c r="D249" i="11"/>
  <c r="J249" i="11" s="1"/>
  <c r="E249" i="11"/>
  <c r="G249" i="11"/>
  <c r="D250" i="11"/>
  <c r="J250" i="11" s="1"/>
  <c r="E250" i="11"/>
  <c r="G250" i="11"/>
  <c r="D251" i="11"/>
  <c r="H251" i="11" s="1"/>
  <c r="E251" i="11"/>
  <c r="G251" i="11"/>
  <c r="D252" i="11"/>
  <c r="H252" i="11" s="1"/>
  <c r="E252" i="11"/>
  <c r="G252" i="11"/>
  <c r="D253" i="11"/>
  <c r="J253" i="11" s="1"/>
  <c r="E253" i="11"/>
  <c r="G253" i="11"/>
  <c r="D254" i="11"/>
  <c r="E254" i="11"/>
  <c r="G254" i="11"/>
  <c r="D255" i="11"/>
  <c r="H255" i="11" s="1"/>
  <c r="E255" i="11"/>
  <c r="G255" i="11"/>
  <c r="D256" i="11"/>
  <c r="E256" i="11"/>
  <c r="G256" i="11"/>
  <c r="D257" i="11"/>
  <c r="E257" i="11"/>
  <c r="G257" i="11"/>
  <c r="D258" i="11"/>
  <c r="J258" i="11" s="1"/>
  <c r="E258" i="11"/>
  <c r="G258" i="11"/>
  <c r="D259" i="11"/>
  <c r="E259" i="11"/>
  <c r="G259" i="11"/>
  <c r="J452" i="11" l="1"/>
  <c r="J450" i="11"/>
  <c r="I450" i="11"/>
  <c r="K450" i="11" s="1"/>
  <c r="J448" i="11"/>
  <c r="I452" i="11"/>
  <c r="I448" i="11"/>
  <c r="I453" i="11"/>
  <c r="I451" i="11"/>
  <c r="J453" i="11"/>
  <c r="J451" i="11"/>
  <c r="H449" i="11"/>
  <c r="K449" i="11" s="1"/>
  <c r="J366" i="11"/>
  <c r="J373" i="11"/>
  <c r="I369" i="11"/>
  <c r="I356" i="11"/>
  <c r="I367" i="11"/>
  <c r="I363" i="11"/>
  <c r="J359" i="11"/>
  <c r="I353" i="11"/>
  <c r="I371" i="11"/>
  <c r="I365" i="11"/>
  <c r="I360" i="11"/>
  <c r="H357" i="11"/>
  <c r="H355" i="11"/>
  <c r="I361" i="11"/>
  <c r="I359" i="11"/>
  <c r="I357" i="11"/>
  <c r="I355" i="11"/>
  <c r="H353" i="11"/>
  <c r="I373" i="11"/>
  <c r="I372" i="11"/>
  <c r="J371" i="11"/>
  <c r="H369" i="11"/>
  <c r="I368" i="11"/>
  <c r="J367" i="11"/>
  <c r="H365" i="11"/>
  <c r="I364" i="11"/>
  <c r="J363" i="11"/>
  <c r="H361" i="11"/>
  <c r="I370" i="11"/>
  <c r="I366" i="11"/>
  <c r="I362" i="11"/>
  <c r="I358" i="11"/>
  <c r="I354" i="11"/>
  <c r="H356" i="11"/>
  <c r="J372" i="11"/>
  <c r="H370" i="11"/>
  <c r="J368" i="11"/>
  <c r="H366" i="11"/>
  <c r="J364" i="11"/>
  <c r="H362" i="11"/>
  <c r="J360" i="11"/>
  <c r="H358" i="11"/>
  <c r="J356" i="11"/>
  <c r="H354" i="11"/>
  <c r="J302" i="11"/>
  <c r="K302" i="11" s="1"/>
  <c r="I287" i="11"/>
  <c r="J286" i="11"/>
  <c r="I294" i="11"/>
  <c r="I302" i="11"/>
  <c r="I292" i="11"/>
  <c r="I284" i="11"/>
  <c r="I296" i="11"/>
  <c r="H283" i="11"/>
  <c r="I280" i="11"/>
  <c r="I298" i="11"/>
  <c r="I288" i="11"/>
  <c r="I286" i="11"/>
  <c r="H284" i="11"/>
  <c r="I283" i="11"/>
  <c r="H282" i="11"/>
  <c r="I300" i="11"/>
  <c r="I290" i="11"/>
  <c r="I282" i="11"/>
  <c r="H280" i="11"/>
  <c r="H300" i="11"/>
  <c r="I299" i="11"/>
  <c r="J298" i="11"/>
  <c r="K298" i="11" s="1"/>
  <c r="H296" i="11"/>
  <c r="K296" i="11" s="1"/>
  <c r="I295" i="11"/>
  <c r="J294" i="11"/>
  <c r="H292" i="11"/>
  <c r="I291" i="11"/>
  <c r="J290" i="11"/>
  <c r="H288" i="11"/>
  <c r="I303" i="11"/>
  <c r="I297" i="11"/>
  <c r="I293" i="11"/>
  <c r="I289" i="11"/>
  <c r="I285" i="11"/>
  <c r="I281" i="11"/>
  <c r="I301" i="11"/>
  <c r="J303" i="11"/>
  <c r="K303" i="11" s="1"/>
  <c r="H301" i="11"/>
  <c r="J299" i="11"/>
  <c r="H297" i="11"/>
  <c r="J295" i="11"/>
  <c r="H293" i="11"/>
  <c r="J291" i="11"/>
  <c r="H289" i="11"/>
  <c r="K289" i="11" s="1"/>
  <c r="J287" i="11"/>
  <c r="H285" i="11"/>
  <c r="J283" i="11"/>
  <c r="H281" i="11"/>
  <c r="I106" i="11"/>
  <c r="I102" i="11"/>
  <c r="F126" i="11"/>
  <c r="F127" i="11"/>
  <c r="F124" i="11"/>
  <c r="I124" i="11" s="1"/>
  <c r="H102" i="11"/>
  <c r="K102" i="11" s="1"/>
  <c r="J101" i="11"/>
  <c r="H106" i="11"/>
  <c r="J105" i="11"/>
  <c r="J104" i="11"/>
  <c r="I99" i="11"/>
  <c r="H103" i="11"/>
  <c r="I103" i="11"/>
  <c r="I101" i="11"/>
  <c r="H99" i="11"/>
  <c r="I105" i="11"/>
  <c r="I104" i="11"/>
  <c r="I100" i="11"/>
  <c r="H104" i="11"/>
  <c r="H100" i="11"/>
  <c r="I131" i="11"/>
  <c r="I129" i="11"/>
  <c r="I130" i="11"/>
  <c r="I134" i="11"/>
  <c r="J132" i="11"/>
  <c r="J131" i="11"/>
  <c r="H129" i="11"/>
  <c r="J133" i="11"/>
  <c r="H133" i="11"/>
  <c r="I132" i="11"/>
  <c r="H134" i="11"/>
  <c r="H130" i="11"/>
  <c r="H82" i="11"/>
  <c r="I87" i="11"/>
  <c r="I88" i="11"/>
  <c r="J90" i="11"/>
  <c r="J89" i="11"/>
  <c r="J93" i="11"/>
  <c r="J86" i="11"/>
  <c r="I79" i="11"/>
  <c r="H77" i="11"/>
  <c r="J75" i="11"/>
  <c r="J98" i="11"/>
  <c r="H87" i="11"/>
  <c r="J85" i="11"/>
  <c r="I90" i="11"/>
  <c r="I89" i="11"/>
  <c r="I75" i="11"/>
  <c r="I86" i="11"/>
  <c r="I85" i="11"/>
  <c r="I84" i="11"/>
  <c r="I82" i="11"/>
  <c r="J77" i="11"/>
  <c r="I98" i="11"/>
  <c r="I97" i="11"/>
  <c r="H91" i="11"/>
  <c r="J97" i="11"/>
  <c r="I91" i="11"/>
  <c r="I94" i="11"/>
  <c r="I83" i="11"/>
  <c r="J81" i="11"/>
  <c r="H94" i="11"/>
  <c r="H83" i="11"/>
  <c r="I81" i="11"/>
  <c r="I80" i="11"/>
  <c r="H78" i="11"/>
  <c r="I78" i="11"/>
  <c r="I95" i="11"/>
  <c r="I93" i="11"/>
  <c r="I92" i="11"/>
  <c r="H79" i="11"/>
  <c r="I77" i="11"/>
  <c r="I76" i="11"/>
  <c r="H95" i="11"/>
  <c r="I96" i="11"/>
  <c r="H241" i="11"/>
  <c r="H96" i="11"/>
  <c r="H92" i="11"/>
  <c r="H88" i="11"/>
  <c r="H84" i="11"/>
  <c r="H80" i="11"/>
  <c r="H76" i="11"/>
  <c r="H257" i="11"/>
  <c r="H166" i="11"/>
  <c r="H259" i="11"/>
  <c r="H331" i="11"/>
  <c r="H330" i="11"/>
  <c r="J166" i="11"/>
  <c r="J436" i="11"/>
  <c r="H348" i="11"/>
  <c r="J343" i="11"/>
  <c r="I343" i="11"/>
  <c r="J231" i="11"/>
  <c r="J20" i="11"/>
  <c r="J388" i="11"/>
  <c r="I381" i="11"/>
  <c r="J380" i="11"/>
  <c r="I44" i="11"/>
  <c r="I401" i="11"/>
  <c r="I388" i="11"/>
  <c r="J387" i="11"/>
  <c r="J376" i="11"/>
  <c r="I324" i="11"/>
  <c r="J319" i="11"/>
  <c r="J46" i="11"/>
  <c r="I413" i="11"/>
  <c r="J408" i="11"/>
  <c r="J407" i="11"/>
  <c r="I419" i="11"/>
  <c r="I327" i="11"/>
  <c r="I201" i="11"/>
  <c r="J418" i="11"/>
  <c r="I417" i="11"/>
  <c r="H416" i="11"/>
  <c r="J411" i="11"/>
  <c r="H327" i="11"/>
  <c r="I316" i="11"/>
  <c r="J315" i="11"/>
  <c r="J270" i="11"/>
  <c r="I225" i="11"/>
  <c r="I69" i="11"/>
  <c r="J31" i="11"/>
  <c r="I411" i="11"/>
  <c r="K411" i="11" s="1"/>
  <c r="I406" i="11"/>
  <c r="J384" i="11"/>
  <c r="I345" i="11"/>
  <c r="I332" i="11"/>
  <c r="J331" i="11"/>
  <c r="J262" i="11"/>
  <c r="J323" i="11"/>
  <c r="I230" i="11"/>
  <c r="I211" i="11"/>
  <c r="I190" i="11"/>
  <c r="J121" i="11"/>
  <c r="H235" i="11"/>
  <c r="I233" i="11"/>
  <c r="J232" i="11"/>
  <c r="I231" i="11"/>
  <c r="I181" i="11"/>
  <c r="H44" i="11"/>
  <c r="J43" i="11"/>
  <c r="J435" i="11"/>
  <c r="I416" i="11"/>
  <c r="I412" i="11"/>
  <c r="I408" i="11"/>
  <c r="I407" i="11"/>
  <c r="I405" i="11"/>
  <c r="I384" i="11"/>
  <c r="J379" i="11"/>
  <c r="I377" i="11"/>
  <c r="J351" i="11"/>
  <c r="I348" i="11"/>
  <c r="I344" i="11"/>
  <c r="I331" i="11"/>
  <c r="J312" i="11"/>
  <c r="J311" i="11"/>
  <c r="J266" i="11"/>
  <c r="J260" i="11"/>
  <c r="I269" i="11"/>
  <c r="I266" i="11"/>
  <c r="I260" i="11"/>
  <c r="J221" i="11"/>
  <c r="J199" i="11"/>
  <c r="J190" i="11"/>
  <c r="I420" i="11"/>
  <c r="I393" i="11"/>
  <c r="I392" i="11"/>
  <c r="I380" i="11"/>
  <c r="I336" i="11"/>
  <c r="I315" i="11"/>
  <c r="K315" i="11" s="1"/>
  <c r="J308" i="11"/>
  <c r="J279" i="11"/>
  <c r="J274" i="11"/>
  <c r="J425" i="11"/>
  <c r="I425" i="11"/>
  <c r="J56" i="11"/>
  <c r="I56" i="11"/>
  <c r="H158" i="11"/>
  <c r="J158" i="11"/>
  <c r="H50" i="11"/>
  <c r="J50" i="11"/>
  <c r="J24" i="11"/>
  <c r="I24" i="11"/>
  <c r="H26" i="11"/>
  <c r="I26" i="11"/>
  <c r="H436" i="11"/>
  <c r="I436" i="11"/>
  <c r="H48" i="11"/>
  <c r="I48" i="11"/>
  <c r="J28" i="11"/>
  <c r="I28" i="11"/>
  <c r="J400" i="11"/>
  <c r="J304" i="11"/>
  <c r="J139" i="11"/>
  <c r="J108" i="11"/>
  <c r="I424" i="11"/>
  <c r="J386" i="11"/>
  <c r="I352" i="11"/>
  <c r="I351" i="11"/>
  <c r="J350" i="11"/>
  <c r="I347" i="11"/>
  <c r="H335" i="11"/>
  <c r="J334" i="11"/>
  <c r="I333" i="11"/>
  <c r="I304" i="11"/>
  <c r="H276" i="11"/>
  <c r="J275" i="11"/>
  <c r="I272" i="11"/>
  <c r="J271" i="11"/>
  <c r="I423" i="11"/>
  <c r="J347" i="11"/>
  <c r="I276" i="11"/>
  <c r="J254" i="11"/>
  <c r="J213" i="11"/>
  <c r="J35" i="11"/>
  <c r="I429" i="11"/>
  <c r="H423" i="11"/>
  <c r="I415" i="11"/>
  <c r="H404" i="11"/>
  <c r="J403" i="11"/>
  <c r="J399" i="11"/>
  <c r="I398" i="11"/>
  <c r="I397" i="11"/>
  <c r="I396" i="11"/>
  <c r="I213" i="11"/>
  <c r="J203" i="11"/>
  <c r="I158" i="11"/>
  <c r="I108" i="11"/>
  <c r="J62" i="11"/>
  <c r="J53" i="11"/>
  <c r="I37" i="11"/>
  <c r="I35" i="11"/>
  <c r="J16" i="11"/>
  <c r="I435" i="11"/>
  <c r="J434" i="11"/>
  <c r="I433" i="11"/>
  <c r="I432" i="11"/>
  <c r="J431" i="11"/>
  <c r="I428" i="11"/>
  <c r="H427" i="11"/>
  <c r="H424" i="11"/>
  <c r="I404" i="11"/>
  <c r="I400" i="11"/>
  <c r="H391" i="11"/>
  <c r="I389" i="11"/>
  <c r="H385" i="11"/>
  <c r="I382" i="11"/>
  <c r="H381" i="11"/>
  <c r="H377" i="11"/>
  <c r="H376" i="11"/>
  <c r="H340" i="11"/>
  <c r="J339" i="11"/>
  <c r="I335" i="11"/>
  <c r="H332" i="11"/>
  <c r="I329" i="11"/>
  <c r="I328" i="11"/>
  <c r="J307" i="11"/>
  <c r="I279" i="11"/>
  <c r="J278" i="11"/>
  <c r="I275" i="11"/>
  <c r="I274" i="11"/>
  <c r="I271" i="11"/>
  <c r="I270" i="11"/>
  <c r="J268" i="11"/>
  <c r="I267" i="11"/>
  <c r="I264" i="11"/>
  <c r="J415" i="11"/>
  <c r="I189" i="11"/>
  <c r="I171" i="11"/>
  <c r="I137" i="11"/>
  <c r="J127" i="11"/>
  <c r="J33" i="11"/>
  <c r="J429" i="11"/>
  <c r="I427" i="11"/>
  <c r="J419" i="11"/>
  <c r="I385" i="11"/>
  <c r="I340" i="11"/>
  <c r="I339" i="11"/>
  <c r="H323" i="11"/>
  <c r="I319" i="11"/>
  <c r="J318" i="11"/>
  <c r="H316" i="11"/>
  <c r="I313" i="11"/>
  <c r="I312" i="11"/>
  <c r="I308" i="11"/>
  <c r="I268" i="11"/>
  <c r="I262" i="11"/>
  <c r="I196" i="11"/>
  <c r="I60" i="11"/>
  <c r="J212" i="11"/>
  <c r="J202" i="11"/>
  <c r="J180" i="11"/>
  <c r="J178" i="11"/>
  <c r="I141" i="11"/>
  <c r="J64" i="11"/>
  <c r="H249" i="11"/>
  <c r="J248" i="11"/>
  <c r="H242" i="11"/>
  <c r="J241" i="11"/>
  <c r="I212" i="11"/>
  <c r="J211" i="11"/>
  <c r="I202" i="11"/>
  <c r="I199" i="11"/>
  <c r="J198" i="11"/>
  <c r="H196" i="11"/>
  <c r="I180" i="11"/>
  <c r="I178" i="11"/>
  <c r="J162" i="11"/>
  <c r="J143" i="11"/>
  <c r="H141" i="11"/>
  <c r="J140" i="11"/>
  <c r="I138" i="11"/>
  <c r="H128" i="11"/>
  <c r="I127" i="11"/>
  <c r="I119" i="11"/>
  <c r="I72" i="11"/>
  <c r="I64" i="11"/>
  <c r="H60" i="11"/>
  <c r="J59" i="11"/>
  <c r="I20" i="11"/>
  <c r="I19" i="11"/>
  <c r="J18" i="11"/>
  <c r="I16" i="11"/>
  <c r="I434" i="11"/>
  <c r="H432" i="11"/>
  <c r="H428" i="11"/>
  <c r="I418" i="11"/>
  <c r="H412" i="11"/>
  <c r="H405" i="11"/>
  <c r="I403" i="11"/>
  <c r="H398" i="11"/>
  <c r="H396" i="11"/>
  <c r="I394" i="11"/>
  <c r="H392" i="11"/>
  <c r="H351" i="11"/>
  <c r="H344" i="11"/>
  <c r="I334" i="11"/>
  <c r="H328" i="11"/>
  <c r="H272" i="11"/>
  <c r="H264" i="11"/>
  <c r="I263" i="11"/>
  <c r="I249" i="11"/>
  <c r="J138" i="11"/>
  <c r="I128" i="11"/>
  <c r="I221" i="11"/>
  <c r="J173" i="11"/>
  <c r="H53" i="11"/>
  <c r="I40" i="11"/>
  <c r="I31" i="11"/>
  <c r="H433" i="11"/>
  <c r="I431" i="11"/>
  <c r="H420" i="11"/>
  <c r="H417" i="11"/>
  <c r="J414" i="11"/>
  <c r="H401" i="11"/>
  <c r="H397" i="11"/>
  <c r="H393" i="11"/>
  <c r="I391" i="11"/>
  <c r="J383" i="11"/>
  <c r="H352" i="11"/>
  <c r="I350" i="11"/>
  <c r="I349" i="11"/>
  <c r="J346" i="11"/>
  <c r="H336" i="11"/>
  <c r="H333" i="11"/>
  <c r="J330" i="11"/>
  <c r="J325" i="11"/>
  <c r="J320" i="11"/>
  <c r="J314" i="11"/>
  <c r="I309" i="11"/>
  <c r="I307" i="11"/>
  <c r="J306" i="11"/>
  <c r="I242" i="11"/>
  <c r="J29" i="11"/>
  <c r="J25" i="11"/>
  <c r="H413" i="11"/>
  <c r="I409" i="11"/>
  <c r="H389" i="11"/>
  <c r="I387" i="11"/>
  <c r="H382" i="11"/>
  <c r="I378" i="11"/>
  <c r="H345" i="11"/>
  <c r="I341" i="11"/>
  <c r="H329" i="11"/>
  <c r="I325" i="11"/>
  <c r="J324" i="11"/>
  <c r="J322" i="11"/>
  <c r="H320" i="11"/>
  <c r="I318" i="11"/>
  <c r="H313" i="11"/>
  <c r="I311" i="11"/>
  <c r="I278" i="11"/>
  <c r="J257" i="11"/>
  <c r="I253" i="11"/>
  <c r="J240" i="11"/>
  <c r="J229" i="11"/>
  <c r="H152" i="11"/>
  <c r="I152" i="11"/>
  <c r="J23" i="11"/>
  <c r="H342" i="11"/>
  <c r="I342" i="11"/>
  <c r="J277" i="11"/>
  <c r="H277" i="11"/>
  <c r="H253" i="11"/>
  <c r="J252" i="11"/>
  <c r="I247" i="11"/>
  <c r="J187" i="11"/>
  <c r="H170" i="11"/>
  <c r="I170" i="11"/>
  <c r="J154" i="11"/>
  <c r="J147" i="11"/>
  <c r="I147" i="11"/>
  <c r="H63" i="11"/>
  <c r="J63" i="11"/>
  <c r="I34" i="11"/>
  <c r="I32" i="11"/>
  <c r="J421" i="11"/>
  <c r="H421" i="11"/>
  <c r="I386" i="11"/>
  <c r="J337" i="11"/>
  <c r="H337" i="11"/>
  <c r="H317" i="11"/>
  <c r="H310" i="11"/>
  <c r="I310" i="11"/>
  <c r="I277" i="11"/>
  <c r="J261" i="11"/>
  <c r="H261" i="11"/>
  <c r="I261" i="11"/>
  <c r="J255" i="11"/>
  <c r="J247" i="11"/>
  <c r="J245" i="11"/>
  <c r="H52" i="11"/>
  <c r="I52" i="11"/>
  <c r="H426" i="11"/>
  <c r="I426" i="11"/>
  <c r="I402" i="11"/>
  <c r="J374" i="11"/>
  <c r="H374" i="11"/>
  <c r="I317" i="11"/>
  <c r="I257" i="11"/>
  <c r="H186" i="11"/>
  <c r="I186" i="11"/>
  <c r="J168" i="11"/>
  <c r="I113" i="11"/>
  <c r="H110" i="11"/>
  <c r="I110" i="11"/>
  <c r="J52" i="11"/>
  <c r="I33" i="11"/>
  <c r="I23" i="11"/>
  <c r="J430" i="11"/>
  <c r="J426" i="11"/>
  <c r="J422" i="11"/>
  <c r="H410" i="11"/>
  <c r="I410" i="11"/>
  <c r="I375" i="11"/>
  <c r="J342" i="11"/>
  <c r="J338" i="11"/>
  <c r="I252" i="11"/>
  <c r="J251" i="11"/>
  <c r="I250" i="11"/>
  <c r="H216" i="11"/>
  <c r="J216" i="11"/>
  <c r="I187" i="11"/>
  <c r="J186" i="11"/>
  <c r="H182" i="11"/>
  <c r="J182" i="11"/>
  <c r="J170" i="11"/>
  <c r="J156" i="11"/>
  <c r="I154" i="11"/>
  <c r="J148" i="11"/>
  <c r="H148" i="11"/>
  <c r="I122" i="11"/>
  <c r="H113" i="11"/>
  <c r="J111" i="11"/>
  <c r="J110" i="11"/>
  <c r="H71" i="11"/>
  <c r="I71" i="11"/>
  <c r="H47" i="11"/>
  <c r="J47" i="11"/>
  <c r="I430" i="11"/>
  <c r="I422" i="11"/>
  <c r="I421" i="11"/>
  <c r="J410" i="11"/>
  <c r="J406" i="11"/>
  <c r="H406" i="11"/>
  <c r="H395" i="11"/>
  <c r="I395" i="11"/>
  <c r="H386" i="11"/>
  <c r="I338" i="11"/>
  <c r="I337" i="11"/>
  <c r="J321" i="11"/>
  <c r="H321" i="11"/>
  <c r="J310" i="11"/>
  <c r="J305" i="11"/>
  <c r="H305" i="11"/>
  <c r="J265" i="11"/>
  <c r="H265" i="11"/>
  <c r="J34" i="11"/>
  <c r="J375" i="11"/>
  <c r="I255" i="11"/>
  <c r="I254" i="11"/>
  <c r="I245" i="11"/>
  <c r="I240" i="11"/>
  <c r="I229" i="11"/>
  <c r="J152" i="11"/>
  <c r="J122" i="11"/>
  <c r="H402" i="11"/>
  <c r="I374" i="11"/>
  <c r="H326" i="11"/>
  <c r="I326" i="11"/>
  <c r="H254" i="11"/>
  <c r="I237" i="11"/>
  <c r="I235" i="11"/>
  <c r="H233" i="11"/>
  <c r="H207" i="11"/>
  <c r="I207" i="11"/>
  <c r="H194" i="11"/>
  <c r="I194" i="11"/>
  <c r="H183" i="11"/>
  <c r="I183" i="11"/>
  <c r="H174" i="11"/>
  <c r="I174" i="11"/>
  <c r="H150" i="11"/>
  <c r="I150" i="11"/>
  <c r="H118" i="11"/>
  <c r="I118" i="11"/>
  <c r="H22" i="11"/>
  <c r="J22" i="11"/>
  <c r="J390" i="11"/>
  <c r="H390" i="11"/>
  <c r="H379" i="11"/>
  <c r="I379" i="11"/>
  <c r="H349" i="11"/>
  <c r="I322" i="11"/>
  <c r="I321" i="11"/>
  <c r="I306" i="11"/>
  <c r="I305" i="11"/>
  <c r="I265" i="11"/>
  <c r="J273" i="11"/>
  <c r="H273" i="11"/>
  <c r="I203" i="11"/>
  <c r="I173" i="11"/>
  <c r="I164" i="11"/>
  <c r="I162" i="11"/>
  <c r="I143" i="11"/>
  <c r="I121" i="11"/>
  <c r="J107" i="11"/>
  <c r="H69" i="11"/>
  <c r="J68" i="11"/>
  <c r="I62" i="11"/>
  <c r="H56" i="11"/>
  <c r="J54" i="11"/>
  <c r="I46" i="11"/>
  <c r="H40" i="11"/>
  <c r="H37" i="11"/>
  <c r="J36" i="11"/>
  <c r="J30" i="11"/>
  <c r="H28" i="11"/>
  <c r="I27" i="11"/>
  <c r="H425" i="11"/>
  <c r="I414" i="11"/>
  <c r="H409" i="11"/>
  <c r="I399" i="11"/>
  <c r="H394" i="11"/>
  <c r="I383" i="11"/>
  <c r="H378" i="11"/>
  <c r="I346" i="11"/>
  <c r="H341" i="11"/>
  <c r="I330" i="11"/>
  <c r="H325" i="11"/>
  <c r="I314" i="11"/>
  <c r="H309" i="11"/>
  <c r="I273" i="11"/>
  <c r="J269" i="11"/>
  <c r="H269" i="11"/>
  <c r="J267" i="11"/>
  <c r="J263" i="11"/>
  <c r="J217" i="11"/>
  <c r="J184" i="11"/>
  <c r="J172" i="11"/>
  <c r="H256" i="11"/>
  <c r="J256" i="11"/>
  <c r="J228" i="11"/>
  <c r="I220" i="11"/>
  <c r="J219" i="11"/>
  <c r="H208" i="11"/>
  <c r="I208" i="11"/>
  <c r="H204" i="11"/>
  <c r="I200" i="11"/>
  <c r="H192" i="11"/>
  <c r="I184" i="11"/>
  <c r="K184" i="11" s="1"/>
  <c r="H175" i="11"/>
  <c r="I175" i="11"/>
  <c r="H165" i="11"/>
  <c r="J165" i="11"/>
  <c r="I157" i="11"/>
  <c r="J155" i="11"/>
  <c r="H155" i="11"/>
  <c r="I146" i="11"/>
  <c r="H136" i="11"/>
  <c r="J135" i="11"/>
  <c r="H126" i="11"/>
  <c r="J125" i="11"/>
  <c r="I123" i="11"/>
  <c r="I120" i="11"/>
  <c r="J73" i="11"/>
  <c r="I73" i="11"/>
  <c r="H66" i="11"/>
  <c r="I66" i="11"/>
  <c r="I204" i="11"/>
  <c r="I126" i="11"/>
  <c r="J120" i="11"/>
  <c r="H250" i="11"/>
  <c r="H236" i="11"/>
  <c r="I236" i="11"/>
  <c r="H225" i="11"/>
  <c r="J224" i="11"/>
  <c r="H223" i="11"/>
  <c r="I223" i="11"/>
  <c r="I217" i="11"/>
  <c r="H209" i="11"/>
  <c r="H191" i="11"/>
  <c r="I191" i="11"/>
  <c r="H188" i="11"/>
  <c r="H176" i="11"/>
  <c r="I172" i="11"/>
  <c r="I258" i="11"/>
  <c r="H244" i="11"/>
  <c r="J244" i="11"/>
  <c r="J236" i="11"/>
  <c r="H230" i="11"/>
  <c r="I228" i="11"/>
  <c r="I224" i="11"/>
  <c r="K224" i="11" s="1"/>
  <c r="J223" i="11"/>
  <c r="I216" i="11"/>
  <c r="J215" i="11"/>
  <c r="J208" i="11"/>
  <c r="J191" i="11"/>
  <c r="J175" i="11"/>
  <c r="H161" i="11"/>
  <c r="J161" i="11"/>
  <c r="I159" i="11"/>
  <c r="I156" i="11"/>
  <c r="I155" i="11"/>
  <c r="H149" i="11"/>
  <c r="J149" i="11"/>
  <c r="H116" i="11"/>
  <c r="I116" i="11"/>
  <c r="I109" i="11"/>
  <c r="J66" i="11"/>
  <c r="J61" i="11"/>
  <c r="I61" i="11"/>
  <c r="J45" i="11"/>
  <c r="I45" i="11"/>
  <c r="J220" i="11"/>
  <c r="I209" i="11"/>
  <c r="J200" i="11"/>
  <c r="I192" i="11"/>
  <c r="I188" i="11"/>
  <c r="I176" i="11"/>
  <c r="J171" i="11"/>
  <c r="H171" i="11"/>
  <c r="J157" i="11"/>
  <c r="J146" i="11"/>
  <c r="I136" i="11"/>
  <c r="J119" i="11"/>
  <c r="H119" i="11"/>
  <c r="H243" i="11"/>
  <c r="J243" i="11"/>
  <c r="I241" i="11"/>
  <c r="H237" i="11"/>
  <c r="J238" i="11"/>
  <c r="I238" i="11"/>
  <c r="H232" i="11"/>
  <c r="I232" i="11"/>
  <c r="I198" i="11"/>
  <c r="H195" i="11"/>
  <c r="I195" i="11"/>
  <c r="I182" i="11"/>
  <c r="H179" i="11"/>
  <c r="I179" i="11"/>
  <c r="I168" i="11"/>
  <c r="I166" i="11"/>
  <c r="H164" i="11"/>
  <c r="I163" i="11"/>
  <c r="H145" i="11"/>
  <c r="J145" i="11"/>
  <c r="H142" i="11"/>
  <c r="I142" i="11"/>
  <c r="I140" i="11"/>
  <c r="J116" i="11"/>
  <c r="H72" i="11"/>
  <c r="H70" i="11"/>
  <c r="I70" i="11"/>
  <c r="I68" i="11"/>
  <c r="H55" i="11"/>
  <c r="I55" i="11"/>
  <c r="H39" i="11"/>
  <c r="I39" i="11"/>
  <c r="J27" i="11"/>
  <c r="H24" i="11"/>
  <c r="I22" i="11"/>
  <c r="I21" i="11"/>
  <c r="H19" i="11"/>
  <c r="I36" i="11"/>
  <c r="H20" i="11"/>
  <c r="I18" i="11"/>
  <c r="I17" i="11"/>
  <c r="J38" i="11"/>
  <c r="I57" i="11"/>
  <c r="I54" i="11"/>
  <c r="I50" i="11"/>
  <c r="I41" i="11"/>
  <c r="I38" i="11"/>
  <c r="H32" i="11"/>
  <c r="I30" i="11"/>
  <c r="I29" i="11"/>
  <c r="I246" i="11"/>
  <c r="J115" i="11"/>
  <c r="H115" i="11"/>
  <c r="I234" i="11"/>
  <c r="J226" i="11"/>
  <c r="H226" i="11"/>
  <c r="J197" i="11"/>
  <c r="H197" i="11"/>
  <c r="H169" i="11"/>
  <c r="I169" i="11"/>
  <c r="H67" i="11"/>
  <c r="I67" i="11"/>
  <c r="I259" i="11"/>
  <c r="H246" i="11"/>
  <c r="I239" i="11"/>
  <c r="H234" i="11"/>
  <c r="I226" i="11"/>
  <c r="J222" i="11"/>
  <c r="H222" i="11"/>
  <c r="J218" i="11"/>
  <c r="H218" i="11"/>
  <c r="J214" i="11"/>
  <c r="H214" i="11"/>
  <c r="J210" i="11"/>
  <c r="H210" i="11"/>
  <c r="I197" i="11"/>
  <c r="J193" i="11"/>
  <c r="H193" i="11"/>
  <c r="J177" i="11"/>
  <c r="H177" i="11"/>
  <c r="J169" i="11"/>
  <c r="J167" i="11"/>
  <c r="H167" i="11"/>
  <c r="J160" i="11"/>
  <c r="H160" i="11"/>
  <c r="H153" i="11"/>
  <c r="I153" i="11"/>
  <c r="I115" i="11"/>
  <c r="J67" i="11"/>
  <c r="J65" i="11"/>
  <c r="H65" i="11"/>
  <c r="J58" i="11"/>
  <c r="H58" i="11"/>
  <c r="H51" i="11"/>
  <c r="I51" i="11"/>
  <c r="H258" i="11"/>
  <c r="I251" i="11"/>
  <c r="I243" i="11"/>
  <c r="H238" i="11"/>
  <c r="I222" i="11"/>
  <c r="I218" i="11"/>
  <c r="I214" i="11"/>
  <c r="I210" i="11"/>
  <c r="J205" i="11"/>
  <c r="H205" i="11"/>
  <c r="I193" i="11"/>
  <c r="J189" i="11"/>
  <c r="H189" i="11"/>
  <c r="I177" i="11"/>
  <c r="I167" i="11"/>
  <c r="I160" i="11"/>
  <c r="J153" i="11"/>
  <c r="J151" i="11"/>
  <c r="H151" i="11"/>
  <c r="J144" i="11"/>
  <c r="H144" i="11"/>
  <c r="H139" i="11"/>
  <c r="I139" i="11"/>
  <c r="I65" i="11"/>
  <c r="I58" i="11"/>
  <c r="J51" i="11"/>
  <c r="J49" i="11"/>
  <c r="H49" i="11"/>
  <c r="J42" i="11"/>
  <c r="H42" i="11"/>
  <c r="J259" i="11"/>
  <c r="J239" i="11"/>
  <c r="I227" i="11"/>
  <c r="H227" i="11"/>
  <c r="J181" i="11"/>
  <c r="H181" i="11"/>
  <c r="J74" i="11"/>
  <c r="H74" i="11"/>
  <c r="J201" i="11"/>
  <c r="H201" i="11"/>
  <c r="J185" i="11"/>
  <c r="H185" i="11"/>
  <c r="I151" i="11"/>
  <c r="J137" i="11"/>
  <c r="H137" i="11"/>
  <c r="J124" i="11"/>
  <c r="H124" i="11"/>
  <c r="H117" i="11"/>
  <c r="I117" i="11"/>
  <c r="I49" i="11"/>
  <c r="I42" i="11"/>
  <c r="I215" i="11"/>
  <c r="I248" i="11"/>
  <c r="I244" i="11"/>
  <c r="H219" i="11"/>
  <c r="H211" i="11"/>
  <c r="I165" i="11"/>
  <c r="H163" i="11"/>
  <c r="I149" i="11"/>
  <c r="H147" i="11"/>
  <c r="I135" i="11"/>
  <c r="H127" i="11"/>
  <c r="I111" i="11"/>
  <c r="H109" i="11"/>
  <c r="I63" i="11"/>
  <c r="H61" i="11"/>
  <c r="I47" i="11"/>
  <c r="H45" i="11"/>
  <c r="I256" i="11"/>
  <c r="I161" i="11"/>
  <c r="H159" i="11"/>
  <c r="I145" i="11"/>
  <c r="I125" i="11"/>
  <c r="H123" i="11"/>
  <c r="I107" i="11"/>
  <c r="H73" i="11"/>
  <c r="I59" i="11"/>
  <c r="H57" i="11"/>
  <c r="I43" i="11"/>
  <c r="H41" i="11"/>
  <c r="H33" i="11"/>
  <c r="H29" i="11"/>
  <c r="H25" i="11"/>
  <c r="H21" i="11"/>
  <c r="H17" i="11"/>
  <c r="G437" i="11"/>
  <c r="G438" i="11"/>
  <c r="D437" i="11"/>
  <c r="I437" i="11" s="1"/>
  <c r="E437" i="11"/>
  <c r="D438" i="11"/>
  <c r="H438" i="11" s="1"/>
  <c r="E438" i="11"/>
  <c r="K99" i="11" l="1"/>
  <c r="K452" i="11"/>
  <c r="K453" i="11"/>
  <c r="K448" i="11"/>
  <c r="K156" i="11"/>
  <c r="K451" i="11"/>
  <c r="K354" i="11"/>
  <c r="K370" i="11"/>
  <c r="K361" i="11"/>
  <c r="K23" i="11"/>
  <c r="K363" i="11"/>
  <c r="K231" i="11"/>
  <c r="K358" i="11"/>
  <c r="K369" i="11"/>
  <c r="K365" i="11"/>
  <c r="K371" i="11"/>
  <c r="K373" i="11"/>
  <c r="K364" i="11"/>
  <c r="K367" i="11"/>
  <c r="K359" i="11"/>
  <c r="K355" i="11"/>
  <c r="K299" i="11"/>
  <c r="K353" i="11"/>
  <c r="K362" i="11"/>
  <c r="K287" i="11"/>
  <c r="K356" i="11"/>
  <c r="K357" i="11"/>
  <c r="K372" i="11"/>
  <c r="K284" i="11"/>
  <c r="K366" i="11"/>
  <c r="K283" i="11"/>
  <c r="K286" i="11"/>
  <c r="K360" i="11"/>
  <c r="K368" i="11"/>
  <c r="K282" i="11"/>
  <c r="K294" i="11"/>
  <c r="K293" i="11"/>
  <c r="K304" i="11"/>
  <c r="K295" i="11"/>
  <c r="K292" i="11"/>
  <c r="K288" i="11"/>
  <c r="K290" i="11"/>
  <c r="K280" i="11"/>
  <c r="K106" i="11"/>
  <c r="K291" i="11"/>
  <c r="K285" i="11"/>
  <c r="K301" i="11"/>
  <c r="K300" i="11"/>
  <c r="K281" i="11"/>
  <c r="K297" i="11"/>
  <c r="K166" i="11"/>
  <c r="K105" i="11"/>
  <c r="K101" i="11"/>
  <c r="K217" i="11"/>
  <c r="K100" i="11"/>
  <c r="K103" i="11"/>
  <c r="K134" i="11"/>
  <c r="K104" i="11"/>
  <c r="K82" i="11"/>
  <c r="K131" i="11"/>
  <c r="K129" i="11"/>
  <c r="K172" i="11"/>
  <c r="K43" i="11"/>
  <c r="K130" i="11"/>
  <c r="K133" i="11"/>
  <c r="K132" i="11"/>
  <c r="K87" i="11"/>
  <c r="K89" i="11"/>
  <c r="K88" i="11"/>
  <c r="K86" i="11"/>
  <c r="K84" i="11"/>
  <c r="K83" i="11"/>
  <c r="K79" i="11"/>
  <c r="K90" i="11"/>
  <c r="K97" i="11"/>
  <c r="K69" i="11"/>
  <c r="K93" i="11"/>
  <c r="K78" i="11"/>
  <c r="K76" i="11"/>
  <c r="K92" i="11"/>
  <c r="K75" i="11"/>
  <c r="K91" i="11"/>
  <c r="K85" i="11"/>
  <c r="K98" i="11"/>
  <c r="K95" i="11"/>
  <c r="K77" i="11"/>
  <c r="K80" i="11"/>
  <c r="K81" i="11"/>
  <c r="K96" i="11"/>
  <c r="K94" i="11"/>
  <c r="K324" i="11"/>
  <c r="K345" i="11"/>
  <c r="K401" i="11"/>
  <c r="K388" i="11"/>
  <c r="K230" i="11"/>
  <c r="K274" i="11"/>
  <c r="K328" i="11"/>
  <c r="K313" i="11"/>
  <c r="K332" i="11"/>
  <c r="K348" i="11"/>
  <c r="K20" i="11"/>
  <c r="K143" i="11"/>
  <c r="K128" i="11"/>
  <c r="K248" i="11"/>
  <c r="K72" i="11"/>
  <c r="K312" i="11"/>
  <c r="K319" i="11"/>
  <c r="K381" i="11"/>
  <c r="K270" i="11"/>
  <c r="K408" i="11"/>
  <c r="K380" i="11"/>
  <c r="K41" i="11"/>
  <c r="K402" i="11"/>
  <c r="K64" i="11"/>
  <c r="K202" i="11"/>
  <c r="K335" i="11"/>
  <c r="K54" i="11"/>
  <c r="K18" i="11"/>
  <c r="K29" i="11"/>
  <c r="K159" i="11"/>
  <c r="K203" i="11"/>
  <c r="K311" i="11"/>
  <c r="K387" i="11"/>
  <c r="K352" i="11"/>
  <c r="K412" i="11"/>
  <c r="K434" i="11"/>
  <c r="K168" i="11"/>
  <c r="K268" i="11"/>
  <c r="K339" i="11"/>
  <c r="K44" i="11"/>
  <c r="K343" i="11"/>
  <c r="K107" i="11"/>
  <c r="K164" i="11"/>
  <c r="K378" i="11"/>
  <c r="K111" i="11"/>
  <c r="K341" i="11"/>
  <c r="K162" i="11"/>
  <c r="K240" i="11"/>
  <c r="K53" i="11"/>
  <c r="K398" i="11"/>
  <c r="K385" i="11"/>
  <c r="K213" i="11"/>
  <c r="K250" i="11"/>
  <c r="K428" i="11"/>
  <c r="K415" i="11"/>
  <c r="K276" i="11"/>
  <c r="K331" i="11"/>
  <c r="K407" i="11"/>
  <c r="K68" i="11"/>
  <c r="K40" i="11"/>
  <c r="K322" i="11"/>
  <c r="K233" i="11"/>
  <c r="K279" i="11"/>
  <c r="K266" i="11"/>
  <c r="K121" i="11"/>
  <c r="K334" i="11"/>
  <c r="K262" i="11"/>
  <c r="K384" i="11"/>
  <c r="K154" i="11"/>
  <c r="K278" i="11"/>
  <c r="K320" i="11"/>
  <c r="K333" i="11"/>
  <c r="K393" i="11"/>
  <c r="K31" i="11"/>
  <c r="K221" i="11"/>
  <c r="K377" i="11"/>
  <c r="K400" i="11"/>
  <c r="K327" i="11"/>
  <c r="K413" i="11"/>
  <c r="K396" i="11"/>
  <c r="K323" i="11"/>
  <c r="K435" i="11"/>
  <c r="K26" i="11"/>
  <c r="K416" i="11"/>
  <c r="K140" i="11"/>
  <c r="K338" i="11"/>
  <c r="K417" i="11"/>
  <c r="K419" i="11"/>
  <c r="K275" i="11"/>
  <c r="K418" i="11"/>
  <c r="K24" i="11"/>
  <c r="K241" i="11"/>
  <c r="K267" i="11"/>
  <c r="K330" i="11"/>
  <c r="K409" i="11"/>
  <c r="K173" i="11"/>
  <c r="K245" i="11"/>
  <c r="K336" i="11"/>
  <c r="K420" i="11"/>
  <c r="K316" i="11"/>
  <c r="K62" i="11"/>
  <c r="K199" i="11"/>
  <c r="K120" i="11"/>
  <c r="K309" i="11"/>
  <c r="K414" i="11"/>
  <c r="K46" i="11"/>
  <c r="K307" i="11"/>
  <c r="K344" i="11"/>
  <c r="K376" i="11"/>
  <c r="K73" i="11"/>
  <c r="K399" i="11"/>
  <c r="K425" i="11"/>
  <c r="K252" i="11"/>
  <c r="K253" i="11"/>
  <c r="K257" i="11"/>
  <c r="K389" i="11"/>
  <c r="K196" i="11"/>
  <c r="K350" i="11"/>
  <c r="K424" i="11"/>
  <c r="K48" i="11"/>
  <c r="K211" i="11"/>
  <c r="K30" i="11"/>
  <c r="K19" i="11"/>
  <c r="K118" i="11"/>
  <c r="K174" i="11"/>
  <c r="K194" i="11"/>
  <c r="K326" i="11"/>
  <c r="K255" i="11"/>
  <c r="K113" i="11"/>
  <c r="K329" i="11"/>
  <c r="K431" i="11"/>
  <c r="K264" i="11"/>
  <c r="K16" i="11"/>
  <c r="K212" i="11"/>
  <c r="K178" i="11"/>
  <c r="K427" i="11"/>
  <c r="K404" i="11"/>
  <c r="K347" i="11"/>
  <c r="K260" i="11"/>
  <c r="K57" i="11"/>
  <c r="K47" i="11"/>
  <c r="K225" i="11"/>
  <c r="K340" i="11"/>
  <c r="K190" i="11"/>
  <c r="K138" i="11"/>
  <c r="K181" i="11"/>
  <c r="K314" i="11"/>
  <c r="K37" i="11"/>
  <c r="K150" i="11"/>
  <c r="K34" i="11"/>
  <c r="K433" i="11"/>
  <c r="K351" i="11"/>
  <c r="K308" i="11"/>
  <c r="K436" i="11"/>
  <c r="K52" i="11"/>
  <c r="K17" i="11"/>
  <c r="K397" i="11"/>
  <c r="K392" i="11"/>
  <c r="K180" i="11"/>
  <c r="K423" i="11"/>
  <c r="K158" i="11"/>
  <c r="K135" i="11"/>
  <c r="K50" i="11"/>
  <c r="K36" i="11"/>
  <c r="K235" i="11"/>
  <c r="K229" i="11"/>
  <c r="K430" i="11"/>
  <c r="K405" i="11"/>
  <c r="K391" i="11"/>
  <c r="K35" i="11"/>
  <c r="K108" i="11"/>
  <c r="K429" i="11"/>
  <c r="K25" i="11"/>
  <c r="K147" i="11"/>
  <c r="K215" i="11"/>
  <c r="K38" i="11"/>
  <c r="K27" i="11"/>
  <c r="K198" i="11"/>
  <c r="K28" i="11"/>
  <c r="K56" i="11"/>
  <c r="K122" i="11"/>
  <c r="K382" i="11"/>
  <c r="K272" i="11"/>
  <c r="K60" i="11"/>
  <c r="K123" i="11"/>
  <c r="K306" i="11"/>
  <c r="K349" i="11"/>
  <c r="K254" i="11"/>
  <c r="K148" i="11"/>
  <c r="K403" i="11"/>
  <c r="K141" i="11"/>
  <c r="K242" i="11"/>
  <c r="K271" i="11"/>
  <c r="K59" i="11"/>
  <c r="K61" i="11"/>
  <c r="K244" i="11"/>
  <c r="K39" i="11"/>
  <c r="K187" i="11"/>
  <c r="K422" i="11"/>
  <c r="K318" i="11"/>
  <c r="K432" i="11"/>
  <c r="K33" i="11"/>
  <c r="K238" i="11"/>
  <c r="K258" i="11"/>
  <c r="K32" i="11"/>
  <c r="K179" i="11"/>
  <c r="K232" i="11"/>
  <c r="K146" i="11"/>
  <c r="K223" i="11"/>
  <c r="K263" i="11"/>
  <c r="K383" i="11"/>
  <c r="K256" i="11"/>
  <c r="K127" i="11"/>
  <c r="K163" i="11"/>
  <c r="K137" i="11"/>
  <c r="K189" i="11"/>
  <c r="K205" i="11"/>
  <c r="K142" i="11"/>
  <c r="K182" i="11"/>
  <c r="K119" i="11"/>
  <c r="K228" i="11"/>
  <c r="K220" i="11"/>
  <c r="K325" i="11"/>
  <c r="K346" i="11"/>
  <c r="K152" i="11"/>
  <c r="K386" i="11"/>
  <c r="K247" i="11"/>
  <c r="K249" i="11"/>
  <c r="K145" i="11"/>
  <c r="K165" i="11"/>
  <c r="K171" i="11"/>
  <c r="K216" i="11"/>
  <c r="K269" i="11"/>
  <c r="K394" i="11"/>
  <c r="K183" i="11"/>
  <c r="K207" i="11"/>
  <c r="K71" i="11"/>
  <c r="K375" i="11"/>
  <c r="K186" i="11"/>
  <c r="K63" i="11"/>
  <c r="K243" i="11"/>
  <c r="K246" i="11"/>
  <c r="K22" i="11"/>
  <c r="K237" i="11"/>
  <c r="K273" i="11"/>
  <c r="K305" i="11"/>
  <c r="K321" i="11"/>
  <c r="K395" i="11"/>
  <c r="K110" i="11"/>
  <c r="K374" i="11"/>
  <c r="K426" i="11"/>
  <c r="K261" i="11"/>
  <c r="K310" i="11"/>
  <c r="K45" i="11"/>
  <c r="K109" i="11"/>
  <c r="K251" i="11"/>
  <c r="K70" i="11"/>
  <c r="K379" i="11"/>
  <c r="K406" i="11"/>
  <c r="K317" i="11"/>
  <c r="K421" i="11"/>
  <c r="K170" i="11"/>
  <c r="K342" i="11"/>
  <c r="K21" i="11"/>
  <c r="K125" i="11"/>
  <c r="K161" i="11"/>
  <c r="K149" i="11"/>
  <c r="K219" i="11"/>
  <c r="K185" i="11"/>
  <c r="K74" i="11"/>
  <c r="K227" i="11"/>
  <c r="K234" i="11"/>
  <c r="K200" i="11"/>
  <c r="K390" i="11"/>
  <c r="K265" i="11"/>
  <c r="K410" i="11"/>
  <c r="K337" i="11"/>
  <c r="K277" i="11"/>
  <c r="K188" i="11"/>
  <c r="K144" i="11"/>
  <c r="K160" i="11"/>
  <c r="K239" i="11"/>
  <c r="K66" i="11"/>
  <c r="K136" i="11"/>
  <c r="K155" i="11"/>
  <c r="K192" i="11"/>
  <c r="K208" i="11"/>
  <c r="K195" i="11"/>
  <c r="K191" i="11"/>
  <c r="K259" i="11"/>
  <c r="K55" i="11"/>
  <c r="K116" i="11"/>
  <c r="K176" i="11"/>
  <c r="K209" i="11"/>
  <c r="K236" i="11"/>
  <c r="K126" i="11"/>
  <c r="K157" i="11"/>
  <c r="K175" i="11"/>
  <c r="K204" i="11"/>
  <c r="K117" i="11"/>
  <c r="K42" i="11"/>
  <c r="K51" i="11"/>
  <c r="K65" i="11"/>
  <c r="K177" i="11"/>
  <c r="K218" i="11"/>
  <c r="K169" i="11"/>
  <c r="K226" i="11"/>
  <c r="K193" i="11"/>
  <c r="K139" i="11"/>
  <c r="K151" i="11"/>
  <c r="K153" i="11"/>
  <c r="K167" i="11"/>
  <c r="K214" i="11"/>
  <c r="K115" i="11"/>
  <c r="K210" i="11"/>
  <c r="K124" i="11"/>
  <c r="K201" i="11"/>
  <c r="K49" i="11"/>
  <c r="K58" i="11"/>
  <c r="K222" i="11"/>
  <c r="K67" i="11"/>
  <c r="K197" i="11"/>
  <c r="H437" i="11"/>
  <c r="J438" i="11"/>
  <c r="I438" i="11"/>
  <c r="J437" i="11"/>
  <c r="K437" i="11" l="1"/>
  <c r="K438" i="11"/>
  <c r="G439" i="11" l="1"/>
  <c r="G440" i="11"/>
  <c r="G441" i="11"/>
  <c r="G442" i="11"/>
  <c r="G443" i="11"/>
  <c r="G444" i="11"/>
  <c r="G445" i="11"/>
  <c r="G446" i="11"/>
  <c r="G447" i="11"/>
  <c r="D439" i="11"/>
  <c r="E439" i="11"/>
  <c r="D440" i="11"/>
  <c r="H440" i="11" s="1"/>
  <c r="E440" i="11"/>
  <c r="D441" i="11"/>
  <c r="H441" i="11" s="1"/>
  <c r="E441" i="11"/>
  <c r="D442" i="11"/>
  <c r="J442" i="11" s="1"/>
  <c r="E442" i="11"/>
  <c r="D443" i="11"/>
  <c r="E443" i="11"/>
  <c r="D444" i="11"/>
  <c r="H444" i="11" s="1"/>
  <c r="E444" i="11"/>
  <c r="D445" i="11"/>
  <c r="H445" i="11" s="1"/>
  <c r="E445" i="11"/>
  <c r="D446" i="11"/>
  <c r="J446" i="11" s="1"/>
  <c r="E446" i="11"/>
  <c r="D447" i="11"/>
  <c r="J447" i="11" s="1"/>
  <c r="E447" i="11"/>
  <c r="I443" i="11" l="1"/>
  <c r="I439" i="11"/>
  <c r="I445" i="11"/>
  <c r="J441" i="11"/>
  <c r="H439" i="11"/>
  <c r="J445" i="11"/>
  <c r="H443" i="11"/>
  <c r="I441" i="11"/>
  <c r="I447" i="11"/>
  <c r="I446" i="11"/>
  <c r="I442" i="11"/>
  <c r="H447" i="11"/>
  <c r="H446" i="11"/>
  <c r="J444" i="11"/>
  <c r="H442" i="11"/>
  <c r="J440" i="11"/>
  <c r="I444" i="11"/>
  <c r="J443" i="11"/>
  <c r="I440" i="11"/>
  <c r="J439" i="11"/>
  <c r="K446" i="11" l="1"/>
  <c r="K441" i="11"/>
  <c r="K443" i="11"/>
  <c r="K440" i="11"/>
  <c r="K447" i="11"/>
  <c r="K445" i="11"/>
  <c r="K444" i="11"/>
  <c r="K439" i="11"/>
  <c r="K442" i="11"/>
  <c r="E7" i="64" l="1"/>
  <c r="D15" i="11"/>
  <c r="J15" i="11" s="1"/>
  <c r="E15" i="11"/>
  <c r="G15" i="11"/>
  <c r="I15" i="11" l="1"/>
  <c r="H15" i="11"/>
  <c r="K15" i="11" l="1"/>
  <c r="G6" i="11" l="1"/>
  <c r="D20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45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54" i="11"/>
  <c r="D455" i="11"/>
  <c r="H455" i="11" s="1"/>
  <c r="E45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5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6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54" i="11"/>
  <c r="J454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55" i="11"/>
  <c r="I455" i="11"/>
  <c r="H454" i="11" l="1"/>
  <c r="I454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455" i="11"/>
  <c r="K454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E58" i="39"/>
  <c r="F60" i="39" s="1"/>
  <c r="H457" i="11"/>
  <c r="H458" i="11" s="1"/>
  <c r="I457" i="11"/>
  <c r="I458" i="11" s="1"/>
  <c r="F337" i="29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98" i="29" l="1"/>
  <c r="F339" i="29"/>
  <c r="F58" i="39"/>
  <c r="F289" i="29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226" i="29"/>
  <c r="F239" i="29"/>
  <c r="F346" i="29"/>
  <c r="F351" i="29"/>
  <c r="F323" i="29"/>
  <c r="A12" i="54"/>
  <c r="O11" i="54"/>
  <c r="F347" i="29"/>
  <c r="F233" i="29"/>
  <c r="F312" i="29"/>
  <c r="H459" i="11"/>
  <c r="I45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F36" i="39" l="1"/>
  <c r="K457" i="11"/>
  <c r="K458" i="11" s="1"/>
  <c r="K459" i="11" s="1"/>
  <c r="B46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57" i="11"/>
  <c r="J45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5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8" i="41" l="1"/>
  <c r="F829" i="41"/>
  <c r="F779" i="41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<sst xmlns="http://schemas.openxmlformats.org/spreadsheetml/2006/main" count="5314" uniqueCount="1679">
  <si>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</si>
  <si>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</si>
  <si>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</si>
  <si>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</si>
  <si>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</si>
  <si>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</si>
  <si>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</si>
  <si>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</si>
  <si>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</si>
  <si>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</si>
  <si>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</si>
  <si>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</si>
  <si>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</si>
  <si>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</si>
  <si>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</si>
  <si>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</si>
  <si>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</si>
  <si>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</si>
  <si>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</si>
  <si>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</si>
  <si>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</si>
  <si>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</si>
  <si>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</si>
  <si>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</si>
  <si>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</si>
  <si>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</si>
  <si>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</si>
  <si>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</si>
  <si>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</si>
  <si>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</si>
  <si>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</si>
  <si>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</si>
  <si>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</si>
  <si>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</si>
  <si>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</si>
  <si>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</si>
  <si>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</si>
  <si>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</si>
  <si>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</si>
  <si>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</si>
  <si>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</si>
  <si>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</si>
  <si>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</si>
  <si>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</si>
  <si>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</si>
  <si>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</si>
  <si>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</si>
  <si>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</si>
  <si>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</si>
  <si>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</si>
  <si>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</si>
  <si>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</si>
  <si>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</si>
  <si>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</si>
  <si>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</si>
  <si>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</si>
  <si>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</si>
  <si>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</si>
  <si>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</si>
  <si>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</si>
  <si>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</si>
  <si>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</si>
  <si>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</si>
  <si>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</si>
  <si>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</si>
  <si>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</si>
  <si>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</si>
  <si>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</si>
  <si>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</si>
  <si>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</si>
  <si>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</si>
  <si>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</si>
  <si>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</si>
  <si>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</si>
  <si>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</si>
  <si>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</si>
  <si>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</si>
  <si>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</si>
  <si>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</si>
  <si>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</si>
  <si>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</si>
  <si>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</si>
  <si>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</si>
  <si>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</si>
  <si>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</si>
  <si>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</si>
  <si>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</si>
  <si>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</si>
  <si>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</si>
  <si>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</si>
  <si>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</si>
  <si>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</si>
  <si>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</si>
  <si>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</si>
  <si>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</si>
  <si>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</si>
  <si>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</si>
  <si>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</si>
  <si>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</si>
  <si>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</si>
  <si>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</si>
  <si>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</si>
  <si>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</si>
  <si>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</si>
  <si>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</si>
  <si>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</si>
  <si>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</si>
  <si>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</si>
  <si>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</si>
  <si>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</si>
  <si>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</si>
  <si>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</si>
  <si>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</si>
  <si>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</si>
  <si>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</si>
  <si>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</si>
  <si>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</si>
  <si>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</si>
  <si>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</si>
  <si>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</si>
  <si>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</si>
  <si>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</si>
  <si>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</si>
  <si>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</si>
  <si>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</si>
  <si>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</si>
  <si>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</si>
  <si>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</si>
  <si>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</si>
  <si>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</si>
  <si>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</si>
  <si>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</si>
  <si>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</si>
  <si>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</si>
  <si>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</si>
  <si>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</si>
  <si>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</si>
  <si>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</si>
  <si>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</si>
  <si>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</si>
  <si>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</si>
  <si>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</si>
  <si>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</si>
  <si>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</si>
  <si>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</si>
  <si>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</si>
  <si>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</si>
  <si>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</si>
  <si>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</si>
  <si>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</si>
  <si>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</si>
  <si>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</si>
  <si>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</si>
  <si>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</si>
  <si>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</si>
  <si>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</si>
  <si>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</si>
  <si>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</si>
  <si>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</si>
  <si>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</si>
  <si>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</si>
  <si>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</si>
  <si>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</si>
  <si>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</si>
  <si>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</si>
  <si>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</si>
  <si>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</si>
  <si>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</si>
  <si>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</si>
  <si>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</si>
  <si>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</si>
  <si>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</si>
  <si>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</si>
  <si>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</si>
  <si>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</si>
  <si>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</si>
  <si>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</si>
  <si>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</si>
  <si>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</si>
  <si>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</si>
  <si>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</si>
  <si>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</si>
  <si>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</si>
  <si>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</si>
  <si>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</si>
  <si>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</si>
  <si>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</si>
  <si>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</si>
  <si>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</si>
  <si>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</si>
  <si>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</si>
  <si>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</si>
  <si>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</si>
  <si>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</si>
  <si>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</si>
  <si>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</si>
  <si>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</si>
  <si>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</si>
  <si>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</si>
  <si>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</si>
  <si>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</si>
  <si>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</si>
  <si>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</si>
  <si>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</si>
  <si>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</si>
  <si>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</si>
  <si>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</si>
  <si>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</si>
  <si>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</si>
  <si>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</si>
  <si>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</si>
  <si>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</si>
  <si>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</si>
  <si>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</si>
  <si>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</si>
  <si>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</si>
  <si>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</si>
  <si>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</si>
  <si>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</si>
  <si>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</si>
  <si>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</si>
  <si>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</si>
  <si>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</si>
  <si>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</si>
  <si>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</si>
  <si>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</si>
  <si>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</si>
  <si>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</si>
  <si>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</si>
  <si>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</si>
  <si>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</si>
  <si>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</si>
  <si>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</si>
  <si>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</si>
  <si>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</si>
  <si>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</si>
  <si>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</si>
  <si>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</si>
  <si>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</si>
  <si>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</si>
  <si>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</si>
  <si>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</si>
  <si>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</si>
  <si>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</si>
  <si>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</si>
  <si>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</si>
  <si>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</si>
  <si>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</si>
  <si>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</si>
  <si>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</si>
  <si>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</si>
  <si>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</si>
  <si>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</si>
  <si>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</si>
  <si>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</si>
  <si>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</si>
  <si>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</si>
  <si>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</si>
  <si>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</si>
  <si>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</si>
  <si>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</si>
  <si>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</si>
  <si>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</si>
  <si>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</si>
  <si>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</si>
  <si>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</si>
  <si>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</si>
  <si>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</si>
  <si>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</si>
  <si>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</si>
  <si>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</si>
  <si>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</si>
  <si>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</si>
  <si>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</si>
  <si>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</si>
  <si>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</si>
  <si>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</si>
  <si>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</si>
  <si>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</si>
  <si>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</si>
  <si>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</si>
  <si>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</si>
  <si>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</si>
  <si>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</si>
  <si>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</si>
  <si>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</si>
  <si>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</si>
  <si>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</si>
  <si>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</si>
  <si>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</si>
  <si>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</si>
  <si>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</si>
  <si>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</si>
  <si>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</si>
  <si>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</si>
  <si>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</si>
  <si>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</si>
  <si>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</si>
  <si>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</si>
  <si>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</si>
  <si>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</si>
  <si>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</si>
  <si>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</si>
  <si>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</si>
  <si>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</si>
  <si>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</si>
  <si>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</si>
  <si>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</si>
  <si>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</si>
  <si>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</si>
  <si>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</si>
  <si>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</si>
  <si>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</si>
  <si>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</si>
  <si>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</si>
  <si>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</si>
  <si>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</si>
  <si>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</si>
  <si>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</si>
  <si>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</si>
  <si>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</si>
  <si>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</si>
  <si>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</si>
  <si>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</si>
  <si>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</si>
  <si>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</si>
  <si>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</si>
  <si>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</si>
  <si>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</si>
  <si>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</si>
  <si>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</si>
  <si>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</si>
  <si>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</si>
  <si>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</si>
  <si>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</si>
  <si>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</si>
  <si>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</si>
  <si>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</si>
  <si>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</si>
  <si>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</si>
  <si>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</si>
  <si>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</si>
  <si>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</si>
  <si>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</si>
  <si>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</si>
  <si>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</si>
  <si>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</si>
  <si>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</si>
  <si>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</si>
  <si>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</si>
  <si>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</si>
  <si>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</si>
  <si>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</si>
  <si>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</si>
  <si>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</si>
  <si>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</si>
  <si>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</si>
  <si>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</si>
  <si>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</si>
  <si>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</si>
  <si>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</si>
  <si>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</si>
  <si>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</si>
  <si>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</si>
  <si>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</si>
  <si>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</si>
  <si>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</si>
  <si>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</si>
  <si>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</si>
  <si>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</si>
  <si>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</si>
  <si>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</si>
  <si>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</si>
  <si>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</si>
  <si>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</si>
  <si>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</si>
  <si>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</si>
  <si>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</si>
  <si>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</si>
  <si>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</si>
  <si>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</si>
  <si>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</si>
  <si>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</si>
  <si>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</si>
  <si>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</si>
  <si>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</si>
  <si>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</si>
  <si>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</si>
  <si>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</si>
  <si>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</si>
  <si>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</si>
  <si>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</si>
  <si>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</si>
  <si>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</si>
  <si>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</si>
  <si>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</si>
  <si>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</si>
  <si>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</si>
  <si>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</si>
  <si>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</si>
  <si>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</si>
  <si>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</si>
  <si>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</si>
  <si>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</si>
  <si>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</si>
  <si>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</si>
  <si>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</si>
  <si>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</si>
  <si>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</si>
  <si>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</si>
  <si>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</si>
  <si>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</si>
  <si>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</si>
  <si>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</si>
  <si>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</si>
  <si>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</si>
  <si>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</si>
  <si>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</si>
  <si>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</si>
  <si>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</si>
  <si>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</si>
  <si>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</si>
  <si>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</si>
  <si>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</si>
  <si>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</si>
  <si>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</si>
  <si>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</si>
  <si>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</si>
  <si>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</si>
  <si>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</si>
  <si>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</si>
  <si>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</si>
  <si>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</si>
  <si>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</si>
  <si>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</si>
  <si>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</si>
  <si>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</si>
  <si>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</si>
  <si>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</si>
  <si>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</si>
  <si>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</si>
  <si>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</si>
  <si>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</si>
  <si>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</si>
  <si>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</si>
  <si>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</si>
  <si>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</si>
  <si>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</si>
  <si>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</si>
  <si>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</si>
  <si>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</si>
  <si>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</si>
  <si>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</si>
  <si>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</si>
  <si>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</si>
  <si>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</si>
  <si>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</si>
  <si>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</si>
  <si>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</si>
  <si>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</si>
  <si>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</si>
  <si>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</si>
  <si>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</si>
  <si>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</si>
  <si>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</si>
  <si>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</si>
  <si>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</si>
  <si>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</si>
  <si>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</si>
  <si>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</si>
  <si>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</si>
  <si>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</si>
  <si>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</si>
  <si>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</si>
  <si>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</si>
  <si>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</si>
  <si>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</si>
  <si>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</si>
  <si>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</si>
  <si>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</si>
  <si>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</si>
  <si>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</si>
  <si>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</si>
  <si>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</si>
  <si>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</si>
  <si>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</si>
  <si>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</si>
  <si>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</si>
  <si>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</si>
  <si>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</si>
  <si>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</si>
  <si>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</si>
  <si>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</si>
  <si>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</si>
  <si>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</si>
  <si>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</si>
  <si>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</si>
  <si>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</si>
  <si>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</si>
  <si>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</si>
  <si>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</si>
  <si>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</si>
  <si>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</si>
  <si>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</si>
  <si>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</si>
  <si>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</si>
  <si>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</si>
  <si>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</si>
  <si>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</si>
  <si>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</si>
  <si>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</si>
  <si>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</si>
  <si>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</si>
  <si>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</si>
  <si>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</si>
  <si>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</si>
  <si>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</si>
  <si>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</si>
  <si>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</si>
  <si>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</si>
  <si>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</si>
  <si>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</si>
  <si>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</si>
  <si>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</si>
  <si>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</si>
  <si>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</si>
  <si>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</si>
  <si>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</si>
  <si>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</si>
  <si>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</si>
  <si>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</si>
  <si>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</si>
  <si>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</si>
  <si>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</si>
  <si>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</si>
  <si>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</si>
  <si>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</si>
  <si>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</si>
  <si>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</si>
  <si>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</si>
  <si>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</si>
  <si>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</si>
  <si>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</si>
  <si>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</si>
  <si>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</si>
  <si>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</si>
  <si>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</si>
  <si>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</si>
  <si>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</si>
  <si>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</si>
  <si>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</si>
  <si>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</si>
  <si>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</si>
  <si>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</si>
  <si>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</si>
  <si>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</si>
  <si>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</si>
  <si>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</si>
  <si>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</si>
  <si>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</si>
  <si>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</si>
  <si>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</si>
  <si>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</si>
  <si>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</si>
  <si>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</si>
  <si>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</si>
  <si>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</si>
  <si>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</si>
  <si>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</si>
  <si>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</si>
  <si>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</si>
  <si>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</si>
  <si>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</si>
  <si>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</si>
  <si>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</si>
  <si>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</si>
  <si>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</si>
  <si>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</si>
  <si>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</si>
  <si>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</si>
  <si>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</si>
  <si>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</si>
  <si>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</si>
  <si>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</si>
  <si>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</si>
  <si>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</si>
  <si>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</si>
  <si>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</si>
  <si>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</si>
  <si>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</si>
  <si>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</si>
  <si>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</si>
  <si>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</si>
  <si>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</si>
  <si>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</si>
  <si>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</si>
  <si>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</si>
  <si>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</si>
  <si>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</si>
  <si>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</si>
  <si>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</si>
  <si>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</si>
  <si>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</si>
  <si>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</si>
  <si>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</si>
  <si>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</si>
  <si>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</si>
  <si>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</si>
  <si>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</si>
  <si>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</si>
  <si>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</si>
  <si>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</si>
  <si>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</si>
  <si>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</si>
  <si>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</si>
  <si>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</si>
  <si>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</si>
  <si>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</si>
  <si>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</si>
  <si>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</si>
  <si>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</si>
  <si>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</si>
  <si>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</si>
  <si>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</si>
  <si>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</si>
  <si>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</si>
  <si>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</si>
  <si>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</si>
  <si>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</si>
  <si>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</si>
  <si>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</si>
  <si>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</si>
  <si>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</si>
  <si>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</si>
  <si>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</si>
  <si>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</si>
  <si>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</si>
  <si>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</si>
  <si>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</si>
  <si>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</si>
  <si>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</si>
  <si>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</si>
  <si>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</si>
  <si>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</si>
  <si>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</si>
  <si>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</si>
  <si>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</si>
  <si>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</si>
  <si>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</si>
  <si>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</si>
  <si>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</si>
  <si>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</si>
  <si>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</si>
  <si>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</si>
  <si>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</si>
  <si>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</si>
  <si>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</si>
  <si>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</si>
  <si>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</si>
  <si>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</si>
  <si>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</si>
  <si>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</si>
  <si>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</si>
  <si>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</si>
  <si>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</si>
  <si>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</si>
  <si>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</si>
  <si>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</si>
  <si>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</si>
  <si>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</si>
  <si>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</si>
  <si>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</si>
  <si>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</si>
  <si>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</si>
  <si>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</si>
  <si>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</si>
  <si>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</si>
  <si>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</si>
  <si>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</si>
  <si>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</si>
  <si>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</si>
  <si>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</si>
  <si>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</si>
  <si>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</si>
  <si>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</si>
  <si>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</si>
  <si>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</si>
  <si>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</si>
  <si>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</si>
  <si>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</si>
  <si>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</si>
  <si>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</si>
  <si>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</si>
  <si>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</si>
  <si>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</si>
  <si>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</si>
  <si>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</si>
  <si>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</si>
  <si>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</si>
  <si>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</si>
  <si>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</si>
  <si>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</si>
  <si>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</si>
  <si>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</si>
  <si>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</si>
  <si>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</si>
  <si>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</si>
  <si>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</si>
  <si>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</si>
  <si>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</si>
  <si>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</si>
  <si>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</si>
  <si>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</si>
  <si>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</si>
  <si>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</si>
  <si>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</si>
  <si>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</si>
  <si>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</si>
  <si>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</si>
  <si>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</si>
  <si>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</si>
  <si>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</si>
  <si>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</si>
  <si>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</si>
  <si>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</si>
  <si>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</si>
  <si>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</si>
  <si>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</si>
  <si>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</si>
  <si>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</si>
  <si>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</si>
  <si>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</si>
  <si>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</si>
  <si>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</si>
  <si>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</si>
  <si>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</si>
  <si>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</si>
  <si>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</si>
  <si>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</si>
  <si>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</si>
  <si>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</si>
  <si>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</si>
  <si>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</si>
  <si>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</si>
  <si>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</si>
  <si>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</si>
  <si>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</si>
  <si>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</si>
  <si>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</si>
  <si>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</si>
  <si>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</si>
  <si>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</si>
  <si>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</si>
  <si>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</si>
  <si>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</si>
  <si>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</si>
  <si>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</si>
  <si>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</si>
  <si>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</si>
  <si>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</si>
  <si>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</si>
  <si>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</si>
  <si>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</si>
  <si>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</si>
  <si>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</si>
  <si>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</si>
  <si>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</si>
  <si>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</si>
  <si>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</si>
  <si>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</si>
  <si>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</si>
  <si>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</si>
  <si>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</si>
  <si>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</si>
  <si>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</si>
  <si>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</si>
  <si>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</si>
  <si>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</si>
  <si>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</si>
  <si>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</si>
  <si>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</si>
  <si>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</si>
  <si>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</si>
  <si>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</si>
  <si>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</si>
  <si>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</si>
  <si>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</si>
  <si>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</si>
  <si>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</si>
  <si>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</si>
  <si>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</si>
  <si>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</si>
  <si>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</si>
  <si>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</si>
  <si>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</si>
  <si>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</si>
  <si>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</si>
  <si>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</si>
  <si>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</si>
  <si>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</si>
  <si>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</si>
  <si>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</si>
  <si>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</si>
  <si>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</si>
  <si>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</si>
  <si>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</si>
  <si>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</si>
  <si>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</si>
  <si>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</si>
  <si>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</si>
  <si>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</si>
  <si>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</si>
  <si>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</si>
  <si>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</si>
  <si>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</si>
  <si>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</si>
  <si>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</si>
  <si>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</si>
  <si>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</si>
  <si>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</si>
  <si>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</si>
  <si>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</si>
  <si>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</si>
  <si>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</si>
  <si>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</si>
  <si>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</si>
  <si>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</si>
  <si>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</si>
  <si>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</si>
  <si>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</si>
  <si>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</si>
  <si>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</si>
  <si>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</si>
  <si>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</si>
  <si>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</si>
  <si>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</si>
  <si>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</si>
  <si>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</si>
  <si>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</si>
  <si>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</si>
  <si>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</si>
  <si>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</si>
  <si>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</si>
  <si>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</si>
  <si>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</si>
  <si>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</si>
  <si>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</si>
  <si>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</si>
  <si>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</si>
  <si>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</si>
  <si>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</si>
  <si>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</si>
  <si>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</si>
  <si>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</si>
  <si>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</si>
  <si>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</si>
  <si>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</si>
  <si>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</si>
  <si>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</si>
  <si>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</si>
  <si>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</si>
  <si>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</si>
  <si>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</si>
  <si>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</si>
  <si>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</si>
  <si>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</si>
  <si>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</si>
  <si>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</si>
  <si>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</si>
  <si>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</si>
  <si>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</si>
  <si>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</si>
  <si>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</si>
  <si>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</si>
  <si>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</si>
  <si>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</si>
  <si>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</si>
  <si>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</si>
  <si>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</si>
  <si>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</si>
  <si>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</si>
  <si>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</si>
  <si>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</si>
  <si>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</si>
  <si>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</si>
  <si>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</si>
  <si>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</si>
  <si>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</si>
  <si>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</si>
  <si>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</si>
  <si>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</si>
  <si>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</si>
  <si>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</si>
  <si>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</si>
  <si>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</si>
  <si>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</si>
  <si>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</si>
  <si>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</si>
  <si>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</si>
  <si>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</si>
  <si>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</si>
  <si>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</si>
  <si>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</si>
  <si>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</si>
  <si>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</si>
  <si>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</si>
  <si>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</si>
  <si>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</si>
  <si>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</si>
  <si>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</si>
  <si>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</si>
  <si>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</si>
  <si>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</si>
  <si>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</si>
  <si>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</si>
  <si>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</si>
  <si>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</si>
  <si>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</si>
  <si>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</si>
  <si>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</si>
  <si>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</si>
  <si>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</si>
  <si>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</si>
  <si>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</si>
  <si>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</si>
  <si>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</si>
  <si>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</si>
  <si>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</si>
  <si>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</si>
  <si>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</si>
  <si>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</si>
  <si>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</si>
  <si>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</si>
  <si>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</si>
  <si>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</si>
  <si>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</si>
  <si>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</si>
  <si>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</si>
  <si>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</si>
  <si>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</si>
  <si>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</si>
  <si>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</si>
  <si>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</si>
  <si>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</si>
  <si>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</si>
  <si>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</si>
  <si>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</si>
  <si>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</si>
  <si>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</si>
  <si>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</si>
  <si>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</si>
  <si>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</si>
  <si>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</si>
  <si>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</si>
  <si>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</si>
  <si>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</si>
  <si>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</si>
  <si>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</si>
  <si>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</si>
  <si>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</si>
  <si>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</si>
  <si>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</si>
  <si>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</si>
  <si>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</si>
  <si>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</si>
  <si>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</si>
  <si>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</si>
  <si>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</si>
  <si>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</si>
  <si>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</si>
  <si>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</si>
  <si>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</si>
  <si>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</si>
  <si>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</si>
  <si>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</si>
  <si>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</si>
  <si>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</si>
  <si>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</si>
  <si>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</si>
  <si>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</si>
  <si>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</si>
  <si>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</si>
  <si>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</si>
  <si>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</si>
  <si>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</si>
  <si>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</si>
  <si>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</si>
  <si>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</si>
  <si>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</si>
  <si>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</si>
  <si>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</si>
  <si>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</si>
  <si>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</si>
  <si>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</si>
  <si>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</si>
  <si>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</si>
  <si>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</si>
  <si>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</si>
  <si>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</si>
  <si>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</si>
  <si>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</si>
  <si>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</si>
  <si>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</si>
  <si>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</si>
  <si>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</si>
  <si>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</si>
  <si>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</si>
  <si>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</si>
  <si>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</si>
  <si>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</si>
  <si>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</si>
  <si>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</si>
  <si>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</si>
  <si>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</si>
  <si>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</si>
  <si>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</si>
  <si>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</si>
  <si>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</si>
  <si>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</si>
  <si>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</si>
  <si>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</si>
  <si>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</si>
  <si>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</si>
  <si>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</si>
  <si>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</si>
  <si>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</si>
  <si>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</si>
  <si>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</si>
  <si>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</si>
  <si>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</si>
  <si>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</si>
  <si>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</si>
  <si>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</si>
  <si>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</si>
  <si>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</si>
  <si>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</si>
  <si>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</si>
  <si>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</si>
  <si>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</si>
  <si>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</si>
  <si>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</si>
  <si>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</si>
  <si>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</si>
  <si>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</si>
  <si>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</si>
  <si>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</si>
  <si>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</si>
  <si>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</si>
  <si>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</si>
  <si>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</si>
  <si>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</si>
  <si>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</si>
  <si>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</si>
  <si>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</si>
  <si>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</si>
  <si>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</si>
  <si>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</si>
  <si>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</si>
  <si>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</si>
  <si>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</si>
  <si>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</si>
  <si>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</si>
  <si>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</si>
  <si>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</si>
  <si>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</si>
  <si>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</si>
  <si>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</si>
  <si>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</si>
  <si>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</si>
  <si>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</si>
  <si>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</si>
  <si>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</si>
  <si>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</si>
  <si>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</si>
  <si>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</si>
  <si>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</si>
  <si>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</si>
  <si>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</si>
  <si>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</si>
  <si>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</si>
  <si>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</si>
  <si>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</si>
  <si>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</si>
  <si>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</si>
  <si>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</si>
  <si>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</si>
  <si>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</si>
  <si>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</si>
  <si>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</si>
  <si>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</si>
  <si>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</si>
  <si>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</si>
  <si>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</si>
  <si>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</si>
  <si>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</si>
  <si>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</si>
  <si>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</si>
  <si>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</si>
  <si>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</si>
  <si>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</si>
  <si>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</si>
  <si>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</si>
  <si>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</si>
  <si>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</si>
  <si>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</si>
  <si>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</si>
  <si>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</si>
  <si>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</si>
  <si>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</si>
  <si>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</si>
  <si>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</si>
  <si>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</si>
  <si>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</si>
  <si>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</si>
  <si>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</si>
  <si>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</si>
  <si>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</si>
  <si>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</si>
  <si>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</si>
  <si>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</si>
  <si>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</si>
  <si>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</si>
  <si>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</si>
  <si>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</si>
  <si>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</si>
  <si>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</si>
  <si>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</si>
  <si>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</si>
  <si>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</si>
  <si>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</si>
  <si>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</si>
  <si>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</si>
  <si>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</si>
  <si>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</si>
  <si>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</si>
  <si>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</si>
  <si>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</si>
  <si>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</si>
  <si>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</si>
  <si>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</si>
  <si>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</si>
  <si>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</si>
  <si>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</si>
  <si>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</si>
  <si>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</si>
  <si>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</si>
  <si>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</si>
  <si>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</si>
  <si>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</si>
  <si>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</si>
  <si>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</si>
  <si>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</si>
  <si>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</si>
  <si>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</si>
  <si>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</si>
  <si>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</si>
  <si>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</si>
  <si>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</si>
  <si>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</si>
  <si>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</si>
  <si>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</si>
  <si>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</si>
  <si>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</si>
  <si>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</si>
  <si>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</si>
  <si>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</si>
  <si>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</si>
  <si>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</si>
  <si>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</si>
  <si>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</si>
  <si>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</si>
  <si>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</si>
  <si>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</si>
  <si>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</si>
  <si>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</si>
  <si>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</si>
  <si>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</si>
  <si>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</si>
  <si>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</si>
  <si>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</si>
  <si>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</si>
  <si>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</si>
  <si>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</si>
  <si>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</si>
  <si>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</si>
  <si>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</si>
  <si>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</si>
  <si>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</si>
  <si>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</si>
  <si>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</si>
  <si>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</si>
  <si>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</si>
  <si>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</si>
  <si>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</si>
  <si>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</si>
  <si>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</si>
  <si>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</si>
  <si>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</si>
  <si>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</si>
  <si>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</si>
  <si>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</si>
  <si>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</si>
  <si>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</si>
  <si>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</si>
  <si>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</si>
  <si>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</si>
  <si>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</si>
  <si>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</si>
  <si>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</si>
  <si>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</si>
  <si>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</si>
  <si>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</si>
  <si>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</si>
  <si>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</si>
  <si>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</si>
  <si>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</si>
  <si>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</si>
  <si>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</si>
  <si>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</si>
  <si>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</si>
  <si>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</si>
  <si>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</si>
  <si>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</si>
  <si>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</si>
  <si>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</si>
  <si>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</si>
  <si>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</si>
  <si>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</si>
  <si>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</si>
  <si>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</si>
  <si>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</si>
  <si>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</si>
  <si>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</si>
  <si>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</si>
  <si>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</si>
  <si>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</si>
  <si>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</si>
  <si>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</si>
  <si>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</si>
  <si>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</si>
  <si>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</si>
  <si>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</si>
  <si>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</si>
  <si>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</si>
  <si>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</si>
  <si>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</si>
  <si>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</si>
  <si>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</si>
  <si>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</si>
  <si>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</si>
  <si>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</si>
  <si>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</si>
  <si>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</si>
  <si>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</si>
  <si>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</si>
  <si>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</si>
  <si>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</si>
  <si>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</si>
  <si>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</si>
  <si>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</si>
  <si>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</si>
  <si>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</si>
  <si>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</si>
  <si>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</si>
  <si>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</si>
  <si>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</si>
  <si>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</si>
  <si>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</si>
  <si>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</si>
  <si>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</si>
  <si>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</si>
  <si>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</si>
  <si>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</si>
  <si>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</si>
  <si>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</si>
  <si>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</si>
  <si>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</si>
  <si>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</si>
  <si>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</si>
  <si>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</si>
  <si>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</si>
  <si>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</si>
  <si>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</si>
  <si>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</si>
  <si>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</si>
  <si>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</si>
  <si>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</si>
  <si>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</si>
  <si>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</si>
  <si>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</si>
  <si>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</si>
  <si>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</si>
  <si>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</si>
  <si>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</si>
  <si>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</si>
  <si>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</si>
  <si>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</si>
  <si>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</si>
  <si>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</si>
  <si>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</si>
  <si>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</si>
  <si>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</si>
  <si>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</si>
  <si>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</si>
  <si>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</si>
  <si>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</si>
  <si>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</si>
  <si>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</si>
  <si>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</si>
  <si>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</si>
  <si>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</si>
  <si>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</si>
  <si>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</si>
  <si>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</si>
  <si>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</si>
  <si>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</si>
  <si>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</si>
  <si>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</si>
  <si>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</si>
  <si>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</si>
  <si>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</si>
  <si>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</si>
  <si>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</si>
  <si>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</si>
  <si>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</si>
  <si>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</si>
  <si>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</si>
  <si>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</si>
  <si>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</si>
  <si>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</si>
  <si>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</si>
  <si>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</si>
  <si>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</si>
  <si>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</si>
  <si>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</si>
  <si>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</si>
  <si>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</si>
  <si>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</si>
  <si>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</si>
  <si>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</si>
  <si>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</si>
  <si>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</si>
  <si>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</si>
  <si>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</si>
  <si>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</si>
  <si>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</si>
  <si>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</si>
  <si>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</si>
  <si>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</si>
  <si>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</si>
  <si>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</si>
  <si>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</si>
  <si>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</si>
  <si>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</si>
  <si>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</si>
  <si>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</si>
  <si>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</si>
  <si>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</si>
  <si>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</si>
  <si>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</si>
  <si>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</si>
  <si>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</si>
  <si>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</si>
  <si>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</si>
  <si>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</si>
  <si>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</si>
  <si>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</si>
  <si>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</si>
  <si>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</si>
  <si>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</si>
  <si>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</si>
  <si>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</si>
  <si>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</si>
  <si>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</si>
  <si>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</si>
  <si>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</si>
  <si>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</si>
  <si>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</si>
  <si>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</si>
  <si>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</si>
  <si>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</si>
  <si>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</si>
  <si>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</si>
  <si>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</si>
  <si>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</si>
  <si>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</si>
  <si>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</si>
  <si>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</si>
  <si>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</si>
  <si>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</si>
  <si>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</si>
  <si>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</si>
  <si>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</si>
  <si>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</si>
  <si>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</si>
  <si>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</si>
  <si>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</si>
  <si>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</si>
  <si>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</si>
  <si>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</si>
  <si>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</si>
  <si>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</si>
  <si>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</si>
  <si>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</si>
  <si>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</si>
  <si>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</si>
  <si>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</si>
  <si>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</si>
  <si>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</si>
  <si>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</si>
  <si>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</si>
  <si>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</si>
  <si>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</si>
  <si>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</si>
  <si>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</si>
  <si>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</si>
  <si>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</si>
  <si>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</si>
  <si>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</si>
  <si>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</si>
  <si>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</si>
  <si>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</si>
  <si>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</si>
  <si>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</si>
  <si>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</si>
  <si>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</si>
  <si>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</si>
  <si>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</si>
  <si>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</si>
  <si>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</si>
  <si>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</si>
  <si>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</si>
  <si>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</si>
  <si>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</si>
  <si>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</si>
  <si>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</si>
  <si>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</si>
  <si>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</si>
  <si>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</si>
  <si>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</si>
  <si>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</si>
  <si>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</si>
  <si>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</si>
  <si>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</si>
  <si>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</si>
  <si>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</si>
  <si>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</si>
  <si>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</si>
  <si>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</si>
  <si>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</si>
  <si>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</si>
  <si>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</si>
  <si>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</si>
  <si>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</si>
  <si>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</si>
  <si>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</si>
  <si>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</si>
  <si>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</si>
  <si>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</si>
  <si>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</si>
  <si>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</si>
  <si>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</si>
  <si>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</si>
  <si>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</si>
  <si>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</si>
  <si>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</si>
  <si>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</si>
  <si>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</si>
  <si>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</si>
  <si>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</si>
  <si>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</si>
  <si>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</si>
  <si>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</si>
  <si>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</si>
  <si>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</si>
  <si>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</si>
  <si>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</si>
  <si>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</si>
  <si>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</si>
  <si>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</si>
  <si>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</si>
  <si>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</si>
  <si>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</si>
  <si>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</si>
  <si>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</si>
  <si>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</si>
  <si>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</si>
  <si>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</si>
  <si>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</si>
  <si>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</si>
  <si>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</si>
  <si>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</si>
  <si>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</si>
  <si>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</si>
  <si>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</si>
  <si>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</si>
  <si>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</si>
  <si>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</si>
  <si>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</si>
  <si>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</si>
  <si>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</si>
  <si>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</si>
  <si>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</si>
  <si>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</si>
  <si>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</si>
  <si>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</si>
  <si>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</si>
  <si>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</si>
  <si>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</si>
  <si>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</si>
  <si>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</si>
  <si>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</si>
  <si>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</si>
  <si>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</si>
  <si>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</si>
  <si>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</si>
  <si>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</si>
  <si>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</si>
  <si>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</si>
  <si>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</si>
  <si>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</si>
  <si>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</si>
  <si>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</si>
  <si>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</si>
  <si>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</si>
  <si>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</si>
  <si>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</si>
  <si>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</si>
  <si>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</si>
  <si>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</si>
  <si>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</si>
  <si>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</si>
  <si>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</si>
  <si>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</si>
  <si>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</si>
  <si>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</si>
  <si>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</si>
  <si>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</si>
  <si>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</si>
  <si>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</si>
  <si>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</si>
  <si>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</si>
  <si>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</si>
  <si>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</si>
  <si>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</si>
  <si>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</si>
  <si>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</si>
  <si>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</si>
  <si>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</si>
  <si>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</si>
  <si>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</si>
  <si>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</si>
  <si>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</si>
  <si>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</si>
  <si>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</si>
  <si>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</si>
  <si>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</si>
  <si>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</si>
  <si>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</si>
  <si>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</si>
  <si>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</si>
  <si>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</si>
  <si>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</si>
  <si>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</si>
  <si>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</si>
  <si>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</si>
  <si>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</si>
  <si>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</si>
  <si>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</si>
  <si>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</si>
  <si>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</si>
  <si>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</si>
  <si>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</si>
  <si>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</si>
  <si>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</si>
  <si>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</si>
  <si>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</si>
  <si>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</si>
  <si>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</si>
  <si>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</si>
  <si>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</si>
  <si>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</si>
  <si>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</si>
  <si>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</si>
  <si>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</si>
  <si>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</si>
  <si>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</si>
  <si>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</si>
  <si>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</si>
  <si>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</si>
  <si>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</si>
  <si>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</si>
  <si>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</si>
  <si>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</si>
  <si>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</si>
  <si>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</si>
  <si>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</si>
  <si>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</si>
  <si>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</si>
  <si>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</si>
  <si>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</si>
  <si>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</si>
  <si>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</si>
  <si>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</si>
  <si>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</si>
  <si>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</si>
  <si>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</si>
  <si>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</si>
  <si>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</si>
  <si>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</si>
  <si>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</si>
  <si>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</si>
  <si>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PEKERJAAN LAIN-LAIN</t>
  </si>
  <si>
    <t>B2</t>
  </si>
  <si>
    <t>AGR SITI MUKAROMAH</t>
  </si>
  <si>
    <t>PEMASANGAN TIANG</t>
  </si>
  <si>
    <t>GBR 1</t>
  </si>
  <si>
    <t>GBR 2</t>
  </si>
  <si>
    <t>GBR 3</t>
  </si>
  <si>
    <t>GBR 4</t>
  </si>
  <si>
    <t>PEMASANGAN KONTRUKSI TM</t>
  </si>
  <si>
    <t>CC1-A</t>
  </si>
  <si>
    <t>CC7</t>
  </si>
  <si>
    <t>CM2-12</t>
  </si>
  <si>
    <t>CE2-2</t>
  </si>
  <si>
    <t>F1-2</t>
  </si>
  <si>
    <t>CM2-12A</t>
  </si>
  <si>
    <t>PEMASANGAN CONDUKTOR</t>
  </si>
  <si>
    <t>CC8</t>
  </si>
  <si>
    <t>CB-1</t>
  </si>
  <si>
    <t>CM5-9</t>
  </si>
  <si>
    <t>Pemasangan ABSW</t>
  </si>
  <si>
    <t>Sepatu Kabel AL/CU Kepala-240 mm²</t>
  </si>
  <si>
    <t>CM2-11</t>
  </si>
  <si>
    <t>KONSTRUKSI TRAFO</t>
  </si>
  <si>
    <t xml:space="preserve">Jumper Wire : </t>
  </si>
  <si>
    <t>Sepatu Kabel AL/CU Ring-70 mm²</t>
  </si>
  <si>
    <t>CM2-11M</t>
  </si>
  <si>
    <t>Stainless Steel Strap 20 X 0.7 mm</t>
  </si>
  <si>
    <t>PEMASANGAN APP</t>
  </si>
  <si>
    <t>C12 200 DAN</t>
  </si>
  <si>
    <t>BTG</t>
  </si>
  <si>
    <t>C12 350 DAN</t>
  </si>
  <si>
    <t xml:space="preserve"> CC1-A</t>
  </si>
  <si>
    <t>A3C 70</t>
  </si>
  <si>
    <t>CE1-2</t>
  </si>
  <si>
    <t>CB1</t>
  </si>
  <si>
    <t>C12-200 daN</t>
  </si>
  <si>
    <t>C9-200 daN</t>
  </si>
  <si>
    <t>A3C</t>
  </si>
  <si>
    <t>CB 1</t>
  </si>
  <si>
    <t>PENEGAKAN TIANG</t>
  </si>
  <si>
    <t>P12C-2</t>
  </si>
  <si>
    <t>CC8A</t>
  </si>
  <si>
    <t>1 CG313</t>
  </si>
  <si>
    <t>TRF 3P 160 KVA</t>
  </si>
  <si>
    <t>FGD</t>
  </si>
  <si>
    <t>CM5-6</t>
  </si>
  <si>
    <t>C11-200</t>
  </si>
  <si>
    <t>CA-1</t>
  </si>
  <si>
    <t>CM5-5</t>
  </si>
  <si>
    <t>GAMBAR 1</t>
  </si>
  <si>
    <t>CC8-A</t>
  </si>
  <si>
    <t>CE1-3</t>
  </si>
  <si>
    <t>F1-3</t>
  </si>
  <si>
    <t>GROUNDING TIANG</t>
  </si>
  <si>
    <t>SCHOOR</t>
  </si>
  <si>
    <t>FDG</t>
  </si>
  <si>
    <t>GAMBAR 2</t>
  </si>
  <si>
    <t>SCHOOR OH</t>
  </si>
  <si>
    <t>GAMBAR 3</t>
  </si>
  <si>
    <t>GAMBAR 4</t>
  </si>
  <si>
    <t>CC7'</t>
  </si>
  <si>
    <t>Trafo 3 Fasa 160 KVA 2 Tiang (G313)</t>
  </si>
  <si>
    <t>Daya 147.000 VA</t>
  </si>
  <si>
    <t>Pemasangan APP Di Tiang</t>
  </si>
  <si>
    <t>DS SAMBIROTO KEC GAJAH</t>
  </si>
  <si>
    <t>Jasa Sewa Crane 5S (8 Jam Kerja)</t>
  </si>
  <si>
    <t>KOORDINAT : -6.915846, 110.732295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</si>
</sst>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8" formatCode="#,##0.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charset val="1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90">
    <xf numFmtId="0" fontId="0" fillId="0" borderId="0"/>
    <xf numFmtId="171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43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41" fontId="43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8" fillId="0" borderId="0" applyFont="0" applyFill="0" applyBorder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168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8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81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18" fillId="0" borderId="0" applyFont="0" applyFill="0" applyBorder="0" applyAlignment="0" applyProtection="0"/>
    <xf numFmtId="181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70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3" fillId="0" borderId="0" applyFont="0" applyFill="0" applyBorder="0" applyAlignment="0" applyProtection="0"/>
    <xf numFmtId="184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204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5" fontId="32" fillId="0" borderId="3"/>
    <xf numFmtId="185" fontId="18" fillId="0" borderId="3"/>
    <xf numFmtId="42" fontId="19" fillId="0" borderId="0" applyFont="0" applyFill="0" applyBorder="0" applyAlignment="0" applyProtection="0"/>
    <xf numFmtId="42" fontId="44" fillId="0" borderId="0" applyFont="0" applyFill="0" applyBorder="0" applyAlignment="0" applyProtection="0"/>
    <xf numFmtId="172" fontId="32" fillId="0" borderId="0" applyFont="0" applyFill="0" applyBorder="0" applyAlignment="0" applyProtection="0"/>
    <xf numFmtId="172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66" fillId="0" borderId="0" applyFont="0" applyFill="0" applyBorder="0" applyAlignment="0" applyProtection="0"/>
    <xf numFmtId="187" fontId="68" fillId="0" borderId="0">
      <protection locked="0"/>
    </xf>
    <xf numFmtId="14" fontId="60" fillId="0" borderId="0" applyFill="0" applyBorder="0" applyAlignment="0"/>
    <xf numFmtId="188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6" fontId="32" fillId="0" borderId="0" applyFill="0" applyBorder="0" applyAlignment="0"/>
    <xf numFmtId="176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89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0" fontId="73" fillId="0" borderId="0">
      <protection locked="0"/>
    </xf>
    <xf numFmtId="190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6" fontId="32" fillId="0" borderId="0" applyFill="0" applyBorder="0" applyAlignment="0"/>
    <xf numFmtId="176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1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2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2" fontId="32" fillId="0" borderId="0"/>
    <xf numFmtId="192" fontId="18" fillId="0" borderId="0"/>
    <xf numFmtId="192" fontId="32" fillId="0" borderId="0"/>
    <xf numFmtId="192" fontId="18" fillId="0" borderId="0"/>
    <xf numFmtId="192" fontId="32" fillId="0" borderId="0"/>
    <xf numFmtId="192" fontId="18" fillId="0" borderId="0"/>
    <xf numFmtId="192" fontId="18" fillId="0" borderId="0"/>
    <xf numFmtId="192" fontId="32" fillId="0" borderId="0"/>
    <xf numFmtId="171" fontId="79" fillId="0" borderId="0"/>
    <xf numFmtId="171" fontId="80" fillId="0" borderId="0"/>
    <xf numFmtId="171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3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1" fontId="80" fillId="0" borderId="0"/>
    <xf numFmtId="0" fontId="80" fillId="0" borderId="0"/>
    <xf numFmtId="194" fontId="80" fillId="0" borderId="0"/>
    <xf numFmtId="195" fontId="80" fillId="0" borderId="0"/>
    <xf numFmtId="0" fontId="80" fillId="0" borderId="0"/>
    <xf numFmtId="196" fontId="80" fillId="0" borderId="0"/>
    <xf numFmtId="196" fontId="80" fillId="0" borderId="0"/>
    <xf numFmtId="196" fontId="80" fillId="0" borderId="0"/>
    <xf numFmtId="194" fontId="80" fillId="0" borderId="0"/>
    <xf numFmtId="0" fontId="80" fillId="0" borderId="0"/>
    <xf numFmtId="0" fontId="32" fillId="0" borderId="0"/>
    <xf numFmtId="0" fontId="18" fillId="0" borderId="0"/>
    <xf numFmtId="181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7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6" fontId="80" fillId="0" borderId="0"/>
    <xf numFmtId="196" fontId="80" fillId="0" borderId="0"/>
    <xf numFmtId="196" fontId="80" fillId="0" borderId="0"/>
    <xf numFmtId="196" fontId="80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3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3" fontId="39" fillId="0" borderId="0"/>
    <xf numFmtId="193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9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2" fillId="27" borderId="12" applyNumberFormat="0" applyFont="0" applyAlignment="0" applyProtection="0"/>
    <xf numFmtId="193" fontId="39" fillId="28" borderId="12" applyAlignment="0" applyProtection="0"/>
    <xf numFmtId="193" fontId="39" fillId="28" borderId="12" applyAlignment="0" applyProtection="0"/>
    <xf numFmtId="0" fontId="18" fillId="27" borderId="12" applyNumberFormat="0" applyFont="0" applyAlignment="0" applyProtection="0"/>
    <xf numFmtId="193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5" fontId="32" fillId="0" borderId="0" applyFont="0" applyFill="0" applyBorder="0" applyAlignment="0" applyProtection="0"/>
    <xf numFmtId="175" fontId="18" fillId="0" borderId="0" applyFont="0" applyFill="0" applyBorder="0" applyAlignment="0" applyProtection="0"/>
    <xf numFmtId="199" fontId="32" fillId="0" borderId="0" applyFont="0" applyFill="0" applyBorder="0" applyAlignment="0" applyProtection="0"/>
    <xf numFmtId="199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6" fontId="32" fillId="0" borderId="0" applyFill="0" applyBorder="0" applyAlignment="0"/>
    <xf numFmtId="176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2" fontId="32" fillId="0" borderId="0" applyFill="0" applyBorder="0" applyAlignment="0"/>
    <xf numFmtId="172" fontId="18" fillId="0" borderId="0" applyFill="0" applyBorder="0" applyAlignment="0"/>
    <xf numFmtId="0" fontId="70" fillId="0" borderId="0"/>
    <xf numFmtId="200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1" fontId="32" fillId="0" borderId="0" applyFill="0" applyBorder="0" applyAlignment="0"/>
    <xf numFmtId="201" fontId="18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0"/>
    <xf numFmtId="165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165" fontId="17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3" fillId="0" borderId="0"/>
    <xf numFmtId="165" fontId="18" fillId="0" borderId="0" applyFont="0" applyFill="0" applyBorder="0" applyAlignment="0" applyProtection="0"/>
    <xf numFmtId="0" fontId="3" fillId="0" borderId="0"/>
    <xf numFmtId="166" fontId="18" fillId="0" borderId="0" applyFont="0" applyFill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0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0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65" fillId="0" borderId="0" applyFont="0" applyFill="0" applyBorder="0" applyAlignment="0" applyProtection="0"/>
    <xf numFmtId="166" fontId="12" fillId="0" borderId="0" applyFont="0" applyFill="0" applyBorder="0" applyAlignment="0" applyProtection="0"/>
    <xf numFmtId="42" fontId="12" fillId="0" borderId="0" applyFont="0" applyFill="0" applyBorder="0" applyAlignment="0" applyProtection="0"/>
    <xf numFmtId="42" fontId="108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0" borderId="0"/>
    <xf numFmtId="0" fontId="12" fillId="0" borderId="0"/>
    <xf numFmtId="0" fontId="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84" fillId="0" borderId="99"/>
    <xf numFmtId="0" fontId="85" fillId="0" borderId="100"/>
    <xf numFmtId="166" fontId="18" fillId="0" borderId="0" applyFont="0" applyFill="0" applyBorder="0" applyAlignment="0" applyProtection="0"/>
    <xf numFmtId="0" fontId="108" fillId="0" borderId="0"/>
  </cellStyleXfs>
  <cellXfs count="746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41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41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41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43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8" fontId="41" fillId="0" borderId="0" xfId="714" applyFont="1" applyFill="1" applyAlignment="1">
      <alignment horizontal="center" wrapText="1"/>
    </xf>
    <xf numFmtId="168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8" fontId="41" fillId="0" borderId="21" xfId="715" applyNumberFormat="1" applyFont="1" applyFill="1" applyBorder="1" applyAlignment="1">
      <alignment horizontal="center" vertical="center" wrapText="1"/>
    </xf>
    <xf numFmtId="168" fontId="41" fillId="0" borderId="21" xfId="714" applyFont="1" applyFill="1" applyBorder="1" applyAlignment="1">
      <alignment horizontal="center" vertical="center" wrapText="1"/>
    </xf>
    <xf numFmtId="168" fontId="41" fillId="0" borderId="33" xfId="714" applyFont="1" applyFill="1" applyBorder="1" applyAlignment="1">
      <alignment horizontal="center" vertical="center" wrapText="1"/>
    </xf>
    <xf numFmtId="43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43" fontId="40" fillId="0" borderId="0" xfId="1615" applyNumberFormat="1" applyFont="1" applyAlignment="1">
      <alignment horizontal="left" vertical="center"/>
    </xf>
    <xf numFmtId="43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6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41" fontId="92" fillId="0" borderId="0" xfId="1448" applyNumberFormat="1" applyFont="1" applyAlignment="1">
      <alignment wrapText="1"/>
    </xf>
    <xf numFmtId="41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8" fontId="41" fillId="0" borderId="21" xfId="717" applyNumberFormat="1" applyFont="1" applyFill="1" applyBorder="1" applyAlignment="1" applyProtection="1">
      <alignment horizontal="center" vertical="center" wrapText="1"/>
    </xf>
    <xf numFmtId="41" fontId="41" fillId="0" borderId="21" xfId="1451" applyNumberFormat="1" applyFont="1" applyBorder="1" applyAlignment="1">
      <alignment horizontal="center" vertical="center" wrapText="1"/>
    </xf>
    <xf numFmtId="168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8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8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8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43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41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43" fontId="142" fillId="36" borderId="0" xfId="2672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8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9" fillId="0" borderId="0" xfId="1538"/>
    <xf numFmtId="43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43" fontId="0" fillId="0" borderId="3" xfId="1026" applyFont="1" applyFill="1" applyBorder="1" applyProtection="1"/>
    <xf numFmtId="43" fontId="109" fillId="0" borderId="3" xfId="1538" applyNumberFormat="1" applyBorder="1"/>
    <xf numFmtId="43" fontId="137" fillId="0" borderId="3" xfId="1026" applyFont="1" applyBorder="1" applyProtection="1"/>
    <xf numFmtId="43" fontId="0" fillId="0" borderId="3" xfId="1026" applyFont="1" applyBorder="1" applyProtection="1"/>
    <xf numFmtId="43" fontId="125" fillId="0" borderId="3" xfId="1538" applyNumberFormat="1" applyFont="1" applyBorder="1"/>
    <xf numFmtId="0" fontId="58" fillId="0" borderId="3" xfId="1538" applyFont="1" applyBorder="1"/>
    <xf numFmtId="41" fontId="109" fillId="0" borderId="3" xfId="1538" applyNumberFormat="1" applyBorder="1"/>
    <xf numFmtId="43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43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43" fontId="46" fillId="0" borderId="0" xfId="1538" applyNumberFormat="1" applyFont="1"/>
    <xf numFmtId="0" fontId="109" fillId="29" borderId="3" xfId="1538" applyFill="1" applyBorder="1"/>
    <xf numFmtId="168" fontId="109" fillId="29" borderId="3" xfId="1538" applyNumberFormat="1" applyFill="1" applyBorder="1" applyAlignment="1">
      <alignment horizontal="right"/>
    </xf>
    <xf numFmtId="166" fontId="109" fillId="0" borderId="0" xfId="1538" applyNumberFormat="1"/>
    <xf numFmtId="43" fontId="109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43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9" fillId="0" borderId="21" xfId="1652" applyFont="1" applyBorder="1" applyAlignment="1">
      <alignment vertical="center" wrapText="1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6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41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43" fontId="138" fillId="40" borderId="85" xfId="2672" applyFont="1" applyFill="1" applyBorder="1" applyAlignment="1" applyProtection="1">
      <alignment horizontal="right" vertical="center" wrapText="1"/>
      <protection locked="0"/>
    </xf>
    <xf numFmtId="43" fontId="138" fillId="40" borderId="87" xfId="2672" applyFont="1" applyFill="1" applyBorder="1" applyAlignment="1" applyProtection="1">
      <alignment horizontal="right" vertical="center"/>
      <protection locked="0"/>
    </xf>
    <xf numFmtId="168" fontId="138" fillId="40" borderId="87" xfId="2672" applyNumberFormat="1" applyFont="1" applyFill="1" applyBorder="1" applyAlignment="1" applyProtection="1">
      <alignment horizontal="right" vertical="center"/>
      <protection locked="0"/>
    </xf>
    <xf numFmtId="168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165" fontId="150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6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8" fontId="142" fillId="47" borderId="0" xfId="2672" applyNumberFormat="1" applyFont="1" applyFill="1" applyBorder="1" applyAlignment="1" applyProtection="1">
      <alignment horizontal="right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7" fillId="0" borderId="21" xfId="1614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 wrapText="1"/>
    </xf>
    <xf numFmtId="0" fontId="2" fillId="0" borderId="21" xfId="1652" applyFont="1" applyBorder="1" applyAlignment="1">
      <alignment horizontal="left" vertical="center" wrapText="1"/>
    </xf>
    <xf numFmtId="0" fontId="172" fillId="33" borderId="0" xfId="0" applyFont="1" applyFill="1" applyAlignment="1">
      <alignment horizontal="left"/>
    </xf>
    <xf numFmtId="0" fontId="112" fillId="33" borderId="0" xfId="0" applyFont="1" applyFill="1" applyAlignment="1">
      <alignment horizontal="left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8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166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0" fontId="164" fillId="44" borderId="3" xfId="2673" applyFont="1" applyFill="1" applyBorder="1" applyAlignment="1">
      <alignment horizontal="center" vertical="center" wrapText="1"/>
    </xf>
    <xf numFmtId="0" fontId="164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166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166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12" fillId="33" borderId="44" xfId="0" applyFont="1" applyFill="1" applyBorder="1" applyAlignment="1">
      <alignment horizontal="center" vertical="center" wrapText="1"/>
    </xf>
    <xf numFmtId="0" fontId="112" fillId="33" borderId="45" xfId="0" applyFont="1" applyFill="1" applyBorder="1" applyAlignment="1">
      <alignment horizontal="center" vertical="center" wrapText="1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49" fontId="112" fillId="33" borderId="50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  <xf numFmtId="0" fontId="111" fillId="0" borderId="20" xfId="1614" applyFont="1" applyBorder="1" applyAlignment="1">
      <alignment horizontal="center" vertical="center"/>
    </xf>
    <xf numFmtId="0" fontId="111" fillId="0" borderId="0" xfId="0" applyFont="1"/>
    <xf numFmtId="0" fontId="173" fillId="0" borderId="20" xfId="1614" applyFont="1" applyBorder="1" applyAlignment="1">
      <alignment horizontal="center" vertical="center"/>
    </xf>
    <xf numFmtId="0" fontId="173" fillId="0" borderId="0" xfId="0" applyFont="1"/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0" xfId="1653" applyFont="1" applyBorder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174" fillId="0" borderId="20" xfId="1614" applyFont="1" applyBorder="1" applyAlignment="1">
      <alignment horizontal="center" vertical="center"/>
    </xf>
    <xf numFmtId="0" fontId="174" fillId="0" borderId="21" xfId="1614" applyFont="1" applyBorder="1" applyAlignment="1">
      <alignment vertical="center" wrapText="1"/>
    </xf>
    <xf numFmtId="0" fontId="41" fillId="0" borderId="20" xfId="1652" applyFont="1" applyBorder="1" applyAlignment="1">
      <alignment horizontal="center" vertical="center"/>
    </xf>
    <xf numFmtId="0" fontId="41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 wrapText="1"/>
    </xf>
    <xf numFmtId="0" fontId="41" fillId="0" borderId="21" xfId="1450" applyFont="1" applyBorder="1" applyAlignment="1">
      <alignment vertical="center" wrapText="1"/>
    </xf>
    <xf numFmtId="0" fontId="1" fillId="0" borderId="21" xfId="1599" applyFont="1" applyBorder="1" applyAlignment="1">
      <alignment vertical="center" wrapText="1"/>
    </xf>
    <xf numFmtId="0" fontId="125" fillId="0" borderId="20" xfId="1653" applyFont="1" applyBorder="1" applyAlignment="1">
      <alignment horizontal="center" vertical="center"/>
    </xf>
    <xf numFmtId="0" fontId="125" fillId="0" borderId="21" xfId="1653" applyFont="1" applyBorder="1" applyAlignment="1">
      <alignment vertical="center" wrapText="1"/>
    </xf>
    <xf numFmtId="0" fontId="49" fillId="0" borderId="20" xfId="1653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7" fillId="0" borderId="20" xfId="1653" applyFont="1" applyBorder="1" applyAlignment="1">
      <alignment horizontal="center" vertical="center"/>
    </xf>
    <xf numFmtId="0" fontId="7" fillId="0" borderId="21" xfId="1653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11" fillId="0" borderId="21" xfId="1451" applyFont="1" applyBorder="1" applyAlignment="1">
      <alignment horizontal="left" wrapText="1"/>
    </xf>
    <xf numFmtId="0" fontId="49" fillId="0" borderId="21" xfId="1614" applyFont="1" applyBorder="1" applyAlignment="1">
      <alignment horizontal="center" vertical="center"/>
    </xf>
    <xf numFmtId="3" fontId="7" fillId="0" borderId="21" xfId="1614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7" fillId="0" borderId="21" xfId="3389" applyNumberFormat="1" applyFont="1" applyBorder="1" applyAlignment="1">
      <alignment horizontal="center" vertical="center"/>
    </xf>
    <xf numFmtId="0" fontId="108" fillId="0" borderId="21" xfId="1614" applyBorder="1" applyAlignment="1">
      <alignment horizontal="center" vertical="center"/>
    </xf>
    <xf numFmtId="208" fontId="7" fillId="0" borderId="21" xfId="338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" fillId="0" borderId="21" xfId="1653" applyFont="1" applyBorder="1" applyAlignment="1">
      <alignment horizontal="center" vertical="center"/>
    </xf>
    <xf numFmtId="0" fontId="7" fillId="0" borderId="21" xfId="1653" applyFont="1" applyBorder="1" applyAlignment="1">
      <alignment horizontal="center" vertical="center"/>
    </xf>
    <xf numFmtId="0" fontId="117" fillId="33" borderId="0" xfId="0" applyFont="1" applyFill="1" applyBorder="1" applyAlignment="1">
      <alignment horizontal="center"/>
    </xf>
    <xf numFmtId="0" fontId="112" fillId="33" borderId="0" xfId="0" applyFont="1" applyFill="1" applyBorder="1" applyAlignment="1">
      <alignment horizontal="center"/>
    </xf>
    <xf numFmtId="49" fontId="89" fillId="0" borderId="59" xfId="0" applyNumberFormat="1" applyFont="1" applyBorder="1" applyAlignment="1">
      <alignment horizontal="center" vertical="center"/>
    </xf>
    <xf numFmtId="49" fontId="89" fillId="0" borderId="40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89" fillId="0" borderId="79" xfId="0" applyFont="1" applyBorder="1" applyAlignment="1">
      <alignment horizontal="center" vertical="center"/>
    </xf>
    <xf numFmtId="0" fontId="49" fillId="48" borderId="20" xfId="1652" applyFont="1" applyFill="1" applyBorder="1" applyAlignment="1">
      <alignment horizontal="center" vertical="center"/>
    </xf>
    <xf numFmtId="0" fontId="40" fillId="48" borderId="21" xfId="1451" applyFont="1" applyFill="1" applyBorder="1" applyAlignment="1">
      <alignment horizontal="left" vertical="center" wrapText="1"/>
    </xf>
    <xf numFmtId="0" fontId="41" fillId="0" borderId="21" xfId="1652" applyFont="1" applyBorder="1" applyAlignment="1">
      <alignment vertical="center"/>
    </xf>
    <xf numFmtId="0" fontId="125" fillId="48" borderId="21" xfId="1652" applyFont="1" applyFill="1" applyBorder="1" applyAlignment="1">
      <alignment vertical="center" wrapText="1"/>
    </xf>
    <xf numFmtId="0" fontId="40" fillId="48" borderId="21" xfId="0" applyFont="1" applyFill="1" applyBorder="1" applyAlignment="1">
      <alignment horizontal="left" vertical="center" wrapText="1"/>
    </xf>
    <xf numFmtId="0" fontId="125" fillId="48" borderId="20" xfId="1652" applyFont="1" applyFill="1" applyBorder="1" applyAlignment="1">
      <alignment horizontal="center" vertical="center"/>
    </xf>
    <xf numFmtId="0" fontId="49" fillId="49" borderId="20" xfId="1652" applyFont="1" applyFill="1" applyBorder="1" applyAlignment="1">
      <alignment horizontal="center" vertical="center"/>
    </xf>
    <xf numFmtId="0" fontId="40" fillId="49" borderId="21" xfId="1451" applyFont="1" applyFill="1" applyBorder="1" applyAlignment="1">
      <alignment horizontal="left" vertical="center" wrapText="1"/>
    </xf>
    <xf numFmtId="0" fontId="40" fillId="0" borderId="21" xfId="0" applyFont="1" applyFill="1" applyBorder="1" applyAlignment="1">
      <alignment horizontal="left" vertical="center" wrapText="1"/>
    </xf>
    <xf numFmtId="3" fontId="7" fillId="0" borderId="21" xfId="1599" applyNumberFormat="1" applyFont="1" applyBorder="1" applyAlignment="1">
      <alignment horizontal="center" vertical="center"/>
    </xf>
    <xf numFmtId="0" fontId="18" fillId="0" borderId="21" xfId="1451" applyBorder="1" applyAlignment="1">
      <alignment horizontal="left" wrapText="1"/>
    </xf>
    <xf numFmtId="0" fontId="18" fillId="0" borderId="21" xfId="1451" applyBorder="1" applyAlignment="1">
      <alignment horizontal="center" wrapText="1"/>
    </xf>
    <xf numFmtId="0" fontId="18" fillId="0" borderId="21" xfId="1451" applyBorder="1" applyAlignment="1">
      <alignment horizontal="center" vertical="center" wrapText="1"/>
    </xf>
    <xf numFmtId="3" fontId="111" fillId="0" borderId="21" xfId="1451" applyNumberFormat="1" applyFont="1" applyBorder="1" applyAlignment="1">
      <alignment horizontal="center" vertical="center" wrapText="1"/>
    </xf>
  </cellXfs>
  <cellStyles count="3390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3389" xr:uid="{8D7BDCC8-17D4-451F-BBFE-DEB366B22C95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11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emf"/><Relationship Id="rId13" Type="http://schemas.openxmlformats.org/officeDocument/2006/relationships/image" Target="../media/image34.emf"/><Relationship Id="rId3" Type="http://schemas.openxmlformats.org/officeDocument/2006/relationships/image" Target="../media/image24.emf"/><Relationship Id="rId7" Type="http://schemas.openxmlformats.org/officeDocument/2006/relationships/image" Target="../media/image28.emf"/><Relationship Id="rId12" Type="http://schemas.openxmlformats.org/officeDocument/2006/relationships/image" Target="../media/image33.emf"/><Relationship Id="rId2" Type="http://schemas.openxmlformats.org/officeDocument/2006/relationships/image" Target="../media/image23.emf"/><Relationship Id="rId1" Type="http://schemas.openxmlformats.org/officeDocument/2006/relationships/image" Target="../media/image22.emf"/><Relationship Id="rId6" Type="http://schemas.openxmlformats.org/officeDocument/2006/relationships/image" Target="../media/image27.emf"/><Relationship Id="rId11" Type="http://schemas.openxmlformats.org/officeDocument/2006/relationships/image" Target="../media/image32.emf"/><Relationship Id="rId5" Type="http://schemas.openxmlformats.org/officeDocument/2006/relationships/image" Target="../media/image26.emf"/><Relationship Id="rId10" Type="http://schemas.openxmlformats.org/officeDocument/2006/relationships/image" Target="../media/image31.emf"/><Relationship Id="rId4" Type="http://schemas.openxmlformats.org/officeDocument/2006/relationships/image" Target="../media/image25.emf"/><Relationship Id="rId9" Type="http://schemas.openxmlformats.org/officeDocument/2006/relationships/image" Target="../media/image30.emf"/><Relationship Id="rId14" Type="http://schemas.openxmlformats.org/officeDocument/2006/relationships/image" Target="../media/image3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32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32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469</xdr:row>
      <xdr:rowOff>81642</xdr:rowOff>
    </xdr:from>
    <xdr:to>
      <xdr:col>12</xdr:col>
      <xdr:colOff>41108</xdr:colOff>
      <xdr:row>472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500062</xdr:colOff>
      <xdr:row>10</xdr:row>
      <xdr:rowOff>47626</xdr:rowOff>
    </xdr:from>
    <xdr:to>
      <xdr:col>25</xdr:col>
      <xdr:colOff>361516</xdr:colOff>
      <xdr:row>64</xdr:row>
      <xdr:rowOff>89977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67018C-6934-434B-8DD8-137A6EEEA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5437" y="1619251"/>
          <a:ext cx="12815454" cy="9043476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19</xdr:col>
      <xdr:colOff>381000</xdr:colOff>
      <xdr:row>41</xdr:row>
      <xdr:rowOff>71437</xdr:rowOff>
    </xdr:from>
    <xdr:to>
      <xdr:col>20</xdr:col>
      <xdr:colOff>214312</xdr:colOff>
      <xdr:row>41</xdr:row>
      <xdr:rowOff>95249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>
          <a:off x="10763250" y="6810375"/>
          <a:ext cx="452437" cy="23812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166687</xdr:colOff>
      <xdr:row>40</xdr:row>
      <xdr:rowOff>23813</xdr:rowOff>
    </xdr:from>
    <xdr:to>
      <xdr:col>21</xdr:col>
      <xdr:colOff>23812</xdr:colOff>
      <xdr:row>42</xdr:row>
      <xdr:rowOff>23813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11168062" y="6596063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18</xdr:col>
      <xdr:colOff>346387</xdr:colOff>
      <xdr:row>56</xdr:row>
      <xdr:rowOff>78442</xdr:rowOff>
    </xdr:from>
    <xdr:ext cx="858299" cy="775124"/>
    <xdr:pic>
      <xdr:nvPicPr>
        <xdr:cNvPr id="376" name="Picture 375">
          <a:extLst>
            <a:ext uri="{FF2B5EF4-FFF2-40B4-BE49-F238E27FC236}">
              <a16:creationId xmlns:a16="http://schemas.microsoft.com/office/drawing/2014/main" id="{57833B34-877A-49BD-979A-302010334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41744" y="241728"/>
          <a:ext cx="858299" cy="775124"/>
        </a:xfrm>
        <a:prstGeom prst="rect">
          <a:avLst/>
        </a:prstGeom>
      </xdr:spPr>
    </xdr:pic>
    <xdr:clientData/>
  </xdr:oneCellAnchor>
  <xdr:twoCellAnchor>
    <xdr:from>
      <xdr:col>26</xdr:col>
      <xdr:colOff>65382</xdr:colOff>
      <xdr:row>60</xdr:row>
      <xdr:rowOff>62920</xdr:rowOff>
    </xdr:from>
    <xdr:to>
      <xdr:col>29</xdr:col>
      <xdr:colOff>352605</xdr:colOff>
      <xdr:row>72</xdr:row>
      <xdr:rowOff>17882</xdr:rowOff>
    </xdr:to>
    <xdr:grpSp>
      <xdr:nvGrpSpPr>
        <xdr:cNvPr id="377" name="Group 376">
          <a:extLst>
            <a:ext uri="{FF2B5EF4-FFF2-40B4-BE49-F238E27FC236}">
              <a16:creationId xmlns:a16="http://schemas.microsoft.com/office/drawing/2014/main" id="{640D2D31-7C2B-4320-A565-4F8E62072EE3}"/>
            </a:ext>
          </a:extLst>
        </xdr:cNvPr>
        <xdr:cNvGrpSpPr/>
      </xdr:nvGrpSpPr>
      <xdr:grpSpPr>
        <a:xfrm>
          <a:off x="9565534" y="9248333"/>
          <a:ext cx="1488201" cy="1744006"/>
          <a:chOff x="9713886" y="808452"/>
          <a:chExt cx="1342558" cy="1766630"/>
        </a:xfrm>
      </xdr:grpSpPr>
      <xdr:grpSp>
        <xdr:nvGrpSpPr>
          <xdr:cNvPr id="378" name="Group 13">
            <a:extLst>
              <a:ext uri="{FF2B5EF4-FFF2-40B4-BE49-F238E27FC236}">
                <a16:creationId xmlns:a16="http://schemas.microsoft.com/office/drawing/2014/main" id="{1719AE63-966C-589E-7ED5-DBDCCB40E0E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437" name="Oval 1">
              <a:extLst>
                <a:ext uri="{FF2B5EF4-FFF2-40B4-BE49-F238E27FC236}">
                  <a16:creationId xmlns:a16="http://schemas.microsoft.com/office/drawing/2014/main" id="{6B2349B6-D19E-D2A9-FE7F-6D2C0CF8723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38" name="Straight Connector 3">
              <a:extLst>
                <a:ext uri="{FF2B5EF4-FFF2-40B4-BE49-F238E27FC236}">
                  <a16:creationId xmlns:a16="http://schemas.microsoft.com/office/drawing/2014/main" id="{3838C066-7FE3-F8D7-4C6E-CBDE76F7B349}"/>
                </a:ext>
              </a:extLst>
            </xdr:cNvPr>
            <xdr:cNvCxnSpPr>
              <a:stCxn id="394" idx="1"/>
              <a:endCxn id="39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9" name="Straight Connector 7">
              <a:extLst>
                <a:ext uri="{FF2B5EF4-FFF2-40B4-BE49-F238E27FC236}">
                  <a16:creationId xmlns:a16="http://schemas.microsoft.com/office/drawing/2014/main" id="{4308DB61-139B-7D65-3DDB-3770355E2DD0}"/>
                </a:ext>
              </a:extLst>
            </xdr:cNvPr>
            <xdr:cNvCxnSpPr>
              <a:stCxn id="394" idx="3"/>
              <a:endCxn id="39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79" name="Oval 378">
            <a:extLst>
              <a:ext uri="{FF2B5EF4-FFF2-40B4-BE49-F238E27FC236}">
                <a16:creationId xmlns:a16="http://schemas.microsoft.com/office/drawing/2014/main" id="{950B48DD-97C4-9BE9-24B0-269989E76F1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80" name="Group 379">
            <a:extLst>
              <a:ext uri="{FF2B5EF4-FFF2-40B4-BE49-F238E27FC236}">
                <a16:creationId xmlns:a16="http://schemas.microsoft.com/office/drawing/2014/main" id="{97D08DD7-2657-A901-E82E-D34BB77A4FB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34" name="Oval 433">
              <a:extLst>
                <a:ext uri="{FF2B5EF4-FFF2-40B4-BE49-F238E27FC236}">
                  <a16:creationId xmlns:a16="http://schemas.microsoft.com/office/drawing/2014/main" id="{54428C8D-B438-8095-67BE-F8283181869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35" name="Straight Connector 434">
              <a:extLst>
                <a:ext uri="{FF2B5EF4-FFF2-40B4-BE49-F238E27FC236}">
                  <a16:creationId xmlns:a16="http://schemas.microsoft.com/office/drawing/2014/main" id="{909B4110-6A52-D234-BBE4-B2546B44C85C}"/>
                </a:ext>
              </a:extLst>
            </xdr:cNvPr>
            <xdr:cNvCxnSpPr>
              <a:stCxn id="434" idx="1"/>
              <a:endCxn id="43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6" name="Straight Connector 435">
              <a:extLst>
                <a:ext uri="{FF2B5EF4-FFF2-40B4-BE49-F238E27FC236}">
                  <a16:creationId xmlns:a16="http://schemas.microsoft.com/office/drawing/2014/main" id="{EF149BC5-ECA1-3D6A-46A4-6C990F678A55}"/>
                </a:ext>
              </a:extLst>
            </xdr:cNvPr>
            <xdr:cNvCxnSpPr>
              <a:stCxn id="434" idx="3"/>
              <a:endCxn id="43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81" name="Oval 380">
            <a:extLst>
              <a:ext uri="{FF2B5EF4-FFF2-40B4-BE49-F238E27FC236}">
                <a16:creationId xmlns:a16="http://schemas.microsoft.com/office/drawing/2014/main" id="{0EB37375-18FD-497E-D829-12DA719B5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AB1ACFF2-73D4-6DE4-5535-30D24F020F9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3" name="Straight Connector 382">
            <a:extLst>
              <a:ext uri="{FF2B5EF4-FFF2-40B4-BE49-F238E27FC236}">
                <a16:creationId xmlns:a16="http://schemas.microsoft.com/office/drawing/2014/main" id="{B4EA4823-8C11-C7D2-0A37-C69C376D500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25C04A98-D6B8-CE08-DBC0-8D746DA6942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744A4E54-1358-9D87-3197-71FEB03CC5F9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861F5158-3A38-62F1-D4C2-9BC40DDBF07D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Straight Connector 386">
            <a:extLst>
              <a:ext uri="{FF2B5EF4-FFF2-40B4-BE49-F238E27FC236}">
                <a16:creationId xmlns:a16="http://schemas.microsoft.com/office/drawing/2014/main" id="{3E44F822-3DAC-95AB-910F-DE324821F7A1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D280B554-7D9D-01B3-8E69-DC487E300F23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18E47C79-91F6-71FF-8903-D51A7145F525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BBDFD02D-3AB6-67BE-2617-26B3DED0316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390">
            <a:extLst>
              <a:ext uri="{FF2B5EF4-FFF2-40B4-BE49-F238E27FC236}">
                <a16:creationId xmlns:a16="http://schemas.microsoft.com/office/drawing/2014/main" id="{B54C866F-0C4F-4FD3-D9ED-06E27EE7CEC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84B1928D-45AB-8B9E-E0C1-4C3F5E6D24C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FAC4FFF4-F6E4-92C3-4593-26BF5D514E3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50">
            <a:extLst>
              <a:ext uri="{FF2B5EF4-FFF2-40B4-BE49-F238E27FC236}">
                <a16:creationId xmlns:a16="http://schemas.microsoft.com/office/drawing/2014/main" id="{86D1BA37-3BDA-8954-5E6D-E38CF245B08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Connector 394">
            <a:extLst>
              <a:ext uri="{FF2B5EF4-FFF2-40B4-BE49-F238E27FC236}">
                <a16:creationId xmlns:a16="http://schemas.microsoft.com/office/drawing/2014/main" id="{242208F1-C265-46D7-1DE2-595518C3F82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Connector 52">
            <a:extLst>
              <a:ext uri="{FF2B5EF4-FFF2-40B4-BE49-F238E27FC236}">
                <a16:creationId xmlns:a16="http://schemas.microsoft.com/office/drawing/2014/main" id="{0E8BCC50-B0EF-540D-A549-D7ECB932FFD2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7" name="Straight Connector 396">
            <a:extLst>
              <a:ext uri="{FF2B5EF4-FFF2-40B4-BE49-F238E27FC236}">
                <a16:creationId xmlns:a16="http://schemas.microsoft.com/office/drawing/2014/main" id="{B8577B4A-A6B5-59B8-9C7C-9834C1D22B4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8" name="Straight Connector 397">
            <a:extLst>
              <a:ext uri="{FF2B5EF4-FFF2-40B4-BE49-F238E27FC236}">
                <a16:creationId xmlns:a16="http://schemas.microsoft.com/office/drawing/2014/main" id="{13B48A14-4C39-1764-4213-3074D8D0FC8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863FF1FB-5850-3DB1-DAE8-11ADD3EF007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DE443A8F-3104-D008-DBEE-D7303F61F8D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Connector 400">
            <a:extLst>
              <a:ext uri="{FF2B5EF4-FFF2-40B4-BE49-F238E27FC236}">
                <a16:creationId xmlns:a16="http://schemas.microsoft.com/office/drawing/2014/main" id="{26AF3595-43ED-39F8-5C5F-2C92E9A384E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8BFD2B5E-1158-4D5E-9360-B309E5E8D8C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9E3B9207-7BE7-483B-B477-2E8BA5F2D24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4" name="Isosceles Triangle 403">
            <a:extLst>
              <a:ext uri="{FF2B5EF4-FFF2-40B4-BE49-F238E27FC236}">
                <a16:creationId xmlns:a16="http://schemas.microsoft.com/office/drawing/2014/main" id="{4B01A628-C41C-A49A-9D11-A4E47FCE937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05" name="Isosceles Triangle 404">
            <a:extLst>
              <a:ext uri="{FF2B5EF4-FFF2-40B4-BE49-F238E27FC236}">
                <a16:creationId xmlns:a16="http://schemas.microsoft.com/office/drawing/2014/main" id="{9816D7BD-6220-6CEA-9854-27ECC6D21DC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06" name="Group 73">
            <a:extLst>
              <a:ext uri="{FF2B5EF4-FFF2-40B4-BE49-F238E27FC236}">
                <a16:creationId xmlns:a16="http://schemas.microsoft.com/office/drawing/2014/main" id="{1961C8E3-3F72-7D75-B8A6-B744FC0F25B6}"/>
              </a:ext>
            </a:extLst>
          </xdr:cNvPr>
          <xdr:cNvGrpSpPr/>
        </xdr:nvGrpSpPr>
        <xdr:grpSpPr>
          <a:xfrm>
            <a:off x="9839174" y="1973591"/>
            <a:ext cx="197304" cy="135243"/>
            <a:chOff x="9794951" y="2028769"/>
            <a:chExt cx="197304" cy="138814"/>
          </a:xfrm>
        </xdr:grpSpPr>
        <xdr:sp macro="" textlink="">
          <xdr:nvSpPr>
            <xdr:cNvPr id="432" name="TextBox 431">
              <a:extLst>
                <a:ext uri="{FF2B5EF4-FFF2-40B4-BE49-F238E27FC236}">
                  <a16:creationId xmlns:a16="http://schemas.microsoft.com/office/drawing/2014/main" id="{CD5DF352-3222-6C37-5A89-0B9CDA49CD63}"/>
                </a:ext>
              </a:extLst>
            </xdr:cNvPr>
            <xdr:cNvSpPr txBox="1"/>
          </xdr:nvSpPr>
          <xdr:spPr>
            <a:xfrm>
              <a:off x="9794951" y="2028769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33" name="Straight Connector 432">
              <a:extLst>
                <a:ext uri="{FF2B5EF4-FFF2-40B4-BE49-F238E27FC236}">
                  <a16:creationId xmlns:a16="http://schemas.microsoft.com/office/drawing/2014/main" id="{186D9C56-E09D-C4D7-1A04-6C5F7E9034AF}"/>
                </a:ext>
              </a:extLst>
            </xdr:cNvPr>
            <xdr:cNvCxnSpPr/>
          </xdr:nvCxnSpPr>
          <xdr:spPr>
            <a:xfrm rot="5400000" flipH="1" flipV="1">
              <a:off x="9825433" y="2084240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7" name="Group 74">
            <a:extLst>
              <a:ext uri="{FF2B5EF4-FFF2-40B4-BE49-F238E27FC236}">
                <a16:creationId xmlns:a16="http://schemas.microsoft.com/office/drawing/2014/main" id="{EB4A2A35-616B-642D-18DC-7A6874715C9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30" name="TextBox 429">
              <a:extLst>
                <a:ext uri="{FF2B5EF4-FFF2-40B4-BE49-F238E27FC236}">
                  <a16:creationId xmlns:a16="http://schemas.microsoft.com/office/drawing/2014/main" id="{45D5D9B9-414A-A21E-0AD5-37D0FF7B4F6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31" name="Straight Connector 430">
              <a:extLst>
                <a:ext uri="{FF2B5EF4-FFF2-40B4-BE49-F238E27FC236}">
                  <a16:creationId xmlns:a16="http://schemas.microsoft.com/office/drawing/2014/main" id="{2D5DB9C1-36A5-94D1-D161-DCB5F7F6A33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8" name="Group 89">
            <a:extLst>
              <a:ext uri="{FF2B5EF4-FFF2-40B4-BE49-F238E27FC236}">
                <a16:creationId xmlns:a16="http://schemas.microsoft.com/office/drawing/2014/main" id="{7EC2B3D9-EE19-D8B5-04A8-EB1B0797BA52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id="{E003F0E2-97DF-E8A3-022E-8860643A72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7" name="Straight Connector 79">
              <a:extLst>
                <a:ext uri="{FF2B5EF4-FFF2-40B4-BE49-F238E27FC236}">
                  <a16:creationId xmlns:a16="http://schemas.microsoft.com/office/drawing/2014/main" id="{C48549C9-D8C1-B055-86C7-072E5C13984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8" name="Straight Connector 80">
              <a:extLst>
                <a:ext uri="{FF2B5EF4-FFF2-40B4-BE49-F238E27FC236}">
                  <a16:creationId xmlns:a16="http://schemas.microsoft.com/office/drawing/2014/main" id="{0D6588D8-EB05-7EAD-0F91-D5FC9B671F5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9" name="Straight Connector 88">
              <a:extLst>
                <a:ext uri="{FF2B5EF4-FFF2-40B4-BE49-F238E27FC236}">
                  <a16:creationId xmlns:a16="http://schemas.microsoft.com/office/drawing/2014/main" id="{574C770A-2169-C554-3579-5838986DA1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9" name="Group 90">
            <a:extLst>
              <a:ext uri="{FF2B5EF4-FFF2-40B4-BE49-F238E27FC236}">
                <a16:creationId xmlns:a16="http://schemas.microsoft.com/office/drawing/2014/main" id="{8AF4C329-4C89-4213-F4F4-943BDAEB15D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22" name="Straight Connector 421">
              <a:extLst>
                <a:ext uri="{FF2B5EF4-FFF2-40B4-BE49-F238E27FC236}">
                  <a16:creationId xmlns:a16="http://schemas.microsoft.com/office/drawing/2014/main" id="{6770CA3B-4B19-E1C8-80FA-8E0A7CD3762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id="{E62E4B28-696C-9BCF-44CC-6D3E9E86FFF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4" name="Straight Connector 423">
              <a:extLst>
                <a:ext uri="{FF2B5EF4-FFF2-40B4-BE49-F238E27FC236}">
                  <a16:creationId xmlns:a16="http://schemas.microsoft.com/office/drawing/2014/main" id="{9209665C-FD2E-6D9E-64C8-5341F7BE52F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id="{9D187F32-7C34-A138-E09C-5E8FC063F02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D81A8C0E-B4B7-B7DC-9103-3C4064B2344E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Connector 410">
            <a:extLst>
              <a:ext uri="{FF2B5EF4-FFF2-40B4-BE49-F238E27FC236}">
                <a16:creationId xmlns:a16="http://schemas.microsoft.com/office/drawing/2014/main" id="{1A61620A-3A04-8441-E3D5-E8C928763F1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Straight Arrow Connector 411">
            <a:extLst>
              <a:ext uri="{FF2B5EF4-FFF2-40B4-BE49-F238E27FC236}">
                <a16:creationId xmlns:a16="http://schemas.microsoft.com/office/drawing/2014/main" id="{1CCBD8FF-18F2-E271-382A-97DF046FD7C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3" name="Straight Arrow Connector 412">
            <a:extLst>
              <a:ext uri="{FF2B5EF4-FFF2-40B4-BE49-F238E27FC236}">
                <a16:creationId xmlns:a16="http://schemas.microsoft.com/office/drawing/2014/main" id="{4025719D-E3EF-EF8B-C280-39AE8031D1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14" name="Group 155">
            <a:extLst>
              <a:ext uri="{FF2B5EF4-FFF2-40B4-BE49-F238E27FC236}">
                <a16:creationId xmlns:a16="http://schemas.microsoft.com/office/drawing/2014/main" id="{33BBADAF-E5C5-FE2F-F679-65198F0DA98C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19" name="Isosceles Triangle 418">
              <a:extLst>
                <a:ext uri="{FF2B5EF4-FFF2-40B4-BE49-F238E27FC236}">
                  <a16:creationId xmlns:a16="http://schemas.microsoft.com/office/drawing/2014/main" id="{733DFCE6-79E9-0C05-B6A8-F880E92B05E6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0" name="Isosceles Triangle 419">
              <a:extLst>
                <a:ext uri="{FF2B5EF4-FFF2-40B4-BE49-F238E27FC236}">
                  <a16:creationId xmlns:a16="http://schemas.microsoft.com/office/drawing/2014/main" id="{9FDA4FAE-D7EE-9474-550A-549FBEE130B4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1" name="Isosceles Triangle 420">
              <a:extLst>
                <a:ext uri="{FF2B5EF4-FFF2-40B4-BE49-F238E27FC236}">
                  <a16:creationId xmlns:a16="http://schemas.microsoft.com/office/drawing/2014/main" id="{AF14BEEB-621F-6063-975C-9A4FC107D407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5" name="Group 134">
            <a:extLst>
              <a:ext uri="{FF2B5EF4-FFF2-40B4-BE49-F238E27FC236}">
                <a16:creationId xmlns:a16="http://schemas.microsoft.com/office/drawing/2014/main" id="{FAC8FC68-63E1-1290-3936-13C9A65EE4F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16" name="Isosceles Triangle 415">
              <a:extLst>
                <a:ext uri="{FF2B5EF4-FFF2-40B4-BE49-F238E27FC236}">
                  <a16:creationId xmlns:a16="http://schemas.microsoft.com/office/drawing/2014/main" id="{A64210D2-EBDF-35CA-F3DC-D8C86E75265C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7" name="Isosceles Triangle 416">
              <a:extLst>
                <a:ext uri="{FF2B5EF4-FFF2-40B4-BE49-F238E27FC236}">
                  <a16:creationId xmlns:a16="http://schemas.microsoft.com/office/drawing/2014/main" id="{E757A9BD-43B1-DF27-C4B2-727F86D5B8C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8" name="Isosceles Triangle 417">
              <a:extLst>
                <a:ext uri="{FF2B5EF4-FFF2-40B4-BE49-F238E27FC236}">
                  <a16:creationId xmlns:a16="http://schemas.microsoft.com/office/drawing/2014/main" id="{CAE01644-32A3-A028-D3F6-0C3C676FD57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18</xdr:col>
      <xdr:colOff>346387</xdr:colOff>
      <xdr:row>113</xdr:row>
      <xdr:rowOff>78442</xdr:rowOff>
    </xdr:from>
    <xdr:ext cx="858299" cy="775124"/>
    <xdr:pic>
      <xdr:nvPicPr>
        <xdr:cNvPr id="440" name="Picture 439">
          <a:extLst>
            <a:ext uri="{FF2B5EF4-FFF2-40B4-BE49-F238E27FC236}">
              <a16:creationId xmlns:a16="http://schemas.microsoft.com/office/drawing/2014/main" id="{8E8AD6E1-702F-4D98-B387-B2FB0C762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41744" y="241728"/>
          <a:ext cx="858299" cy="775124"/>
        </a:xfrm>
        <a:prstGeom prst="rect">
          <a:avLst/>
        </a:prstGeom>
      </xdr:spPr>
    </xdr:pic>
    <xdr:clientData/>
  </xdr:oneCellAnchor>
  <xdr:twoCellAnchor>
    <xdr:from>
      <xdr:col>26</xdr:col>
      <xdr:colOff>23969</xdr:colOff>
      <xdr:row>117</xdr:row>
      <xdr:rowOff>38072</xdr:rowOff>
    </xdr:from>
    <xdr:to>
      <xdr:col>29</xdr:col>
      <xdr:colOff>311192</xdr:colOff>
      <xdr:row>128</xdr:row>
      <xdr:rowOff>142121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9707ED26-3784-42DB-BD6E-F9AB1A81FCCF}"/>
            </a:ext>
          </a:extLst>
        </xdr:cNvPr>
        <xdr:cNvGrpSpPr/>
      </xdr:nvGrpSpPr>
      <xdr:grpSpPr>
        <a:xfrm>
          <a:off x="9524121" y="17771137"/>
          <a:ext cx="1488201" cy="1744006"/>
          <a:chOff x="9713886" y="808452"/>
          <a:chExt cx="1342558" cy="1766630"/>
        </a:xfrm>
      </xdr:grpSpPr>
      <xdr:grpSp>
        <xdr:nvGrpSpPr>
          <xdr:cNvPr id="442" name="Group 13">
            <a:extLst>
              <a:ext uri="{FF2B5EF4-FFF2-40B4-BE49-F238E27FC236}">
                <a16:creationId xmlns:a16="http://schemas.microsoft.com/office/drawing/2014/main" id="{09E43D5E-3EB6-040C-FA4D-E2B255EF50D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501" name="Oval 1">
              <a:extLst>
                <a:ext uri="{FF2B5EF4-FFF2-40B4-BE49-F238E27FC236}">
                  <a16:creationId xmlns:a16="http://schemas.microsoft.com/office/drawing/2014/main" id="{E6351C19-8898-2720-A3C6-9F73F270942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02" name="Straight Connector 3">
              <a:extLst>
                <a:ext uri="{FF2B5EF4-FFF2-40B4-BE49-F238E27FC236}">
                  <a16:creationId xmlns:a16="http://schemas.microsoft.com/office/drawing/2014/main" id="{C7D92CF7-AD83-3596-523C-D245438B9B28}"/>
                </a:ext>
              </a:extLst>
            </xdr:cNvPr>
            <xdr:cNvCxnSpPr>
              <a:stCxn id="458" idx="1"/>
              <a:endCxn id="4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3" name="Straight Connector 7">
              <a:extLst>
                <a:ext uri="{FF2B5EF4-FFF2-40B4-BE49-F238E27FC236}">
                  <a16:creationId xmlns:a16="http://schemas.microsoft.com/office/drawing/2014/main" id="{C9B6AA6D-32FC-5E7E-2AA0-ECABDA14B5D1}"/>
                </a:ext>
              </a:extLst>
            </xdr:cNvPr>
            <xdr:cNvCxnSpPr>
              <a:stCxn id="458" idx="3"/>
              <a:endCxn id="4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43" name="Oval 442">
            <a:extLst>
              <a:ext uri="{FF2B5EF4-FFF2-40B4-BE49-F238E27FC236}">
                <a16:creationId xmlns:a16="http://schemas.microsoft.com/office/drawing/2014/main" id="{206341A9-571B-D085-B717-89D88C0AF12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44" name="Group 443">
            <a:extLst>
              <a:ext uri="{FF2B5EF4-FFF2-40B4-BE49-F238E27FC236}">
                <a16:creationId xmlns:a16="http://schemas.microsoft.com/office/drawing/2014/main" id="{50AF9C7D-F6EC-F8B4-DA1A-63D97A88047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98" name="Oval 497">
              <a:extLst>
                <a:ext uri="{FF2B5EF4-FFF2-40B4-BE49-F238E27FC236}">
                  <a16:creationId xmlns:a16="http://schemas.microsoft.com/office/drawing/2014/main" id="{44E5047F-404A-6A96-FE81-2B23B08DA8F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99" name="Straight Connector 498">
              <a:extLst>
                <a:ext uri="{FF2B5EF4-FFF2-40B4-BE49-F238E27FC236}">
                  <a16:creationId xmlns:a16="http://schemas.microsoft.com/office/drawing/2014/main" id="{382DCFF5-14AC-CBF9-D9A7-A2CA33DA488B}"/>
                </a:ext>
              </a:extLst>
            </xdr:cNvPr>
            <xdr:cNvCxnSpPr>
              <a:stCxn id="498" idx="1"/>
              <a:endCxn id="49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0" name="Straight Connector 499">
              <a:extLst>
                <a:ext uri="{FF2B5EF4-FFF2-40B4-BE49-F238E27FC236}">
                  <a16:creationId xmlns:a16="http://schemas.microsoft.com/office/drawing/2014/main" id="{59C58D65-97EE-C24F-F19F-2B5510178A7E}"/>
                </a:ext>
              </a:extLst>
            </xdr:cNvPr>
            <xdr:cNvCxnSpPr>
              <a:stCxn id="498" idx="3"/>
              <a:endCxn id="49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45" name="Oval 444">
            <a:extLst>
              <a:ext uri="{FF2B5EF4-FFF2-40B4-BE49-F238E27FC236}">
                <a16:creationId xmlns:a16="http://schemas.microsoft.com/office/drawing/2014/main" id="{E3011B9C-F0F4-A5B6-A990-147593C6F28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4654110D-474C-3257-7352-6DD9F223B5C8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42D43BA2-DDBF-54B8-EC05-B4CE047B0C7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Connector 447">
            <a:extLst>
              <a:ext uri="{FF2B5EF4-FFF2-40B4-BE49-F238E27FC236}">
                <a16:creationId xmlns:a16="http://schemas.microsoft.com/office/drawing/2014/main" id="{A2BB970B-CA79-E142-D498-9F72196F02AB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A0EBC52F-3283-9554-95F7-25B77283E6C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78BC0E05-41C6-9E31-0081-1D523E6795B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7D130AC4-AA3A-AC6E-9A2D-2AF9F1E196C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BA46F9F5-03FE-0B72-58E4-00F08777421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C833844F-178B-69DF-290E-20835B54F9D2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13E63006-9096-F474-977E-B64757627AF1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D80A2C5F-2161-2258-0D32-60AF17FC70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3A976B2B-9975-4354-C354-EE4B1887FCD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50896061-362A-A55B-84F8-627D689DFD0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50">
            <a:extLst>
              <a:ext uri="{FF2B5EF4-FFF2-40B4-BE49-F238E27FC236}">
                <a16:creationId xmlns:a16="http://schemas.microsoft.com/office/drawing/2014/main" id="{D25809E2-C3C9-67E2-2196-CE3CB9CFD3B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9A649150-4F09-0472-A3C6-6528F7BD51E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52">
            <a:extLst>
              <a:ext uri="{FF2B5EF4-FFF2-40B4-BE49-F238E27FC236}">
                <a16:creationId xmlns:a16="http://schemas.microsoft.com/office/drawing/2014/main" id="{0A8B8AD1-2D75-4CC6-0DDF-8131A29B3562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0D5C5E54-7C94-8F60-1525-0AC1C9312B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EBC3A17C-F9FE-A352-AF42-D555D86550C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72D81FDB-8E93-8DF9-B767-F795BC8F99E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9F74938B-5A71-1694-86E2-C553D79284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36F739CC-5F18-A8A7-7E54-9179FB94E69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24A16187-5826-D082-9689-E55526F8C7E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0AA36D6B-C997-05E9-772A-508262108D0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8" name="Isosceles Triangle 467">
            <a:extLst>
              <a:ext uri="{FF2B5EF4-FFF2-40B4-BE49-F238E27FC236}">
                <a16:creationId xmlns:a16="http://schemas.microsoft.com/office/drawing/2014/main" id="{1F0CE5EA-D7BE-7EA2-04C6-2A7B9F96CF5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69" name="Isosceles Triangle 468">
            <a:extLst>
              <a:ext uri="{FF2B5EF4-FFF2-40B4-BE49-F238E27FC236}">
                <a16:creationId xmlns:a16="http://schemas.microsoft.com/office/drawing/2014/main" id="{1CC88496-DA2A-0F55-A564-B81ED83D37E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70" name="Group 73">
            <a:extLst>
              <a:ext uri="{FF2B5EF4-FFF2-40B4-BE49-F238E27FC236}">
                <a16:creationId xmlns:a16="http://schemas.microsoft.com/office/drawing/2014/main" id="{8216D19E-B2B8-C6BC-5692-EB33A80DABEE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496" name="TextBox 495">
              <a:extLst>
                <a:ext uri="{FF2B5EF4-FFF2-40B4-BE49-F238E27FC236}">
                  <a16:creationId xmlns:a16="http://schemas.microsoft.com/office/drawing/2014/main" id="{6F3B8D63-23B9-0D2B-5DDD-34DB3F48EFD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97" name="Straight Connector 496">
              <a:extLst>
                <a:ext uri="{FF2B5EF4-FFF2-40B4-BE49-F238E27FC236}">
                  <a16:creationId xmlns:a16="http://schemas.microsoft.com/office/drawing/2014/main" id="{05C562B3-6612-9DAF-E613-93BEA0E6376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1" name="Group 74">
            <a:extLst>
              <a:ext uri="{FF2B5EF4-FFF2-40B4-BE49-F238E27FC236}">
                <a16:creationId xmlns:a16="http://schemas.microsoft.com/office/drawing/2014/main" id="{F6872877-0E81-5AE2-5EE4-9973225C84A9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94" name="TextBox 493">
              <a:extLst>
                <a:ext uri="{FF2B5EF4-FFF2-40B4-BE49-F238E27FC236}">
                  <a16:creationId xmlns:a16="http://schemas.microsoft.com/office/drawing/2014/main" id="{DED9DE5C-549C-97D0-AC2C-72476F3A22C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23994635-7529-7ACA-13C4-8799D614879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2" name="Group 89">
            <a:extLst>
              <a:ext uri="{FF2B5EF4-FFF2-40B4-BE49-F238E27FC236}">
                <a16:creationId xmlns:a16="http://schemas.microsoft.com/office/drawing/2014/main" id="{DE47DBDE-F1CA-5C96-E6F1-552F0A176383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id="{ED515FFB-8E71-2BB7-C3A4-E9867A017A5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1" name="Straight Connector 79">
              <a:extLst>
                <a:ext uri="{FF2B5EF4-FFF2-40B4-BE49-F238E27FC236}">
                  <a16:creationId xmlns:a16="http://schemas.microsoft.com/office/drawing/2014/main" id="{CD709100-176F-557D-26EA-F9FF5D63398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2" name="Straight Connector 80">
              <a:extLst>
                <a:ext uri="{FF2B5EF4-FFF2-40B4-BE49-F238E27FC236}">
                  <a16:creationId xmlns:a16="http://schemas.microsoft.com/office/drawing/2014/main" id="{C395273F-DA71-8D50-FC92-DCF69D2611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3" name="Straight Connector 88">
              <a:extLst>
                <a:ext uri="{FF2B5EF4-FFF2-40B4-BE49-F238E27FC236}">
                  <a16:creationId xmlns:a16="http://schemas.microsoft.com/office/drawing/2014/main" id="{82B58A91-4C3C-58C8-9D8A-12125C2F7AA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3" name="Group 90">
            <a:extLst>
              <a:ext uri="{FF2B5EF4-FFF2-40B4-BE49-F238E27FC236}">
                <a16:creationId xmlns:a16="http://schemas.microsoft.com/office/drawing/2014/main" id="{973C76C4-B244-F07D-01CD-7DAE56A9D9BC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6" name="Straight Connector 485">
              <a:extLst>
                <a:ext uri="{FF2B5EF4-FFF2-40B4-BE49-F238E27FC236}">
                  <a16:creationId xmlns:a16="http://schemas.microsoft.com/office/drawing/2014/main" id="{E1DE1119-8B63-8CB0-7B16-D303C86F3EE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id="{2A67FA76-2885-237A-E33B-FE969644703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8" name="Straight Connector 487">
              <a:extLst>
                <a:ext uri="{FF2B5EF4-FFF2-40B4-BE49-F238E27FC236}">
                  <a16:creationId xmlns:a16="http://schemas.microsoft.com/office/drawing/2014/main" id="{D88FB1BE-73C0-649A-682F-7A4EA091187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id="{21975802-D14A-A755-7072-FC23D7C9137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B3E0D5B8-5FB1-FFF5-D942-815AC50EBBC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E943B214-DFD8-4C6F-DE2B-F7A254A926D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6" name="Straight Arrow Connector 475">
            <a:extLst>
              <a:ext uri="{FF2B5EF4-FFF2-40B4-BE49-F238E27FC236}">
                <a16:creationId xmlns:a16="http://schemas.microsoft.com/office/drawing/2014/main" id="{90B11290-31E2-9011-D457-34A10510327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Straight Arrow Connector 476">
            <a:extLst>
              <a:ext uri="{FF2B5EF4-FFF2-40B4-BE49-F238E27FC236}">
                <a16:creationId xmlns:a16="http://schemas.microsoft.com/office/drawing/2014/main" id="{AEA02ED2-7278-8940-1FC4-270BAFBB7C2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78" name="Group 155">
            <a:extLst>
              <a:ext uri="{FF2B5EF4-FFF2-40B4-BE49-F238E27FC236}">
                <a16:creationId xmlns:a16="http://schemas.microsoft.com/office/drawing/2014/main" id="{E5AB6A20-52FD-A75F-0DD2-F643D6836F1C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83" name="Isosceles Triangle 482">
              <a:extLst>
                <a:ext uri="{FF2B5EF4-FFF2-40B4-BE49-F238E27FC236}">
                  <a16:creationId xmlns:a16="http://schemas.microsoft.com/office/drawing/2014/main" id="{F2456F06-1BA6-F81C-69A6-448A202E920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4" name="Isosceles Triangle 483">
              <a:extLst>
                <a:ext uri="{FF2B5EF4-FFF2-40B4-BE49-F238E27FC236}">
                  <a16:creationId xmlns:a16="http://schemas.microsoft.com/office/drawing/2014/main" id="{F7F2CF13-5649-74DB-28AC-F774653DE67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5" name="Isosceles Triangle 484">
              <a:extLst>
                <a:ext uri="{FF2B5EF4-FFF2-40B4-BE49-F238E27FC236}">
                  <a16:creationId xmlns:a16="http://schemas.microsoft.com/office/drawing/2014/main" id="{D454950A-BFA6-03E8-0D31-645B3F3859D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79" name="Group 134">
            <a:extLst>
              <a:ext uri="{FF2B5EF4-FFF2-40B4-BE49-F238E27FC236}">
                <a16:creationId xmlns:a16="http://schemas.microsoft.com/office/drawing/2014/main" id="{AF997DA4-E332-4F14-09AF-1CEC20E263B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80" name="Isosceles Triangle 479">
              <a:extLst>
                <a:ext uri="{FF2B5EF4-FFF2-40B4-BE49-F238E27FC236}">
                  <a16:creationId xmlns:a16="http://schemas.microsoft.com/office/drawing/2014/main" id="{2448D05A-03E8-787C-DBB5-E1D7290C3FB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1" name="Isosceles Triangle 480">
              <a:extLst>
                <a:ext uri="{FF2B5EF4-FFF2-40B4-BE49-F238E27FC236}">
                  <a16:creationId xmlns:a16="http://schemas.microsoft.com/office/drawing/2014/main" id="{EED41EBD-935C-54A1-4782-9BDD64D4B8B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2" name="Isosceles Triangle 481">
              <a:extLst>
                <a:ext uri="{FF2B5EF4-FFF2-40B4-BE49-F238E27FC236}">
                  <a16:creationId xmlns:a16="http://schemas.microsoft.com/office/drawing/2014/main" id="{A376932E-EC96-E1AD-A05B-7BD5873E5575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18</xdr:col>
      <xdr:colOff>346387</xdr:colOff>
      <xdr:row>169</xdr:row>
      <xdr:rowOff>78442</xdr:rowOff>
    </xdr:from>
    <xdr:ext cx="858299" cy="775124"/>
    <xdr:pic>
      <xdr:nvPicPr>
        <xdr:cNvPr id="504" name="Picture 503">
          <a:extLst>
            <a:ext uri="{FF2B5EF4-FFF2-40B4-BE49-F238E27FC236}">
              <a16:creationId xmlns:a16="http://schemas.microsoft.com/office/drawing/2014/main" id="{F59DCC60-5204-4C1B-8BB0-EA24A3708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41744" y="241728"/>
          <a:ext cx="858299" cy="775124"/>
        </a:xfrm>
        <a:prstGeom prst="rect">
          <a:avLst/>
        </a:prstGeom>
      </xdr:spPr>
    </xdr:pic>
    <xdr:clientData/>
  </xdr:oneCellAnchor>
  <xdr:twoCellAnchor>
    <xdr:from>
      <xdr:col>26</xdr:col>
      <xdr:colOff>23969</xdr:colOff>
      <xdr:row>173</xdr:row>
      <xdr:rowOff>38072</xdr:rowOff>
    </xdr:from>
    <xdr:to>
      <xdr:col>29</xdr:col>
      <xdr:colOff>311192</xdr:colOff>
      <xdr:row>184</xdr:row>
      <xdr:rowOff>142121</xdr:rowOff>
    </xdr:to>
    <xdr:grpSp>
      <xdr:nvGrpSpPr>
        <xdr:cNvPr id="505" name="Group 504">
          <a:extLst>
            <a:ext uri="{FF2B5EF4-FFF2-40B4-BE49-F238E27FC236}">
              <a16:creationId xmlns:a16="http://schemas.microsoft.com/office/drawing/2014/main" id="{02587744-62ED-4573-BD3B-D8E301CFDDF9}"/>
            </a:ext>
          </a:extLst>
        </xdr:cNvPr>
        <xdr:cNvGrpSpPr/>
      </xdr:nvGrpSpPr>
      <xdr:grpSpPr>
        <a:xfrm>
          <a:off x="9524121" y="26169702"/>
          <a:ext cx="1488201" cy="1744006"/>
          <a:chOff x="9713886" y="808452"/>
          <a:chExt cx="1342558" cy="1766630"/>
        </a:xfrm>
      </xdr:grpSpPr>
      <xdr:grpSp>
        <xdr:nvGrpSpPr>
          <xdr:cNvPr id="506" name="Group 13">
            <a:extLst>
              <a:ext uri="{FF2B5EF4-FFF2-40B4-BE49-F238E27FC236}">
                <a16:creationId xmlns:a16="http://schemas.microsoft.com/office/drawing/2014/main" id="{8DC36DD3-320B-388E-8A37-3A4F05E2E4DC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565" name="Oval 1">
              <a:extLst>
                <a:ext uri="{FF2B5EF4-FFF2-40B4-BE49-F238E27FC236}">
                  <a16:creationId xmlns:a16="http://schemas.microsoft.com/office/drawing/2014/main" id="{F2D2E54C-64E7-E8F6-BF05-291BB75776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66" name="Straight Connector 3">
              <a:extLst>
                <a:ext uri="{FF2B5EF4-FFF2-40B4-BE49-F238E27FC236}">
                  <a16:creationId xmlns:a16="http://schemas.microsoft.com/office/drawing/2014/main" id="{758B26CC-48D8-814B-2802-CCE7678440F1}"/>
                </a:ext>
              </a:extLst>
            </xdr:cNvPr>
            <xdr:cNvCxnSpPr>
              <a:stCxn id="522" idx="1"/>
              <a:endCxn id="52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7" name="Straight Connector 7">
              <a:extLst>
                <a:ext uri="{FF2B5EF4-FFF2-40B4-BE49-F238E27FC236}">
                  <a16:creationId xmlns:a16="http://schemas.microsoft.com/office/drawing/2014/main" id="{0E3BEE38-1DED-03B1-E4E7-35DAADB382FC}"/>
                </a:ext>
              </a:extLst>
            </xdr:cNvPr>
            <xdr:cNvCxnSpPr>
              <a:stCxn id="522" idx="3"/>
              <a:endCxn id="52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7" name="Oval 506">
            <a:extLst>
              <a:ext uri="{FF2B5EF4-FFF2-40B4-BE49-F238E27FC236}">
                <a16:creationId xmlns:a16="http://schemas.microsoft.com/office/drawing/2014/main" id="{A89CDB33-AAA4-854B-F711-DD09C9D71FF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08" name="Group 507">
            <a:extLst>
              <a:ext uri="{FF2B5EF4-FFF2-40B4-BE49-F238E27FC236}">
                <a16:creationId xmlns:a16="http://schemas.microsoft.com/office/drawing/2014/main" id="{2A6B0551-1F98-BF08-A23E-D075ECE8413D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562" name="Oval 561">
              <a:extLst>
                <a:ext uri="{FF2B5EF4-FFF2-40B4-BE49-F238E27FC236}">
                  <a16:creationId xmlns:a16="http://schemas.microsoft.com/office/drawing/2014/main" id="{22B6A823-9C65-C2E2-FEB0-9E8E65ABBA1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63" name="Straight Connector 562">
              <a:extLst>
                <a:ext uri="{FF2B5EF4-FFF2-40B4-BE49-F238E27FC236}">
                  <a16:creationId xmlns:a16="http://schemas.microsoft.com/office/drawing/2014/main" id="{C7641B08-D3AA-FA8B-8556-3030B64C2EEF}"/>
                </a:ext>
              </a:extLst>
            </xdr:cNvPr>
            <xdr:cNvCxnSpPr>
              <a:stCxn id="562" idx="1"/>
              <a:endCxn id="5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4" name="Straight Connector 563">
              <a:extLst>
                <a:ext uri="{FF2B5EF4-FFF2-40B4-BE49-F238E27FC236}">
                  <a16:creationId xmlns:a16="http://schemas.microsoft.com/office/drawing/2014/main" id="{F15D968E-913D-E5A1-0AC7-3786EFE4687C}"/>
                </a:ext>
              </a:extLst>
            </xdr:cNvPr>
            <xdr:cNvCxnSpPr>
              <a:stCxn id="562" idx="3"/>
              <a:endCxn id="5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9" name="Oval 508">
            <a:extLst>
              <a:ext uri="{FF2B5EF4-FFF2-40B4-BE49-F238E27FC236}">
                <a16:creationId xmlns:a16="http://schemas.microsoft.com/office/drawing/2014/main" id="{18C275E0-C318-7E55-9D4A-924D6A3514B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C2DE7FAB-66A1-ECCD-F4AB-F0E1C92FCC3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id="{0AB8068B-ED2F-C6F3-7A1E-6A09493C8C8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2" name="Straight Connector 511">
            <a:extLst>
              <a:ext uri="{FF2B5EF4-FFF2-40B4-BE49-F238E27FC236}">
                <a16:creationId xmlns:a16="http://schemas.microsoft.com/office/drawing/2014/main" id="{1F771B86-5E4B-030F-9D6D-96EF4B2A3F8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3" name="Straight Connector 512">
            <a:extLst>
              <a:ext uri="{FF2B5EF4-FFF2-40B4-BE49-F238E27FC236}">
                <a16:creationId xmlns:a16="http://schemas.microsoft.com/office/drawing/2014/main" id="{B9440C66-37F6-BF15-A429-3255B0BCE2A1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id="{35C993AC-4EDB-6495-1FD6-8F226803E91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C1C0A5E-B048-17AB-BDFC-9053931B7D5C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Connector 515">
            <a:extLst>
              <a:ext uri="{FF2B5EF4-FFF2-40B4-BE49-F238E27FC236}">
                <a16:creationId xmlns:a16="http://schemas.microsoft.com/office/drawing/2014/main" id="{DF77F360-3D01-7625-0347-EF034C8DC7C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id="{DEA7EE89-1E5C-6BE0-3EE3-099327F83E5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738A5D3B-954F-D249-FC10-79CF9A1208B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9001AB28-CF1D-6E6A-27A4-0F553F6BF2C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0" name="Straight Connector 519">
            <a:extLst>
              <a:ext uri="{FF2B5EF4-FFF2-40B4-BE49-F238E27FC236}">
                <a16:creationId xmlns:a16="http://schemas.microsoft.com/office/drawing/2014/main" id="{20E68B00-1AE2-CDC7-4973-7656B58A3C9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1" name="Straight Connector 520">
            <a:extLst>
              <a:ext uri="{FF2B5EF4-FFF2-40B4-BE49-F238E27FC236}">
                <a16:creationId xmlns:a16="http://schemas.microsoft.com/office/drawing/2014/main" id="{CCEB8A06-AAC3-5F7B-FA2F-E05500627FC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2" name="Straight Connector 50">
            <a:extLst>
              <a:ext uri="{FF2B5EF4-FFF2-40B4-BE49-F238E27FC236}">
                <a16:creationId xmlns:a16="http://schemas.microsoft.com/office/drawing/2014/main" id="{D3DE404C-10D7-5B02-7E69-3A9C47DC3E0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6C59C115-85BF-1892-242C-E46C5EAB8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Connector 52">
            <a:extLst>
              <a:ext uri="{FF2B5EF4-FFF2-40B4-BE49-F238E27FC236}">
                <a16:creationId xmlns:a16="http://schemas.microsoft.com/office/drawing/2014/main" id="{F8D42DFC-6882-0CCA-84AE-D7C7D5A71C2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Straight Connector 524">
            <a:extLst>
              <a:ext uri="{FF2B5EF4-FFF2-40B4-BE49-F238E27FC236}">
                <a16:creationId xmlns:a16="http://schemas.microsoft.com/office/drawing/2014/main" id="{C8B8558A-F556-A50A-7CFB-221ACF5FC0A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id="{783D60F5-7D5E-D9D1-BEE3-8B7C34855E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id="{0565107F-5338-AA3A-F036-AC6A61765BB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8" name="Straight Connector 527">
            <a:extLst>
              <a:ext uri="{FF2B5EF4-FFF2-40B4-BE49-F238E27FC236}">
                <a16:creationId xmlns:a16="http://schemas.microsoft.com/office/drawing/2014/main" id="{8C7FE55C-F68A-F86C-00AA-0E4B31AB364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62066226-57A3-7A57-4CFC-719FCEA09AB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50352372-DF95-08E1-1531-CAB8715078C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1" name="Straight Connector 530">
            <a:extLst>
              <a:ext uri="{FF2B5EF4-FFF2-40B4-BE49-F238E27FC236}">
                <a16:creationId xmlns:a16="http://schemas.microsoft.com/office/drawing/2014/main" id="{69531BCA-0AA8-8E33-B8C3-202E643F76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2" name="Isosceles Triangle 531">
            <a:extLst>
              <a:ext uri="{FF2B5EF4-FFF2-40B4-BE49-F238E27FC236}">
                <a16:creationId xmlns:a16="http://schemas.microsoft.com/office/drawing/2014/main" id="{EE7CA927-92F2-8EC7-CF81-1B0A05FB6DC7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3" name="Isosceles Triangle 532">
            <a:extLst>
              <a:ext uri="{FF2B5EF4-FFF2-40B4-BE49-F238E27FC236}">
                <a16:creationId xmlns:a16="http://schemas.microsoft.com/office/drawing/2014/main" id="{7AAFBF87-D78E-B36A-13D0-F61794ED60F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34" name="Group 73">
            <a:extLst>
              <a:ext uri="{FF2B5EF4-FFF2-40B4-BE49-F238E27FC236}">
                <a16:creationId xmlns:a16="http://schemas.microsoft.com/office/drawing/2014/main" id="{EC4ACA6C-3614-2E89-CB79-40E03E74AB9C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560" name="TextBox 559">
              <a:extLst>
                <a:ext uri="{FF2B5EF4-FFF2-40B4-BE49-F238E27FC236}">
                  <a16:creationId xmlns:a16="http://schemas.microsoft.com/office/drawing/2014/main" id="{B5B34475-DB18-31E1-7D99-E113223632D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61" name="Straight Connector 560">
              <a:extLst>
                <a:ext uri="{FF2B5EF4-FFF2-40B4-BE49-F238E27FC236}">
                  <a16:creationId xmlns:a16="http://schemas.microsoft.com/office/drawing/2014/main" id="{256EF3B3-4834-81EE-F7A3-EACB0B05824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5" name="Group 74">
            <a:extLst>
              <a:ext uri="{FF2B5EF4-FFF2-40B4-BE49-F238E27FC236}">
                <a16:creationId xmlns:a16="http://schemas.microsoft.com/office/drawing/2014/main" id="{C6D4429C-7A5C-375D-A02D-7055FCA6FB1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58" name="TextBox 557">
              <a:extLst>
                <a:ext uri="{FF2B5EF4-FFF2-40B4-BE49-F238E27FC236}">
                  <a16:creationId xmlns:a16="http://schemas.microsoft.com/office/drawing/2014/main" id="{5980C761-B5E8-C20E-0BD9-C379A406447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59" name="Straight Connector 558">
              <a:extLst>
                <a:ext uri="{FF2B5EF4-FFF2-40B4-BE49-F238E27FC236}">
                  <a16:creationId xmlns:a16="http://schemas.microsoft.com/office/drawing/2014/main" id="{5F6501CF-6AB6-43D6-D82B-3277E095CC6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6" name="Group 89">
            <a:extLst>
              <a:ext uri="{FF2B5EF4-FFF2-40B4-BE49-F238E27FC236}">
                <a16:creationId xmlns:a16="http://schemas.microsoft.com/office/drawing/2014/main" id="{AA4111A2-F4CD-699E-63A6-047D63DFF18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996423E1-04C6-2BD4-CCCD-FB9F316E08A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79">
              <a:extLst>
                <a:ext uri="{FF2B5EF4-FFF2-40B4-BE49-F238E27FC236}">
                  <a16:creationId xmlns:a16="http://schemas.microsoft.com/office/drawing/2014/main" id="{71C74F9D-77AA-2AA5-4024-A4A5672786A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6" name="Straight Connector 80">
              <a:extLst>
                <a:ext uri="{FF2B5EF4-FFF2-40B4-BE49-F238E27FC236}">
                  <a16:creationId xmlns:a16="http://schemas.microsoft.com/office/drawing/2014/main" id="{06158EAC-5E94-DBD6-70C2-A7A842A421B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7" name="Straight Connector 88">
              <a:extLst>
                <a:ext uri="{FF2B5EF4-FFF2-40B4-BE49-F238E27FC236}">
                  <a16:creationId xmlns:a16="http://schemas.microsoft.com/office/drawing/2014/main" id="{4D839CAA-A1EE-F239-0DA2-29AA8F61544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7" name="Group 90">
            <a:extLst>
              <a:ext uri="{FF2B5EF4-FFF2-40B4-BE49-F238E27FC236}">
                <a16:creationId xmlns:a16="http://schemas.microsoft.com/office/drawing/2014/main" id="{D49150A7-2BD6-17A7-136E-E475666AE65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50" name="Straight Connector 549">
              <a:extLst>
                <a:ext uri="{FF2B5EF4-FFF2-40B4-BE49-F238E27FC236}">
                  <a16:creationId xmlns:a16="http://schemas.microsoft.com/office/drawing/2014/main" id="{1F82B9EF-F6DB-5209-24F8-797E8540223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1" name="Straight Connector 550">
              <a:extLst>
                <a:ext uri="{FF2B5EF4-FFF2-40B4-BE49-F238E27FC236}">
                  <a16:creationId xmlns:a16="http://schemas.microsoft.com/office/drawing/2014/main" id="{7A2B0D80-7A18-9505-692D-97B6A6FD3C5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Straight Connector 551">
              <a:extLst>
                <a:ext uri="{FF2B5EF4-FFF2-40B4-BE49-F238E27FC236}">
                  <a16:creationId xmlns:a16="http://schemas.microsoft.com/office/drawing/2014/main" id="{F89AEA3C-18DC-5AA5-C171-7551FC72B9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3" name="Straight Connector 552">
              <a:extLst>
                <a:ext uri="{FF2B5EF4-FFF2-40B4-BE49-F238E27FC236}">
                  <a16:creationId xmlns:a16="http://schemas.microsoft.com/office/drawing/2014/main" id="{2FF9E3E7-19CD-8520-F6DC-739C27C0297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38" name="Straight Connector 537">
            <a:extLst>
              <a:ext uri="{FF2B5EF4-FFF2-40B4-BE49-F238E27FC236}">
                <a16:creationId xmlns:a16="http://schemas.microsoft.com/office/drawing/2014/main" id="{CE07A294-4676-C3D4-7920-77D74294437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9" name="Straight Connector 538">
            <a:extLst>
              <a:ext uri="{FF2B5EF4-FFF2-40B4-BE49-F238E27FC236}">
                <a16:creationId xmlns:a16="http://schemas.microsoft.com/office/drawing/2014/main" id="{C507BFBC-10AA-F2F8-B0D5-EAF5E111F7F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0" name="Straight Arrow Connector 539">
            <a:extLst>
              <a:ext uri="{FF2B5EF4-FFF2-40B4-BE49-F238E27FC236}">
                <a16:creationId xmlns:a16="http://schemas.microsoft.com/office/drawing/2014/main" id="{EA8D4395-1BB8-4C7F-991E-57331ACDB77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1" name="Straight Arrow Connector 540">
            <a:extLst>
              <a:ext uri="{FF2B5EF4-FFF2-40B4-BE49-F238E27FC236}">
                <a16:creationId xmlns:a16="http://schemas.microsoft.com/office/drawing/2014/main" id="{9DC18F5B-F637-623C-8093-9AE31102F08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42" name="Group 155">
            <a:extLst>
              <a:ext uri="{FF2B5EF4-FFF2-40B4-BE49-F238E27FC236}">
                <a16:creationId xmlns:a16="http://schemas.microsoft.com/office/drawing/2014/main" id="{B7FD0D9D-58A4-DDD3-DCF8-FCC99B4A5698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547" name="Isosceles Triangle 546">
              <a:extLst>
                <a:ext uri="{FF2B5EF4-FFF2-40B4-BE49-F238E27FC236}">
                  <a16:creationId xmlns:a16="http://schemas.microsoft.com/office/drawing/2014/main" id="{02311D61-F870-F2F3-13B1-6F6FEEBB4F0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8" name="Isosceles Triangle 547">
              <a:extLst>
                <a:ext uri="{FF2B5EF4-FFF2-40B4-BE49-F238E27FC236}">
                  <a16:creationId xmlns:a16="http://schemas.microsoft.com/office/drawing/2014/main" id="{D5E5A644-1CD1-267B-6390-0B1B7D32511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9" name="Isosceles Triangle 548">
              <a:extLst>
                <a:ext uri="{FF2B5EF4-FFF2-40B4-BE49-F238E27FC236}">
                  <a16:creationId xmlns:a16="http://schemas.microsoft.com/office/drawing/2014/main" id="{D4A4DEFB-179D-7D39-1E88-FCDC4ACE454D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43" name="Group 134">
            <a:extLst>
              <a:ext uri="{FF2B5EF4-FFF2-40B4-BE49-F238E27FC236}">
                <a16:creationId xmlns:a16="http://schemas.microsoft.com/office/drawing/2014/main" id="{E24F2C86-E627-5D64-38D3-E223A4B928D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544" name="Isosceles Triangle 543">
              <a:extLst>
                <a:ext uri="{FF2B5EF4-FFF2-40B4-BE49-F238E27FC236}">
                  <a16:creationId xmlns:a16="http://schemas.microsoft.com/office/drawing/2014/main" id="{A0E06741-C498-DB09-5749-F783ABA123B3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5" name="Isosceles Triangle 544">
              <a:extLst>
                <a:ext uri="{FF2B5EF4-FFF2-40B4-BE49-F238E27FC236}">
                  <a16:creationId xmlns:a16="http://schemas.microsoft.com/office/drawing/2014/main" id="{AF9D6A0E-D40A-4C7E-694B-DC5D85EA7631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6" name="Isosceles Triangle 545">
              <a:extLst>
                <a:ext uri="{FF2B5EF4-FFF2-40B4-BE49-F238E27FC236}">
                  <a16:creationId xmlns:a16="http://schemas.microsoft.com/office/drawing/2014/main" id="{B9554126-9A69-1F12-3BE6-8FDE44626966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2</xdr:col>
      <xdr:colOff>139195</xdr:colOff>
      <xdr:row>102</xdr:row>
      <xdr:rowOff>117617</xdr:rowOff>
    </xdr:from>
    <xdr:to>
      <xdr:col>7</xdr:col>
      <xdr:colOff>200106</xdr:colOff>
      <xdr:row>109</xdr:row>
      <xdr:rowOff>82096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F49CB5A7-E1E3-4931-8300-B0945BAE4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695" y="15833867"/>
          <a:ext cx="2080211" cy="1040804"/>
        </a:xfrm>
        <a:prstGeom prst="rect">
          <a:avLst/>
        </a:prstGeom>
      </xdr:spPr>
    </xdr:pic>
    <xdr:clientData/>
  </xdr:twoCellAnchor>
  <xdr:twoCellAnchor>
    <xdr:from>
      <xdr:col>4</xdr:col>
      <xdr:colOff>143515</xdr:colOff>
      <xdr:row>201</xdr:row>
      <xdr:rowOff>110692</xdr:rowOff>
    </xdr:from>
    <xdr:to>
      <xdr:col>6</xdr:col>
      <xdr:colOff>57790</xdr:colOff>
      <xdr:row>209</xdr:row>
      <xdr:rowOff>103024</xdr:rowOff>
    </xdr:to>
    <xdr:cxnSp macro="">
      <xdr:nvCxnSpPr>
        <xdr:cNvPr id="633" name="Straight Connector 632">
          <a:extLst>
            <a:ext uri="{FF2B5EF4-FFF2-40B4-BE49-F238E27FC236}">
              <a16:creationId xmlns:a16="http://schemas.microsoft.com/office/drawing/2014/main" id="{B8786D43-65AF-4656-908E-D2BEA620F362}"/>
            </a:ext>
          </a:extLst>
        </xdr:cNvPr>
        <xdr:cNvCxnSpPr/>
      </xdr:nvCxnSpPr>
      <xdr:spPr>
        <a:xfrm flipV="1">
          <a:off x="1204872" y="30196085"/>
          <a:ext cx="676275" cy="1189760"/>
        </a:xfrm>
        <a:prstGeom prst="line">
          <a:avLst/>
        </a:prstGeom>
        <a:ln w="76200"/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461922</xdr:colOff>
      <xdr:row>199</xdr:row>
      <xdr:rowOff>50697</xdr:rowOff>
    </xdr:from>
    <xdr:to>
      <xdr:col>4</xdr:col>
      <xdr:colOff>267340</xdr:colOff>
      <xdr:row>207</xdr:row>
      <xdr:rowOff>49090</xdr:rowOff>
    </xdr:to>
    <xdr:cxnSp macro="">
      <xdr:nvCxnSpPr>
        <xdr:cNvPr id="634" name="Straight Connector 633">
          <a:extLst>
            <a:ext uri="{FF2B5EF4-FFF2-40B4-BE49-F238E27FC236}">
              <a16:creationId xmlns:a16="http://schemas.microsoft.com/office/drawing/2014/main" id="{CC12357D-4B65-4243-893F-B0A2304FDA1A}"/>
            </a:ext>
          </a:extLst>
        </xdr:cNvPr>
        <xdr:cNvCxnSpPr/>
      </xdr:nvCxnSpPr>
      <xdr:spPr>
        <a:xfrm flipV="1">
          <a:off x="652422" y="29836733"/>
          <a:ext cx="676275" cy="1195821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109338</xdr:colOff>
      <xdr:row>80</xdr:row>
      <xdr:rowOff>120669</xdr:rowOff>
    </xdr:from>
    <xdr:to>
      <xdr:col>21</xdr:col>
      <xdr:colOff>221396</xdr:colOff>
      <xdr:row>88</xdr:row>
      <xdr:rowOff>81934</xdr:rowOff>
    </xdr:to>
    <xdr:cxnSp macro="">
      <xdr:nvCxnSpPr>
        <xdr:cNvPr id="635" name="Straight Connector 634">
          <a:extLst>
            <a:ext uri="{FF2B5EF4-FFF2-40B4-BE49-F238E27FC236}">
              <a16:creationId xmlns:a16="http://schemas.microsoft.com/office/drawing/2014/main" id="{E22BA53D-4286-4200-8CD2-50162790F926}"/>
            </a:ext>
          </a:extLst>
        </xdr:cNvPr>
        <xdr:cNvCxnSpPr>
          <a:cxnSpLocks/>
        </xdr:cNvCxnSpPr>
      </xdr:nvCxnSpPr>
      <xdr:spPr>
        <a:xfrm flipH="1">
          <a:off x="7266695" y="12312669"/>
          <a:ext cx="493058" cy="1158694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197939</xdr:colOff>
      <xdr:row>73</xdr:row>
      <xdr:rowOff>48069</xdr:rowOff>
    </xdr:from>
    <xdr:to>
      <xdr:col>21</xdr:col>
      <xdr:colOff>124465</xdr:colOff>
      <xdr:row>89</xdr:row>
      <xdr:rowOff>78283</xdr:rowOff>
    </xdr:to>
    <xdr:cxnSp macro="">
      <xdr:nvCxnSpPr>
        <xdr:cNvPr id="636" name="Straight Connector 635">
          <a:extLst>
            <a:ext uri="{FF2B5EF4-FFF2-40B4-BE49-F238E27FC236}">
              <a16:creationId xmlns:a16="http://schemas.microsoft.com/office/drawing/2014/main" id="{5F457E13-6D43-4F69-AAF5-764C130D28AF}"/>
            </a:ext>
          </a:extLst>
        </xdr:cNvPr>
        <xdr:cNvCxnSpPr/>
      </xdr:nvCxnSpPr>
      <xdr:spPr>
        <a:xfrm flipH="1" flipV="1">
          <a:off x="1640296" y="11192319"/>
          <a:ext cx="6022526" cy="2425071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353065</xdr:colOff>
      <xdr:row>8</xdr:row>
      <xdr:rowOff>154992</xdr:rowOff>
    </xdr:from>
    <xdr:to>
      <xdr:col>9</xdr:col>
      <xdr:colOff>150614</xdr:colOff>
      <xdr:row>20</xdr:row>
      <xdr:rowOff>98962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207F0519-2561-4033-8FAD-BC6691CD5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771" y="1410051"/>
          <a:ext cx="2576608" cy="1826558"/>
        </a:xfrm>
        <a:prstGeom prst="rect">
          <a:avLst/>
        </a:prstGeom>
      </xdr:spPr>
    </xdr:pic>
    <xdr:clientData/>
  </xdr:twoCellAnchor>
  <xdr:twoCellAnchor editAs="oneCell">
    <xdr:from>
      <xdr:col>19</xdr:col>
      <xdr:colOff>372179</xdr:colOff>
      <xdr:row>2</xdr:row>
      <xdr:rowOff>69542</xdr:rowOff>
    </xdr:from>
    <xdr:to>
      <xdr:col>21</xdr:col>
      <xdr:colOff>82347</xdr:colOff>
      <xdr:row>5</xdr:row>
      <xdr:rowOff>103465</xdr:rowOff>
    </xdr:to>
    <xdr:pic>
      <xdr:nvPicPr>
        <xdr:cNvPr id="638" name="Picture 624" descr="c.jpg">
          <a:extLst>
            <a:ext uri="{FF2B5EF4-FFF2-40B4-BE49-F238E27FC236}">
              <a16:creationId xmlns:a16="http://schemas.microsoft.com/office/drawing/2014/main" id="{999A3BB8-0667-4BCA-ADB6-F99434BC5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7920" y="397990"/>
          <a:ext cx="472168" cy="4871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313848</xdr:colOff>
      <xdr:row>11</xdr:row>
      <xdr:rowOff>6569</xdr:rowOff>
    </xdr:from>
    <xdr:to>
      <xdr:col>18</xdr:col>
      <xdr:colOff>315311</xdr:colOff>
      <xdr:row>46</xdr:row>
      <xdr:rowOff>10192</xdr:rowOff>
    </xdr:to>
    <xdr:cxnSp macro="">
      <xdr:nvCxnSpPr>
        <xdr:cNvPr id="639" name="Straight Connector 638">
          <a:extLst>
            <a:ext uri="{FF2B5EF4-FFF2-40B4-BE49-F238E27FC236}">
              <a16:creationId xmlns:a16="http://schemas.microsoft.com/office/drawing/2014/main" id="{20905E8E-057D-4EA2-B1F0-519272064C48}"/>
            </a:ext>
          </a:extLst>
        </xdr:cNvPr>
        <xdr:cNvCxnSpPr/>
      </xdr:nvCxnSpPr>
      <xdr:spPr>
        <a:xfrm flipH="1">
          <a:off x="4051589" y="1694793"/>
          <a:ext cx="2668463" cy="5324485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124950</xdr:colOff>
      <xdr:row>27</xdr:row>
      <xdr:rowOff>17316</xdr:rowOff>
    </xdr:from>
    <xdr:to>
      <xdr:col>14</xdr:col>
      <xdr:colOff>250178</xdr:colOff>
      <xdr:row>28</xdr:row>
      <xdr:rowOff>15323</xdr:rowOff>
    </xdr:to>
    <xdr:grpSp>
      <xdr:nvGrpSpPr>
        <xdr:cNvPr id="640" name="Group 639">
          <a:extLst>
            <a:ext uri="{FF2B5EF4-FFF2-40B4-BE49-F238E27FC236}">
              <a16:creationId xmlns:a16="http://schemas.microsoft.com/office/drawing/2014/main" id="{BD6E41B3-465F-43B0-817B-B437447809ED}"/>
            </a:ext>
          </a:extLst>
        </xdr:cNvPr>
        <xdr:cNvGrpSpPr/>
      </xdr:nvGrpSpPr>
      <xdr:grpSpPr>
        <a:xfrm rot="19846558">
          <a:off x="5011689" y="4092359"/>
          <a:ext cx="125228" cy="1470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1" name="Oval 640">
            <a:extLst>
              <a:ext uri="{FF2B5EF4-FFF2-40B4-BE49-F238E27FC236}">
                <a16:creationId xmlns:a16="http://schemas.microsoft.com/office/drawing/2014/main" id="{3E4B27D1-3B05-116D-4EB2-00D5479B99B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2" name="Straight Connector 641">
            <a:extLst>
              <a:ext uri="{FF2B5EF4-FFF2-40B4-BE49-F238E27FC236}">
                <a16:creationId xmlns:a16="http://schemas.microsoft.com/office/drawing/2014/main" id="{5D7C358A-9611-A4D4-1032-B15977787F82}"/>
              </a:ext>
            </a:extLst>
          </xdr:cNvPr>
          <xdr:cNvCxnSpPr>
            <a:stCxn id="641" idx="1"/>
            <a:endCxn id="64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3" name="Straight Connector 642">
            <a:extLst>
              <a:ext uri="{FF2B5EF4-FFF2-40B4-BE49-F238E27FC236}">
                <a16:creationId xmlns:a16="http://schemas.microsoft.com/office/drawing/2014/main" id="{62F67FD8-DB98-A4AE-F45B-BC66BFA76306}"/>
              </a:ext>
            </a:extLst>
          </xdr:cNvPr>
          <xdr:cNvCxnSpPr>
            <a:stCxn id="641" idx="3"/>
            <a:endCxn id="64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376597</xdr:colOff>
      <xdr:row>23</xdr:row>
      <xdr:rowOff>126569</xdr:rowOff>
    </xdr:from>
    <xdr:to>
      <xdr:col>15</xdr:col>
      <xdr:colOff>120825</xdr:colOff>
      <xdr:row>24</xdr:row>
      <xdr:rowOff>130761</xdr:rowOff>
    </xdr:to>
    <xdr:grpSp>
      <xdr:nvGrpSpPr>
        <xdr:cNvPr id="644" name="Group 643">
          <a:extLst>
            <a:ext uri="{FF2B5EF4-FFF2-40B4-BE49-F238E27FC236}">
              <a16:creationId xmlns:a16="http://schemas.microsoft.com/office/drawing/2014/main" id="{DAB5566C-326D-4730-A1ED-C90A0789829D}"/>
            </a:ext>
          </a:extLst>
        </xdr:cNvPr>
        <xdr:cNvGrpSpPr/>
      </xdr:nvGrpSpPr>
      <xdr:grpSpPr>
        <a:xfrm rot="19846558">
          <a:off x="5263336" y="3605265"/>
          <a:ext cx="125228" cy="1532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5" name="Oval 644">
            <a:extLst>
              <a:ext uri="{FF2B5EF4-FFF2-40B4-BE49-F238E27FC236}">
                <a16:creationId xmlns:a16="http://schemas.microsoft.com/office/drawing/2014/main" id="{3514497D-FB18-111E-8B43-BAEFB26C820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6" name="Straight Connector 645">
            <a:extLst>
              <a:ext uri="{FF2B5EF4-FFF2-40B4-BE49-F238E27FC236}">
                <a16:creationId xmlns:a16="http://schemas.microsoft.com/office/drawing/2014/main" id="{8CF63C61-4595-D786-B118-F49B8A7573CF}"/>
              </a:ext>
            </a:extLst>
          </xdr:cNvPr>
          <xdr:cNvCxnSpPr>
            <a:stCxn id="645" idx="1"/>
            <a:endCxn id="6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7" name="Straight Connector 646">
            <a:extLst>
              <a:ext uri="{FF2B5EF4-FFF2-40B4-BE49-F238E27FC236}">
                <a16:creationId xmlns:a16="http://schemas.microsoft.com/office/drawing/2014/main" id="{E19F0D9E-63EE-8C6A-E3BF-2A5FE3E586A2}"/>
              </a:ext>
            </a:extLst>
          </xdr:cNvPr>
          <xdr:cNvCxnSpPr>
            <a:stCxn id="645" idx="3"/>
            <a:endCxn id="6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78523</xdr:colOff>
      <xdr:row>17</xdr:row>
      <xdr:rowOff>81136</xdr:rowOff>
    </xdr:from>
    <xdr:to>
      <xdr:col>16</xdr:col>
      <xdr:colOff>203751</xdr:colOff>
      <xdr:row>18</xdr:row>
      <xdr:rowOff>78124</xdr:rowOff>
    </xdr:to>
    <xdr:grpSp>
      <xdr:nvGrpSpPr>
        <xdr:cNvPr id="648" name="Group 647">
          <a:extLst>
            <a:ext uri="{FF2B5EF4-FFF2-40B4-BE49-F238E27FC236}">
              <a16:creationId xmlns:a16="http://schemas.microsoft.com/office/drawing/2014/main" id="{87F67684-186E-4D90-98AF-211EF95CD86E}"/>
            </a:ext>
          </a:extLst>
        </xdr:cNvPr>
        <xdr:cNvGrpSpPr/>
      </xdr:nvGrpSpPr>
      <xdr:grpSpPr>
        <a:xfrm rot="19846558">
          <a:off x="5727262" y="2665310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9" name="Oval 648">
            <a:extLst>
              <a:ext uri="{FF2B5EF4-FFF2-40B4-BE49-F238E27FC236}">
                <a16:creationId xmlns:a16="http://schemas.microsoft.com/office/drawing/2014/main" id="{235922C7-2470-BE3B-829C-02ABE1A186D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50" name="Straight Connector 649">
            <a:extLst>
              <a:ext uri="{FF2B5EF4-FFF2-40B4-BE49-F238E27FC236}">
                <a16:creationId xmlns:a16="http://schemas.microsoft.com/office/drawing/2014/main" id="{A1C76158-BE94-A029-9148-7BE9BA2E7757}"/>
              </a:ext>
            </a:extLst>
          </xdr:cNvPr>
          <xdr:cNvCxnSpPr>
            <a:stCxn id="649" idx="1"/>
            <a:endCxn id="6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1" name="Straight Connector 650">
            <a:extLst>
              <a:ext uri="{FF2B5EF4-FFF2-40B4-BE49-F238E27FC236}">
                <a16:creationId xmlns:a16="http://schemas.microsoft.com/office/drawing/2014/main" id="{563B8A70-D906-CB78-BFBF-60F1EEBD2773}"/>
              </a:ext>
            </a:extLst>
          </xdr:cNvPr>
          <xdr:cNvCxnSpPr>
            <a:stCxn id="649" idx="3"/>
            <a:endCxn id="6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232967</xdr:colOff>
      <xdr:row>18</xdr:row>
      <xdr:rowOff>72845</xdr:rowOff>
    </xdr:from>
    <xdr:to>
      <xdr:col>16</xdr:col>
      <xdr:colOff>126747</xdr:colOff>
      <xdr:row>42</xdr:row>
      <xdr:rowOff>90644</xdr:rowOff>
    </xdr:to>
    <xdr:cxnSp macro="">
      <xdr:nvCxnSpPr>
        <xdr:cNvPr id="652" name="Straight Connector 651">
          <a:extLst>
            <a:ext uri="{FF2B5EF4-FFF2-40B4-BE49-F238E27FC236}">
              <a16:creationId xmlns:a16="http://schemas.microsoft.com/office/drawing/2014/main" id="{4B9C4BEB-B20C-4363-BB64-717616F2E543}"/>
            </a:ext>
          </a:extLst>
        </xdr:cNvPr>
        <xdr:cNvCxnSpPr>
          <a:endCxn id="649" idx="3"/>
        </xdr:cNvCxnSpPr>
      </xdr:nvCxnSpPr>
      <xdr:spPr>
        <a:xfrm flipV="1">
          <a:off x="3961324" y="2807881"/>
          <a:ext cx="1798780" cy="363729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224201</xdr:colOff>
      <xdr:row>20</xdr:row>
      <xdr:rowOff>132290</xdr:rowOff>
    </xdr:from>
    <xdr:to>
      <xdr:col>15</xdr:col>
      <xdr:colOff>349429</xdr:colOff>
      <xdr:row>21</xdr:row>
      <xdr:rowOff>129279</xdr:rowOff>
    </xdr:to>
    <xdr:grpSp>
      <xdr:nvGrpSpPr>
        <xdr:cNvPr id="653" name="Group 652">
          <a:extLst>
            <a:ext uri="{FF2B5EF4-FFF2-40B4-BE49-F238E27FC236}">
              <a16:creationId xmlns:a16="http://schemas.microsoft.com/office/drawing/2014/main" id="{E584AA49-126F-43EE-88D2-F2EE627EF688}"/>
            </a:ext>
          </a:extLst>
        </xdr:cNvPr>
        <xdr:cNvGrpSpPr/>
      </xdr:nvGrpSpPr>
      <xdr:grpSpPr>
        <a:xfrm rot="19846558">
          <a:off x="5491940" y="3163725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54" name="Oval 653">
            <a:extLst>
              <a:ext uri="{FF2B5EF4-FFF2-40B4-BE49-F238E27FC236}">
                <a16:creationId xmlns:a16="http://schemas.microsoft.com/office/drawing/2014/main" id="{87B97FE9-EECD-6636-8407-3B5068D3BF5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55" name="Straight Connector 654">
            <a:extLst>
              <a:ext uri="{FF2B5EF4-FFF2-40B4-BE49-F238E27FC236}">
                <a16:creationId xmlns:a16="http://schemas.microsoft.com/office/drawing/2014/main" id="{F2B58910-5476-1C00-021B-484B3466A1AB}"/>
              </a:ext>
            </a:extLst>
          </xdr:cNvPr>
          <xdr:cNvCxnSpPr>
            <a:stCxn id="654" idx="1"/>
            <a:endCxn id="65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6" name="Straight Connector 655">
            <a:extLst>
              <a:ext uri="{FF2B5EF4-FFF2-40B4-BE49-F238E27FC236}">
                <a16:creationId xmlns:a16="http://schemas.microsoft.com/office/drawing/2014/main" id="{5266BEB2-6383-1258-DB97-4828C90B1503}"/>
              </a:ext>
            </a:extLst>
          </xdr:cNvPr>
          <xdr:cNvCxnSpPr>
            <a:stCxn id="654" idx="3"/>
            <a:endCxn id="65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202173</xdr:colOff>
      <xdr:row>14</xdr:row>
      <xdr:rowOff>86541</xdr:rowOff>
    </xdr:from>
    <xdr:to>
      <xdr:col>13</xdr:col>
      <xdr:colOff>327401</xdr:colOff>
      <xdr:row>15</xdr:row>
      <xdr:rowOff>83531</xdr:rowOff>
    </xdr:to>
    <xdr:grpSp>
      <xdr:nvGrpSpPr>
        <xdr:cNvPr id="657" name="Group 656">
          <a:extLst>
            <a:ext uri="{FF2B5EF4-FFF2-40B4-BE49-F238E27FC236}">
              <a16:creationId xmlns:a16="http://schemas.microsoft.com/office/drawing/2014/main" id="{B1926EBC-AB0F-4BF3-8C72-9A23D8260A4B}"/>
            </a:ext>
          </a:extLst>
        </xdr:cNvPr>
        <xdr:cNvGrpSpPr/>
      </xdr:nvGrpSpPr>
      <xdr:grpSpPr>
        <a:xfrm rot="19846558">
          <a:off x="4707912" y="2223454"/>
          <a:ext cx="125228" cy="1460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58" name="Oval 657">
            <a:extLst>
              <a:ext uri="{FF2B5EF4-FFF2-40B4-BE49-F238E27FC236}">
                <a16:creationId xmlns:a16="http://schemas.microsoft.com/office/drawing/2014/main" id="{AE44904E-8850-D8C5-AB22-8CEEF23D12F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59" name="Straight Connector 658">
            <a:extLst>
              <a:ext uri="{FF2B5EF4-FFF2-40B4-BE49-F238E27FC236}">
                <a16:creationId xmlns:a16="http://schemas.microsoft.com/office/drawing/2014/main" id="{3E0FEDA8-8302-7A66-AE07-926F16D55009}"/>
              </a:ext>
            </a:extLst>
          </xdr:cNvPr>
          <xdr:cNvCxnSpPr>
            <a:stCxn id="658" idx="1"/>
            <a:endCxn id="65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0" name="Straight Connector 659">
            <a:extLst>
              <a:ext uri="{FF2B5EF4-FFF2-40B4-BE49-F238E27FC236}">
                <a16:creationId xmlns:a16="http://schemas.microsoft.com/office/drawing/2014/main" id="{822E7053-8050-F9BA-738A-A59A3ECF3099}"/>
              </a:ext>
            </a:extLst>
          </xdr:cNvPr>
          <xdr:cNvCxnSpPr>
            <a:stCxn id="658" idx="3"/>
            <a:endCxn id="65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362078</xdr:colOff>
      <xdr:row>41</xdr:row>
      <xdr:rowOff>27011</xdr:rowOff>
    </xdr:from>
    <xdr:to>
      <xdr:col>11</xdr:col>
      <xdr:colOff>350873</xdr:colOff>
      <xdr:row>46</xdr:row>
      <xdr:rowOff>24320</xdr:rowOff>
    </xdr:to>
    <xdr:cxnSp macro="">
      <xdr:nvCxnSpPr>
        <xdr:cNvPr id="661" name="Straight Connector 660">
          <a:extLst>
            <a:ext uri="{FF2B5EF4-FFF2-40B4-BE49-F238E27FC236}">
              <a16:creationId xmlns:a16="http://schemas.microsoft.com/office/drawing/2014/main" id="{633A51A7-9089-4EDC-880C-57D717FD0CB4}"/>
            </a:ext>
          </a:extLst>
        </xdr:cNvPr>
        <xdr:cNvCxnSpPr/>
      </xdr:nvCxnSpPr>
      <xdr:spPr>
        <a:xfrm flipH="1" flipV="1">
          <a:off x="2566435" y="6231868"/>
          <a:ext cx="1512795" cy="745702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280228</xdr:colOff>
      <xdr:row>30</xdr:row>
      <xdr:rowOff>27070</xdr:rowOff>
    </xdr:from>
    <xdr:to>
      <xdr:col>14</xdr:col>
      <xdr:colOff>24456</xdr:colOff>
      <xdr:row>31</xdr:row>
      <xdr:rowOff>25077</xdr:rowOff>
    </xdr:to>
    <xdr:grpSp>
      <xdr:nvGrpSpPr>
        <xdr:cNvPr id="662" name="Group 661">
          <a:extLst>
            <a:ext uri="{FF2B5EF4-FFF2-40B4-BE49-F238E27FC236}">
              <a16:creationId xmlns:a16="http://schemas.microsoft.com/office/drawing/2014/main" id="{A7BDE967-21AC-41C0-B6F1-F7576386152E}"/>
            </a:ext>
          </a:extLst>
        </xdr:cNvPr>
        <xdr:cNvGrpSpPr/>
      </xdr:nvGrpSpPr>
      <xdr:grpSpPr>
        <a:xfrm rot="19846558">
          <a:off x="4785967" y="4541092"/>
          <a:ext cx="125228" cy="1470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3" name="Oval 662">
            <a:extLst>
              <a:ext uri="{FF2B5EF4-FFF2-40B4-BE49-F238E27FC236}">
                <a16:creationId xmlns:a16="http://schemas.microsoft.com/office/drawing/2014/main" id="{6D2CA263-C644-D9A2-25A5-D2C16A09A8D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64" name="Straight Connector 663">
            <a:extLst>
              <a:ext uri="{FF2B5EF4-FFF2-40B4-BE49-F238E27FC236}">
                <a16:creationId xmlns:a16="http://schemas.microsoft.com/office/drawing/2014/main" id="{994399A9-DB23-BF55-87A8-75AE7D8E6A94}"/>
              </a:ext>
            </a:extLst>
          </xdr:cNvPr>
          <xdr:cNvCxnSpPr>
            <a:stCxn id="663" idx="1"/>
            <a:endCxn id="6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5" name="Straight Connector 664">
            <a:extLst>
              <a:ext uri="{FF2B5EF4-FFF2-40B4-BE49-F238E27FC236}">
                <a16:creationId xmlns:a16="http://schemas.microsoft.com/office/drawing/2014/main" id="{82FEC0DA-9FA1-BBEA-5140-02625D70156E}"/>
              </a:ext>
            </a:extLst>
          </xdr:cNvPr>
          <xdr:cNvCxnSpPr>
            <a:stCxn id="663" idx="3"/>
            <a:endCxn id="6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11286</xdr:colOff>
      <xdr:row>33</xdr:row>
      <xdr:rowOff>124067</xdr:rowOff>
    </xdr:from>
    <xdr:to>
      <xdr:col>13</xdr:col>
      <xdr:colOff>136514</xdr:colOff>
      <xdr:row>34</xdr:row>
      <xdr:rowOff>121055</xdr:rowOff>
    </xdr:to>
    <xdr:grpSp>
      <xdr:nvGrpSpPr>
        <xdr:cNvPr id="666" name="Group 665">
          <a:extLst>
            <a:ext uri="{FF2B5EF4-FFF2-40B4-BE49-F238E27FC236}">
              <a16:creationId xmlns:a16="http://schemas.microsoft.com/office/drawing/2014/main" id="{E81490A8-7346-4E75-95A1-54C0E7904CA0}"/>
            </a:ext>
          </a:extLst>
        </xdr:cNvPr>
        <xdr:cNvGrpSpPr/>
      </xdr:nvGrpSpPr>
      <xdr:grpSpPr>
        <a:xfrm rot="19846558">
          <a:off x="4517025" y="5085350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7" name="Oval 666">
            <a:extLst>
              <a:ext uri="{FF2B5EF4-FFF2-40B4-BE49-F238E27FC236}">
                <a16:creationId xmlns:a16="http://schemas.microsoft.com/office/drawing/2014/main" id="{B7AB0F9C-DBD0-1C05-835D-A39413FD8A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68" name="Straight Connector 667">
            <a:extLst>
              <a:ext uri="{FF2B5EF4-FFF2-40B4-BE49-F238E27FC236}">
                <a16:creationId xmlns:a16="http://schemas.microsoft.com/office/drawing/2014/main" id="{651C24F7-25E4-C126-9083-AA75D6EB9543}"/>
              </a:ext>
            </a:extLst>
          </xdr:cNvPr>
          <xdr:cNvCxnSpPr>
            <a:stCxn id="667" idx="1"/>
            <a:endCxn id="66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9" name="Straight Connector 668">
            <a:extLst>
              <a:ext uri="{FF2B5EF4-FFF2-40B4-BE49-F238E27FC236}">
                <a16:creationId xmlns:a16="http://schemas.microsoft.com/office/drawing/2014/main" id="{070B9636-E90B-80EC-A246-330D03378B5A}"/>
              </a:ext>
            </a:extLst>
          </xdr:cNvPr>
          <xdr:cNvCxnSpPr>
            <a:stCxn id="667" idx="3"/>
            <a:endCxn id="66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134552</xdr:colOff>
      <xdr:row>37</xdr:row>
      <xdr:rowOff>46571</xdr:rowOff>
    </xdr:from>
    <xdr:to>
      <xdr:col>12</xdr:col>
      <xdr:colOff>259780</xdr:colOff>
      <xdr:row>38</xdr:row>
      <xdr:rowOff>29953</xdr:rowOff>
    </xdr:to>
    <xdr:grpSp>
      <xdr:nvGrpSpPr>
        <xdr:cNvPr id="670" name="Group 669">
          <a:extLst>
            <a:ext uri="{FF2B5EF4-FFF2-40B4-BE49-F238E27FC236}">
              <a16:creationId xmlns:a16="http://schemas.microsoft.com/office/drawing/2014/main" id="{D4F15002-55A2-4AEF-B73C-EC20C45E7CEC}"/>
            </a:ext>
          </a:extLst>
        </xdr:cNvPr>
        <xdr:cNvGrpSpPr/>
      </xdr:nvGrpSpPr>
      <xdr:grpSpPr>
        <a:xfrm rot="19846558">
          <a:off x="4259291" y="5620767"/>
          <a:ext cx="125228" cy="1490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1" name="Oval 670">
            <a:extLst>
              <a:ext uri="{FF2B5EF4-FFF2-40B4-BE49-F238E27FC236}">
                <a16:creationId xmlns:a16="http://schemas.microsoft.com/office/drawing/2014/main" id="{8F55F3DF-2DE8-E866-690D-00209E87833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2" name="Straight Connector 671">
            <a:extLst>
              <a:ext uri="{FF2B5EF4-FFF2-40B4-BE49-F238E27FC236}">
                <a16:creationId xmlns:a16="http://schemas.microsoft.com/office/drawing/2014/main" id="{B0D02E1A-7F5F-6EC9-AFC2-B6A78A6952A2}"/>
              </a:ext>
            </a:extLst>
          </xdr:cNvPr>
          <xdr:cNvCxnSpPr>
            <a:stCxn id="671" idx="1"/>
            <a:endCxn id="67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3" name="Straight Connector 672">
            <a:extLst>
              <a:ext uri="{FF2B5EF4-FFF2-40B4-BE49-F238E27FC236}">
                <a16:creationId xmlns:a16="http://schemas.microsoft.com/office/drawing/2014/main" id="{4C76B535-05E8-47D7-7153-0F59BC96791C}"/>
              </a:ext>
            </a:extLst>
          </xdr:cNvPr>
          <xdr:cNvCxnSpPr>
            <a:stCxn id="671" idx="3"/>
            <a:endCxn id="67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246609</xdr:colOff>
      <xdr:row>40</xdr:row>
      <xdr:rowOff>62724</xdr:rowOff>
    </xdr:from>
    <xdr:to>
      <xdr:col>11</xdr:col>
      <xdr:colOff>371837</xdr:colOff>
      <xdr:row>41</xdr:row>
      <xdr:rowOff>59712</xdr:rowOff>
    </xdr:to>
    <xdr:grpSp>
      <xdr:nvGrpSpPr>
        <xdr:cNvPr id="674" name="Group 673">
          <a:extLst>
            <a:ext uri="{FF2B5EF4-FFF2-40B4-BE49-F238E27FC236}">
              <a16:creationId xmlns:a16="http://schemas.microsoft.com/office/drawing/2014/main" id="{F178A1C0-8372-40DA-8A47-AE49D68CB430}"/>
            </a:ext>
          </a:extLst>
        </xdr:cNvPr>
        <xdr:cNvGrpSpPr/>
      </xdr:nvGrpSpPr>
      <xdr:grpSpPr>
        <a:xfrm rot="19846558">
          <a:off x="3990348" y="6100746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75" name="Oval 674">
            <a:extLst>
              <a:ext uri="{FF2B5EF4-FFF2-40B4-BE49-F238E27FC236}">
                <a16:creationId xmlns:a16="http://schemas.microsoft.com/office/drawing/2014/main" id="{1E87D3DB-8C6E-B1D4-2A10-10E9B48F2C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6" name="Straight Connector 675">
            <a:extLst>
              <a:ext uri="{FF2B5EF4-FFF2-40B4-BE49-F238E27FC236}">
                <a16:creationId xmlns:a16="http://schemas.microsoft.com/office/drawing/2014/main" id="{EC2DE74E-1347-3AB0-F401-E82CE12932D2}"/>
              </a:ext>
            </a:extLst>
          </xdr:cNvPr>
          <xdr:cNvCxnSpPr>
            <a:stCxn id="675" idx="1"/>
            <a:endCxn id="67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7" name="Straight Connector 676">
            <a:extLst>
              <a:ext uri="{FF2B5EF4-FFF2-40B4-BE49-F238E27FC236}">
                <a16:creationId xmlns:a16="http://schemas.microsoft.com/office/drawing/2014/main" id="{3374EB53-834C-3C61-B6BF-8068AC2F8D40}"/>
              </a:ext>
            </a:extLst>
          </xdr:cNvPr>
          <xdr:cNvCxnSpPr>
            <a:stCxn id="675" idx="3"/>
            <a:endCxn id="67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150141</xdr:colOff>
      <xdr:row>30</xdr:row>
      <xdr:rowOff>76960</xdr:rowOff>
    </xdr:from>
    <xdr:to>
      <xdr:col>13</xdr:col>
      <xdr:colOff>278710</xdr:colOff>
      <xdr:row>42</xdr:row>
      <xdr:rowOff>25887</xdr:rowOff>
    </xdr:to>
    <xdr:cxnSp macro="">
      <xdr:nvCxnSpPr>
        <xdr:cNvPr id="678" name="Straight Connector 677">
          <a:extLst>
            <a:ext uri="{FF2B5EF4-FFF2-40B4-BE49-F238E27FC236}">
              <a16:creationId xmlns:a16="http://schemas.microsoft.com/office/drawing/2014/main" id="{EA92CA93-97A3-484C-8325-A773FB8A877C}"/>
            </a:ext>
          </a:extLst>
        </xdr:cNvPr>
        <xdr:cNvCxnSpPr>
          <a:endCxn id="663" idx="1"/>
        </xdr:cNvCxnSpPr>
      </xdr:nvCxnSpPr>
      <xdr:spPr>
        <a:xfrm flipV="1">
          <a:off x="3878498" y="4608139"/>
          <a:ext cx="890569" cy="1772284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254798</xdr:colOff>
      <xdr:row>37</xdr:row>
      <xdr:rowOff>127011</xdr:rowOff>
    </xdr:from>
    <xdr:ext cx="264560" cy="348172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FB05A8A2-B774-4650-A609-B8F39A6D5252}"/>
            </a:ext>
          </a:extLst>
        </xdr:cNvPr>
        <xdr:cNvSpPr txBox="1"/>
      </xdr:nvSpPr>
      <xdr:spPr>
        <a:xfrm rot="18098557">
          <a:off x="3941349" y="5761353"/>
          <a:ext cx="348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///</a:t>
          </a:r>
        </a:p>
      </xdr:txBody>
    </xdr:sp>
    <xdr:clientData/>
  </xdr:oneCellAnchor>
  <xdr:oneCellAnchor>
    <xdr:from>
      <xdr:col>12</xdr:col>
      <xdr:colOff>378063</xdr:colOff>
      <xdr:row>31</xdr:row>
      <xdr:rowOff>26085</xdr:rowOff>
    </xdr:from>
    <xdr:ext cx="264560" cy="348172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8B21E3E5-0209-45BC-9B22-D074868DB5AC}"/>
            </a:ext>
          </a:extLst>
        </xdr:cNvPr>
        <xdr:cNvSpPr txBox="1"/>
      </xdr:nvSpPr>
      <xdr:spPr>
        <a:xfrm rot="18270659">
          <a:off x="4445614" y="4748748"/>
          <a:ext cx="348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///</a:t>
          </a:r>
        </a:p>
      </xdr:txBody>
    </xdr:sp>
    <xdr:clientData/>
  </xdr:oneCellAnchor>
  <xdr:oneCellAnchor>
    <xdr:from>
      <xdr:col>12</xdr:col>
      <xdr:colOff>123344</xdr:colOff>
      <xdr:row>34</xdr:row>
      <xdr:rowOff>96634</xdr:rowOff>
    </xdr:from>
    <xdr:ext cx="264560" cy="348172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CD024AC4-D7DC-4D8D-92DC-EF9E16F79F47}"/>
            </a:ext>
          </a:extLst>
        </xdr:cNvPr>
        <xdr:cNvSpPr txBox="1"/>
      </xdr:nvSpPr>
      <xdr:spPr>
        <a:xfrm rot="18270659">
          <a:off x="4190895" y="5268333"/>
          <a:ext cx="3481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///</a:t>
          </a:r>
        </a:p>
      </xdr:txBody>
    </xdr:sp>
    <xdr:clientData/>
  </xdr:oneCellAnchor>
  <xdr:twoCellAnchor>
    <xdr:from>
      <xdr:col>5</xdr:col>
      <xdr:colOff>365489</xdr:colOff>
      <xdr:row>71</xdr:row>
      <xdr:rowOff>136895</xdr:rowOff>
    </xdr:from>
    <xdr:to>
      <xdr:col>20</xdr:col>
      <xdr:colOff>44729</xdr:colOff>
      <xdr:row>86</xdr:row>
      <xdr:rowOff>42818</xdr:rowOff>
    </xdr:to>
    <xdr:cxnSp macro="">
      <xdr:nvCxnSpPr>
        <xdr:cNvPr id="685" name="Straight Connector 684">
          <a:extLst>
            <a:ext uri="{FF2B5EF4-FFF2-40B4-BE49-F238E27FC236}">
              <a16:creationId xmlns:a16="http://schemas.microsoft.com/office/drawing/2014/main" id="{C6403913-1221-4EA8-896C-FD4A94F4F4A9}"/>
            </a:ext>
          </a:extLst>
        </xdr:cNvPr>
        <xdr:cNvCxnSpPr>
          <a:stCxn id="721" idx="7"/>
        </xdr:cNvCxnSpPr>
      </xdr:nvCxnSpPr>
      <xdr:spPr>
        <a:xfrm flipH="1" flipV="1">
          <a:off x="1807846" y="10981788"/>
          <a:ext cx="5394240" cy="215110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156661</xdr:colOff>
      <xdr:row>77</xdr:row>
      <xdr:rowOff>149126</xdr:rowOff>
    </xdr:from>
    <xdr:to>
      <xdr:col>13</xdr:col>
      <xdr:colOff>271425</xdr:colOff>
      <xdr:row>78</xdr:row>
      <xdr:rowOff>139260</xdr:rowOff>
    </xdr:to>
    <xdr:sp macro="" textlink="">
      <xdr:nvSpPr>
        <xdr:cNvPr id="686" name="Isosceles Triangle 685">
          <a:extLst>
            <a:ext uri="{FF2B5EF4-FFF2-40B4-BE49-F238E27FC236}">
              <a16:creationId xmlns:a16="http://schemas.microsoft.com/office/drawing/2014/main" id="{87BEDFB1-4E80-4E49-A3A8-5216C40A0A74}"/>
            </a:ext>
          </a:extLst>
        </xdr:cNvPr>
        <xdr:cNvSpPr/>
      </xdr:nvSpPr>
      <xdr:spPr>
        <a:xfrm>
          <a:off x="4647018" y="11892090"/>
          <a:ext cx="114764" cy="139813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329434</xdr:colOff>
      <xdr:row>84</xdr:row>
      <xdr:rowOff>64851</xdr:rowOff>
    </xdr:from>
    <xdr:to>
      <xdr:col>18</xdr:col>
      <xdr:colOff>73662</xdr:colOff>
      <xdr:row>85</xdr:row>
      <xdr:rowOff>61838</xdr:rowOff>
    </xdr:to>
    <xdr:grpSp>
      <xdr:nvGrpSpPr>
        <xdr:cNvPr id="687" name="Group 686">
          <a:extLst>
            <a:ext uri="{FF2B5EF4-FFF2-40B4-BE49-F238E27FC236}">
              <a16:creationId xmlns:a16="http://schemas.microsoft.com/office/drawing/2014/main" id="{24B720B1-7AF8-4BDF-A338-4ED80D1766D1}"/>
            </a:ext>
          </a:extLst>
        </xdr:cNvPr>
        <xdr:cNvGrpSpPr/>
      </xdr:nvGrpSpPr>
      <xdr:grpSpPr>
        <a:xfrm rot="19846558">
          <a:off x="6359173" y="12828351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88" name="Oval 687">
            <a:extLst>
              <a:ext uri="{FF2B5EF4-FFF2-40B4-BE49-F238E27FC236}">
                <a16:creationId xmlns:a16="http://schemas.microsoft.com/office/drawing/2014/main" id="{C2FBB540-152A-EAD7-0788-3EDD2D3639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9" name="Straight Connector 688">
            <a:extLst>
              <a:ext uri="{FF2B5EF4-FFF2-40B4-BE49-F238E27FC236}">
                <a16:creationId xmlns:a16="http://schemas.microsoft.com/office/drawing/2014/main" id="{CA24503B-B94E-2180-FE08-60784D647149}"/>
              </a:ext>
            </a:extLst>
          </xdr:cNvPr>
          <xdr:cNvCxnSpPr>
            <a:stCxn id="688" idx="1"/>
            <a:endCxn id="6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0" name="Straight Connector 689">
            <a:extLst>
              <a:ext uri="{FF2B5EF4-FFF2-40B4-BE49-F238E27FC236}">
                <a16:creationId xmlns:a16="http://schemas.microsoft.com/office/drawing/2014/main" id="{707CBF79-B392-6888-320D-72FABEC3355E}"/>
              </a:ext>
            </a:extLst>
          </xdr:cNvPr>
          <xdr:cNvCxnSpPr>
            <a:stCxn id="688" idx="3"/>
            <a:endCxn id="6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355257</xdr:colOff>
      <xdr:row>82</xdr:row>
      <xdr:rowOff>47605</xdr:rowOff>
    </xdr:from>
    <xdr:to>
      <xdr:col>16</xdr:col>
      <xdr:colOff>99485</xdr:colOff>
      <xdr:row>83</xdr:row>
      <xdr:rowOff>44591</xdr:rowOff>
    </xdr:to>
    <xdr:grpSp>
      <xdr:nvGrpSpPr>
        <xdr:cNvPr id="691" name="Group 690">
          <a:extLst>
            <a:ext uri="{FF2B5EF4-FFF2-40B4-BE49-F238E27FC236}">
              <a16:creationId xmlns:a16="http://schemas.microsoft.com/office/drawing/2014/main" id="{86EEAF71-EE39-416B-BF10-7B6A032CBC3B}"/>
            </a:ext>
          </a:extLst>
        </xdr:cNvPr>
        <xdr:cNvGrpSpPr/>
      </xdr:nvGrpSpPr>
      <xdr:grpSpPr>
        <a:xfrm rot="19846558">
          <a:off x="5622996" y="12512931"/>
          <a:ext cx="125228" cy="1460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92" name="Oval 691">
            <a:extLst>
              <a:ext uri="{FF2B5EF4-FFF2-40B4-BE49-F238E27FC236}">
                <a16:creationId xmlns:a16="http://schemas.microsoft.com/office/drawing/2014/main" id="{03692331-83AE-35DE-1942-674EF6F0F71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3" name="Straight Connector 692">
            <a:extLst>
              <a:ext uri="{FF2B5EF4-FFF2-40B4-BE49-F238E27FC236}">
                <a16:creationId xmlns:a16="http://schemas.microsoft.com/office/drawing/2014/main" id="{EC68D772-9D2E-3983-E46F-6502EE517245}"/>
              </a:ext>
            </a:extLst>
          </xdr:cNvPr>
          <xdr:cNvCxnSpPr>
            <a:stCxn id="692" idx="1"/>
            <a:endCxn id="6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4" name="Straight Connector 693">
            <a:extLst>
              <a:ext uri="{FF2B5EF4-FFF2-40B4-BE49-F238E27FC236}">
                <a16:creationId xmlns:a16="http://schemas.microsoft.com/office/drawing/2014/main" id="{5E6A7B06-5A25-AE31-EF7D-C05BF17FAA38}"/>
              </a:ext>
            </a:extLst>
          </xdr:cNvPr>
          <xdr:cNvCxnSpPr>
            <a:stCxn id="692" idx="3"/>
            <a:endCxn id="6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280715</xdr:colOff>
      <xdr:row>81</xdr:row>
      <xdr:rowOff>18034</xdr:rowOff>
    </xdr:from>
    <xdr:to>
      <xdr:col>15</xdr:col>
      <xdr:colOff>24943</xdr:colOff>
      <xdr:row>82</xdr:row>
      <xdr:rowOff>22818</xdr:rowOff>
    </xdr:to>
    <xdr:grpSp>
      <xdr:nvGrpSpPr>
        <xdr:cNvPr id="695" name="Group 694">
          <a:extLst>
            <a:ext uri="{FF2B5EF4-FFF2-40B4-BE49-F238E27FC236}">
              <a16:creationId xmlns:a16="http://schemas.microsoft.com/office/drawing/2014/main" id="{52240AA7-55E5-4C18-B968-6D35378B51DF}"/>
            </a:ext>
          </a:extLst>
        </xdr:cNvPr>
        <xdr:cNvGrpSpPr/>
      </xdr:nvGrpSpPr>
      <xdr:grpSpPr>
        <a:xfrm rot="19846558">
          <a:off x="5167454" y="12334273"/>
          <a:ext cx="125228" cy="1538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96" name="Oval 695">
            <a:extLst>
              <a:ext uri="{FF2B5EF4-FFF2-40B4-BE49-F238E27FC236}">
                <a16:creationId xmlns:a16="http://schemas.microsoft.com/office/drawing/2014/main" id="{FEF1EE0B-A797-6FD7-4BCB-F4458B2B4B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7" name="Straight Connector 696">
            <a:extLst>
              <a:ext uri="{FF2B5EF4-FFF2-40B4-BE49-F238E27FC236}">
                <a16:creationId xmlns:a16="http://schemas.microsoft.com/office/drawing/2014/main" id="{DC6BC6BC-E81E-0C5C-1F0E-3DF1D29B7F5B}"/>
              </a:ext>
            </a:extLst>
          </xdr:cNvPr>
          <xdr:cNvCxnSpPr>
            <a:stCxn id="696" idx="1"/>
            <a:endCxn id="6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3A47A543-2DE4-4FF4-DBAB-D6F6DD0F5E33}"/>
              </a:ext>
            </a:extLst>
          </xdr:cNvPr>
          <xdr:cNvCxnSpPr>
            <a:stCxn id="696" idx="3"/>
            <a:endCxn id="6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327470</xdr:colOff>
      <xdr:row>74</xdr:row>
      <xdr:rowOff>22988</xdr:rowOff>
    </xdr:from>
    <xdr:to>
      <xdr:col>8</xdr:col>
      <xdr:colOff>71698</xdr:colOff>
      <xdr:row>75</xdr:row>
      <xdr:rowOff>19977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5A1C4CCC-37E3-4588-BADE-1110F9A0FD25}"/>
            </a:ext>
          </a:extLst>
        </xdr:cNvPr>
        <xdr:cNvGrpSpPr/>
      </xdr:nvGrpSpPr>
      <xdr:grpSpPr>
        <a:xfrm rot="19846558">
          <a:off x="2547209" y="11295618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00" name="Oval 699">
            <a:extLst>
              <a:ext uri="{FF2B5EF4-FFF2-40B4-BE49-F238E27FC236}">
                <a16:creationId xmlns:a16="http://schemas.microsoft.com/office/drawing/2014/main" id="{75D3E901-8E58-B553-4470-639DB8BC05F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1" name="Straight Connector 700">
            <a:extLst>
              <a:ext uri="{FF2B5EF4-FFF2-40B4-BE49-F238E27FC236}">
                <a16:creationId xmlns:a16="http://schemas.microsoft.com/office/drawing/2014/main" id="{60EBAC84-F562-AC74-ADA0-2489B8E0A71A}"/>
              </a:ext>
            </a:extLst>
          </xdr:cNvPr>
          <xdr:cNvCxnSpPr>
            <a:stCxn id="700" idx="1"/>
            <a:endCxn id="7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2" name="Straight Connector 701">
            <a:extLst>
              <a:ext uri="{FF2B5EF4-FFF2-40B4-BE49-F238E27FC236}">
                <a16:creationId xmlns:a16="http://schemas.microsoft.com/office/drawing/2014/main" id="{51B65FF6-804A-E462-5365-298DE0C5D7B4}"/>
              </a:ext>
            </a:extLst>
          </xdr:cNvPr>
          <xdr:cNvCxnSpPr>
            <a:stCxn id="700" idx="3"/>
            <a:endCxn id="7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187167</xdr:colOff>
      <xdr:row>76</xdr:row>
      <xdr:rowOff>118654</xdr:rowOff>
    </xdr:from>
    <xdr:to>
      <xdr:col>10</xdr:col>
      <xdr:colOff>312395</xdr:colOff>
      <xdr:row>77</xdr:row>
      <xdr:rowOff>115642</xdr:rowOff>
    </xdr:to>
    <xdr:grpSp>
      <xdr:nvGrpSpPr>
        <xdr:cNvPr id="703" name="Group 702">
          <a:extLst>
            <a:ext uri="{FF2B5EF4-FFF2-40B4-BE49-F238E27FC236}">
              <a16:creationId xmlns:a16="http://schemas.microsoft.com/office/drawing/2014/main" id="{A73EE695-216B-44E3-9B60-73D129BAACCE}"/>
            </a:ext>
          </a:extLst>
        </xdr:cNvPr>
        <xdr:cNvGrpSpPr/>
      </xdr:nvGrpSpPr>
      <xdr:grpSpPr>
        <a:xfrm rot="19846558">
          <a:off x="3549906" y="11689458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04" name="Oval 703">
            <a:extLst>
              <a:ext uri="{FF2B5EF4-FFF2-40B4-BE49-F238E27FC236}">
                <a16:creationId xmlns:a16="http://schemas.microsoft.com/office/drawing/2014/main" id="{C93EC261-BBF5-8ADA-52FE-4E2216AB347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6601F909-7162-8C90-8150-1DB95D9A9D83}"/>
              </a:ext>
            </a:extLst>
          </xdr:cNvPr>
          <xdr:cNvCxnSpPr>
            <a:stCxn id="704" idx="1"/>
            <a:endCxn id="7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6" name="Straight Connector 705">
            <a:extLst>
              <a:ext uri="{FF2B5EF4-FFF2-40B4-BE49-F238E27FC236}">
                <a16:creationId xmlns:a16="http://schemas.microsoft.com/office/drawing/2014/main" id="{3E22B068-89CA-E995-A062-1C50D1FBAF1E}"/>
              </a:ext>
            </a:extLst>
          </xdr:cNvPr>
          <xdr:cNvCxnSpPr>
            <a:stCxn id="704" idx="3"/>
            <a:endCxn id="7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104343</xdr:colOff>
      <xdr:row>79</xdr:row>
      <xdr:rowOff>91415</xdr:rowOff>
    </xdr:from>
    <xdr:to>
      <xdr:col>13</xdr:col>
      <xdr:colOff>229571</xdr:colOff>
      <xdr:row>80</xdr:row>
      <xdr:rowOff>88403</xdr:rowOff>
    </xdr:to>
    <xdr:grpSp>
      <xdr:nvGrpSpPr>
        <xdr:cNvPr id="707" name="Group 706">
          <a:extLst>
            <a:ext uri="{FF2B5EF4-FFF2-40B4-BE49-F238E27FC236}">
              <a16:creationId xmlns:a16="http://schemas.microsoft.com/office/drawing/2014/main" id="{9CA35631-9D6D-4AE5-97D0-66F78FB596AC}"/>
            </a:ext>
          </a:extLst>
        </xdr:cNvPr>
        <xdr:cNvGrpSpPr/>
      </xdr:nvGrpSpPr>
      <xdr:grpSpPr>
        <a:xfrm rot="19846558">
          <a:off x="4610082" y="12109480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08" name="Oval 707">
            <a:extLst>
              <a:ext uri="{FF2B5EF4-FFF2-40B4-BE49-F238E27FC236}">
                <a16:creationId xmlns:a16="http://schemas.microsoft.com/office/drawing/2014/main" id="{31940147-51A6-FF52-D32A-507420D9B05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id="{710D1737-8F3C-5456-DB06-92080A61F5B7}"/>
              </a:ext>
            </a:extLst>
          </xdr:cNvPr>
          <xdr:cNvCxnSpPr>
            <a:stCxn id="708" idx="1"/>
            <a:endCxn id="7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0" name="Straight Connector 709">
            <a:extLst>
              <a:ext uri="{FF2B5EF4-FFF2-40B4-BE49-F238E27FC236}">
                <a16:creationId xmlns:a16="http://schemas.microsoft.com/office/drawing/2014/main" id="{3E75161D-DD47-5285-5D5D-C4AC5D5F96A1}"/>
              </a:ext>
            </a:extLst>
          </xdr:cNvPr>
          <xdr:cNvCxnSpPr>
            <a:stCxn id="708" idx="3"/>
            <a:endCxn id="7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311602</xdr:colOff>
      <xdr:row>77</xdr:row>
      <xdr:rowOff>147210</xdr:rowOff>
    </xdr:from>
    <xdr:to>
      <xdr:col>12</xdr:col>
      <xdr:colOff>55830</xdr:colOff>
      <xdr:row>78</xdr:row>
      <xdr:rowOff>137421</xdr:rowOff>
    </xdr:to>
    <xdr:grpSp>
      <xdr:nvGrpSpPr>
        <xdr:cNvPr id="711" name="Group 710">
          <a:extLst>
            <a:ext uri="{FF2B5EF4-FFF2-40B4-BE49-F238E27FC236}">
              <a16:creationId xmlns:a16="http://schemas.microsoft.com/office/drawing/2014/main" id="{4C830E1F-C388-420C-A05D-BEFF685B2F6E}"/>
            </a:ext>
          </a:extLst>
        </xdr:cNvPr>
        <xdr:cNvGrpSpPr/>
      </xdr:nvGrpSpPr>
      <xdr:grpSpPr>
        <a:xfrm rot="19846558">
          <a:off x="4055341" y="11867101"/>
          <a:ext cx="125228" cy="13929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12" name="Oval 711">
            <a:extLst>
              <a:ext uri="{FF2B5EF4-FFF2-40B4-BE49-F238E27FC236}">
                <a16:creationId xmlns:a16="http://schemas.microsoft.com/office/drawing/2014/main" id="{FF6BE697-5866-403E-58D8-D00EA5D9ECA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3" name="Straight Connector 712">
            <a:extLst>
              <a:ext uri="{FF2B5EF4-FFF2-40B4-BE49-F238E27FC236}">
                <a16:creationId xmlns:a16="http://schemas.microsoft.com/office/drawing/2014/main" id="{ECAE3EB7-8637-2FA3-5103-7221D7053207}"/>
              </a:ext>
            </a:extLst>
          </xdr:cNvPr>
          <xdr:cNvCxnSpPr>
            <a:stCxn id="712" idx="1"/>
            <a:endCxn id="7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4" name="Straight Connector 713">
            <a:extLst>
              <a:ext uri="{FF2B5EF4-FFF2-40B4-BE49-F238E27FC236}">
                <a16:creationId xmlns:a16="http://schemas.microsoft.com/office/drawing/2014/main" id="{D5EA8E91-74E1-20A0-9B02-86AEB17CB6E4}"/>
              </a:ext>
            </a:extLst>
          </xdr:cNvPr>
          <xdr:cNvCxnSpPr>
            <a:stCxn id="712" idx="3"/>
            <a:endCxn id="7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348924</xdr:colOff>
      <xdr:row>72</xdr:row>
      <xdr:rowOff>118233</xdr:rowOff>
    </xdr:from>
    <xdr:to>
      <xdr:col>20</xdr:col>
      <xdr:colOff>19569</xdr:colOff>
      <xdr:row>87</xdr:row>
      <xdr:rowOff>36188</xdr:rowOff>
    </xdr:to>
    <xdr:cxnSp macro="">
      <xdr:nvCxnSpPr>
        <xdr:cNvPr id="715" name="Straight Connector 714">
          <a:extLst>
            <a:ext uri="{FF2B5EF4-FFF2-40B4-BE49-F238E27FC236}">
              <a16:creationId xmlns:a16="http://schemas.microsoft.com/office/drawing/2014/main" id="{9ECAE896-5C00-4960-AC4B-D7103E110CE4}"/>
            </a:ext>
          </a:extLst>
        </xdr:cNvPr>
        <xdr:cNvCxnSpPr/>
      </xdr:nvCxnSpPr>
      <xdr:spPr>
        <a:xfrm>
          <a:off x="1791281" y="11112804"/>
          <a:ext cx="5385645" cy="2163134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206169</xdr:colOff>
      <xdr:row>86</xdr:row>
      <xdr:rowOff>84040</xdr:rowOff>
    </xdr:from>
    <xdr:to>
      <xdr:col>4</xdr:col>
      <xdr:colOff>331397</xdr:colOff>
      <xdr:row>87</xdr:row>
      <xdr:rowOff>81028</xdr:rowOff>
    </xdr:to>
    <xdr:grpSp>
      <xdr:nvGrpSpPr>
        <xdr:cNvPr id="716" name="Group 715">
          <a:extLst>
            <a:ext uri="{FF2B5EF4-FFF2-40B4-BE49-F238E27FC236}">
              <a16:creationId xmlns:a16="http://schemas.microsoft.com/office/drawing/2014/main" id="{6CBAA547-CF6B-4902-9F0F-EC6CE58ACB21}"/>
            </a:ext>
          </a:extLst>
        </xdr:cNvPr>
        <xdr:cNvGrpSpPr/>
      </xdr:nvGrpSpPr>
      <xdr:grpSpPr>
        <a:xfrm rot="19846558">
          <a:off x="1282908" y="13145714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17" name="Oval 716">
            <a:extLst>
              <a:ext uri="{FF2B5EF4-FFF2-40B4-BE49-F238E27FC236}">
                <a16:creationId xmlns:a16="http://schemas.microsoft.com/office/drawing/2014/main" id="{4C27DBF5-2122-BDD0-6BC0-226B03474C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8" name="Straight Connector 717">
            <a:extLst>
              <a:ext uri="{FF2B5EF4-FFF2-40B4-BE49-F238E27FC236}">
                <a16:creationId xmlns:a16="http://schemas.microsoft.com/office/drawing/2014/main" id="{A455C141-8B74-3CC6-0F9C-ACEBCB5A4E33}"/>
              </a:ext>
            </a:extLst>
          </xdr:cNvPr>
          <xdr:cNvCxnSpPr>
            <a:stCxn id="717" idx="1"/>
            <a:endCxn id="7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53A94A66-3965-8BDA-4BF0-A4CCE851E338}"/>
              </a:ext>
            </a:extLst>
          </xdr:cNvPr>
          <xdr:cNvCxnSpPr>
            <a:stCxn id="717" idx="3"/>
            <a:endCxn id="7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348622</xdr:colOff>
      <xdr:row>86</xdr:row>
      <xdr:rowOff>30876</xdr:rowOff>
    </xdr:from>
    <xdr:to>
      <xdr:col>20</xdr:col>
      <xdr:colOff>92850</xdr:colOff>
      <xdr:row>87</xdr:row>
      <xdr:rowOff>27863</xdr:rowOff>
    </xdr:to>
    <xdr:grpSp>
      <xdr:nvGrpSpPr>
        <xdr:cNvPr id="720" name="Group 719">
          <a:extLst>
            <a:ext uri="{FF2B5EF4-FFF2-40B4-BE49-F238E27FC236}">
              <a16:creationId xmlns:a16="http://schemas.microsoft.com/office/drawing/2014/main" id="{7F8DF471-599F-4007-98CD-28A8EF52133D}"/>
            </a:ext>
          </a:extLst>
        </xdr:cNvPr>
        <xdr:cNvGrpSpPr/>
      </xdr:nvGrpSpPr>
      <xdr:grpSpPr>
        <a:xfrm rot="19846558">
          <a:off x="7140361" y="13092550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1" name="Oval 720">
            <a:extLst>
              <a:ext uri="{FF2B5EF4-FFF2-40B4-BE49-F238E27FC236}">
                <a16:creationId xmlns:a16="http://schemas.microsoft.com/office/drawing/2014/main" id="{99C8E7AC-E299-63EA-948A-D83B03FE8D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22" name="Straight Connector 721">
            <a:extLst>
              <a:ext uri="{FF2B5EF4-FFF2-40B4-BE49-F238E27FC236}">
                <a16:creationId xmlns:a16="http://schemas.microsoft.com/office/drawing/2014/main" id="{24A6DCD8-1C88-88C8-7778-739F343D1E64}"/>
              </a:ext>
            </a:extLst>
          </xdr:cNvPr>
          <xdr:cNvCxnSpPr>
            <a:stCxn id="721" idx="1"/>
            <a:endCxn id="7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3" name="Straight Connector 722">
            <a:extLst>
              <a:ext uri="{FF2B5EF4-FFF2-40B4-BE49-F238E27FC236}">
                <a16:creationId xmlns:a16="http://schemas.microsoft.com/office/drawing/2014/main" id="{AB2E548D-DCBE-758A-DF7C-7CA7234D44E3}"/>
              </a:ext>
            </a:extLst>
          </xdr:cNvPr>
          <xdr:cNvCxnSpPr>
            <a:stCxn id="721" idx="3"/>
            <a:endCxn id="7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29215</xdr:colOff>
      <xdr:row>127</xdr:row>
      <xdr:rowOff>142360</xdr:rowOff>
    </xdr:from>
    <xdr:to>
      <xdr:col>13</xdr:col>
      <xdr:colOff>54828</xdr:colOff>
      <xdr:row>133</xdr:row>
      <xdr:rowOff>67231</xdr:rowOff>
    </xdr:to>
    <xdr:cxnSp macro="">
      <xdr:nvCxnSpPr>
        <xdr:cNvPr id="724" name="Straight Connector 723">
          <a:extLst>
            <a:ext uri="{FF2B5EF4-FFF2-40B4-BE49-F238E27FC236}">
              <a16:creationId xmlns:a16="http://schemas.microsoft.com/office/drawing/2014/main" id="{3F8F5C64-FB99-4027-9246-C67C7C996698}"/>
            </a:ext>
          </a:extLst>
        </xdr:cNvPr>
        <xdr:cNvCxnSpPr/>
      </xdr:nvCxnSpPr>
      <xdr:spPr>
        <a:xfrm flipH="1" flipV="1">
          <a:off x="2995572" y="19110717"/>
          <a:ext cx="1549613" cy="822943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258536</xdr:colOff>
      <xdr:row>118</xdr:row>
      <xdr:rowOff>116390</xdr:rowOff>
    </xdr:from>
    <xdr:ext cx="466725" cy="494180"/>
    <xdr:pic>
      <xdr:nvPicPr>
        <xdr:cNvPr id="725" name="Picture 624" descr="c.jpg">
          <a:extLst>
            <a:ext uri="{FF2B5EF4-FFF2-40B4-BE49-F238E27FC236}">
              <a16:creationId xmlns:a16="http://schemas.microsoft.com/office/drawing/2014/main" id="{FDAB78AA-A114-443B-A298-BD20B7A2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036" y="17737640"/>
          <a:ext cx="466725" cy="49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</xdr:col>
      <xdr:colOff>163887</xdr:colOff>
      <xdr:row>131</xdr:row>
      <xdr:rowOff>77912</xdr:rowOff>
    </xdr:from>
    <xdr:to>
      <xdr:col>12</xdr:col>
      <xdr:colOff>172090</xdr:colOff>
      <xdr:row>160</xdr:row>
      <xdr:rowOff>145368</xdr:rowOff>
    </xdr:to>
    <xdr:cxnSp macro="">
      <xdr:nvCxnSpPr>
        <xdr:cNvPr id="726" name="Straight Connector 725">
          <a:extLst>
            <a:ext uri="{FF2B5EF4-FFF2-40B4-BE49-F238E27FC236}">
              <a16:creationId xmlns:a16="http://schemas.microsoft.com/office/drawing/2014/main" id="{314FB8BD-6943-4207-AC39-9662A375F09D}"/>
            </a:ext>
          </a:extLst>
        </xdr:cNvPr>
        <xdr:cNvCxnSpPr>
          <a:stCxn id="755" idx="0"/>
        </xdr:cNvCxnSpPr>
      </xdr:nvCxnSpPr>
      <xdr:spPr>
        <a:xfrm flipV="1">
          <a:off x="1987244" y="19644983"/>
          <a:ext cx="2294203" cy="4408135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262202</xdr:colOff>
      <xdr:row>132</xdr:row>
      <xdr:rowOff>17422</xdr:rowOff>
    </xdr:from>
    <xdr:to>
      <xdr:col>12</xdr:col>
      <xdr:colOff>257815</xdr:colOff>
      <xdr:row>161</xdr:row>
      <xdr:rowOff>80745</xdr:rowOff>
    </xdr:to>
    <xdr:cxnSp macro="">
      <xdr:nvCxnSpPr>
        <xdr:cNvPr id="727" name="Straight Connector 726">
          <a:extLst>
            <a:ext uri="{FF2B5EF4-FFF2-40B4-BE49-F238E27FC236}">
              <a16:creationId xmlns:a16="http://schemas.microsoft.com/office/drawing/2014/main" id="{76981DFE-981C-4271-BA07-BB6089708F48}"/>
            </a:ext>
          </a:extLst>
        </xdr:cNvPr>
        <xdr:cNvCxnSpPr>
          <a:stCxn id="755" idx="5"/>
        </xdr:cNvCxnSpPr>
      </xdr:nvCxnSpPr>
      <xdr:spPr>
        <a:xfrm flipV="1">
          <a:off x="2085559" y="19734172"/>
          <a:ext cx="2281613" cy="44040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</xdr:colOff>
      <xdr:row>127</xdr:row>
      <xdr:rowOff>85210</xdr:rowOff>
    </xdr:from>
    <xdr:to>
      <xdr:col>14</xdr:col>
      <xdr:colOff>641</xdr:colOff>
      <xdr:row>162</xdr:row>
      <xdr:rowOff>79607</xdr:rowOff>
    </xdr:to>
    <xdr:cxnSp macro="">
      <xdr:nvCxnSpPr>
        <xdr:cNvPr id="728" name="Straight Connector 727">
          <a:extLst>
            <a:ext uri="{FF2B5EF4-FFF2-40B4-BE49-F238E27FC236}">
              <a16:creationId xmlns:a16="http://schemas.microsoft.com/office/drawing/2014/main" id="{452721D8-B540-4819-A77A-CCA2301606E0}"/>
            </a:ext>
          </a:extLst>
        </xdr:cNvPr>
        <xdr:cNvCxnSpPr/>
      </xdr:nvCxnSpPr>
      <xdr:spPr>
        <a:xfrm flipH="1">
          <a:off x="2204437" y="19053567"/>
          <a:ext cx="2667561" cy="5233147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354747</xdr:colOff>
      <xdr:row>162</xdr:row>
      <xdr:rowOff>65041</xdr:rowOff>
    </xdr:from>
    <xdr:to>
      <xdr:col>9</xdr:col>
      <xdr:colOff>123825</xdr:colOff>
      <xdr:row>166</xdr:row>
      <xdr:rowOff>0</xdr:rowOff>
    </xdr:to>
    <xdr:cxnSp macro="">
      <xdr:nvCxnSpPr>
        <xdr:cNvPr id="729" name="Straight Connector 728">
          <a:extLst>
            <a:ext uri="{FF2B5EF4-FFF2-40B4-BE49-F238E27FC236}">
              <a16:creationId xmlns:a16="http://schemas.microsoft.com/office/drawing/2014/main" id="{FE5DF2C2-0006-47D2-9792-01410B0356B7}"/>
            </a:ext>
          </a:extLst>
        </xdr:cNvPr>
        <xdr:cNvCxnSpPr/>
      </xdr:nvCxnSpPr>
      <xdr:spPr>
        <a:xfrm flipH="1" flipV="1">
          <a:off x="2183547" y="24953866"/>
          <a:ext cx="912078" cy="554084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63393</xdr:colOff>
      <xdr:row>136</xdr:row>
      <xdr:rowOff>123405</xdr:rowOff>
    </xdr:from>
    <xdr:to>
      <xdr:col>11</xdr:col>
      <xdr:colOff>188621</xdr:colOff>
      <xdr:row>137</xdr:row>
      <xdr:rowOff>120393</xdr:rowOff>
    </xdr:to>
    <xdr:grpSp>
      <xdr:nvGrpSpPr>
        <xdr:cNvPr id="730" name="Group 729">
          <a:extLst>
            <a:ext uri="{FF2B5EF4-FFF2-40B4-BE49-F238E27FC236}">
              <a16:creationId xmlns:a16="http://schemas.microsoft.com/office/drawing/2014/main" id="{1FA47EB7-8A22-41E7-9C37-B7434CD66E76}"/>
            </a:ext>
          </a:extLst>
        </xdr:cNvPr>
        <xdr:cNvGrpSpPr/>
      </xdr:nvGrpSpPr>
      <xdr:grpSpPr>
        <a:xfrm rot="19846558">
          <a:off x="3807132" y="20689122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1" name="Oval 730">
            <a:extLst>
              <a:ext uri="{FF2B5EF4-FFF2-40B4-BE49-F238E27FC236}">
                <a16:creationId xmlns:a16="http://schemas.microsoft.com/office/drawing/2014/main" id="{C154E50F-70A1-AEBD-632D-EEF202FEABB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2" name="Straight Connector 731">
            <a:extLst>
              <a:ext uri="{FF2B5EF4-FFF2-40B4-BE49-F238E27FC236}">
                <a16:creationId xmlns:a16="http://schemas.microsoft.com/office/drawing/2014/main" id="{B4F3734A-CD16-A0E8-32BC-D8D73E7E2806}"/>
              </a:ext>
            </a:extLst>
          </xdr:cNvPr>
          <xdr:cNvCxnSpPr>
            <a:stCxn id="731" idx="1"/>
            <a:endCxn id="7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4B6218D5-6F3D-E138-DA3E-C7A92E382BDC}"/>
              </a:ext>
            </a:extLst>
          </xdr:cNvPr>
          <xdr:cNvCxnSpPr>
            <a:stCxn id="731" idx="3"/>
            <a:endCxn id="7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212431</xdr:colOff>
      <xdr:row>144</xdr:row>
      <xdr:rowOff>129182</xdr:rowOff>
    </xdr:from>
    <xdr:to>
      <xdr:col>9</xdr:col>
      <xdr:colOff>337659</xdr:colOff>
      <xdr:row>145</xdr:row>
      <xdr:rowOff>126171</xdr:rowOff>
    </xdr:to>
    <xdr:grpSp>
      <xdr:nvGrpSpPr>
        <xdr:cNvPr id="734" name="Group 733">
          <a:extLst>
            <a:ext uri="{FF2B5EF4-FFF2-40B4-BE49-F238E27FC236}">
              <a16:creationId xmlns:a16="http://schemas.microsoft.com/office/drawing/2014/main" id="{3036D319-B368-40C7-A1F5-C7A1008A545E}"/>
            </a:ext>
          </a:extLst>
        </xdr:cNvPr>
        <xdr:cNvGrpSpPr/>
      </xdr:nvGrpSpPr>
      <xdr:grpSpPr>
        <a:xfrm rot="19846558">
          <a:off x="3194170" y="21887595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E7E71A7F-151F-E7F9-F41F-EB132ADDEA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6" name="Straight Connector 735">
            <a:extLst>
              <a:ext uri="{FF2B5EF4-FFF2-40B4-BE49-F238E27FC236}">
                <a16:creationId xmlns:a16="http://schemas.microsoft.com/office/drawing/2014/main" id="{293C661A-1528-3610-6132-5E94131A4D71}"/>
              </a:ext>
            </a:extLst>
          </xdr:cNvPr>
          <xdr:cNvCxnSpPr>
            <a:stCxn id="735" idx="1"/>
            <a:endCxn id="7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7" name="Straight Connector 736">
            <a:extLst>
              <a:ext uri="{FF2B5EF4-FFF2-40B4-BE49-F238E27FC236}">
                <a16:creationId xmlns:a16="http://schemas.microsoft.com/office/drawing/2014/main" id="{A40A65F4-2C11-0CD9-2D06-2E83D1B62702}"/>
              </a:ext>
            </a:extLst>
          </xdr:cNvPr>
          <xdr:cNvCxnSpPr>
            <a:stCxn id="735" idx="3"/>
            <a:endCxn id="7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136231</xdr:colOff>
      <xdr:row>140</xdr:row>
      <xdr:rowOff>122932</xdr:rowOff>
    </xdr:from>
    <xdr:to>
      <xdr:col>10</xdr:col>
      <xdr:colOff>261459</xdr:colOff>
      <xdr:row>141</xdr:row>
      <xdr:rowOff>119920</xdr:rowOff>
    </xdr:to>
    <xdr:grpSp>
      <xdr:nvGrpSpPr>
        <xdr:cNvPr id="738" name="Group 737">
          <a:extLst>
            <a:ext uri="{FF2B5EF4-FFF2-40B4-BE49-F238E27FC236}">
              <a16:creationId xmlns:a16="http://schemas.microsoft.com/office/drawing/2014/main" id="{27AA7453-70E8-4481-A6AA-67C09CE0D56F}"/>
            </a:ext>
          </a:extLst>
        </xdr:cNvPr>
        <xdr:cNvGrpSpPr/>
      </xdr:nvGrpSpPr>
      <xdr:grpSpPr>
        <a:xfrm rot="19846558">
          <a:off x="3498970" y="21284997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9" name="Oval 738">
            <a:extLst>
              <a:ext uri="{FF2B5EF4-FFF2-40B4-BE49-F238E27FC236}">
                <a16:creationId xmlns:a16="http://schemas.microsoft.com/office/drawing/2014/main" id="{19789EC6-2B39-624F-1DB1-32D19FD0710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D9DFEAEF-4F68-8D48-DE30-6F11AE924EF7}"/>
              </a:ext>
            </a:extLst>
          </xdr:cNvPr>
          <xdr:cNvCxnSpPr>
            <a:stCxn id="739" idx="1"/>
            <a:endCxn id="7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3D8BBCC3-6D3B-227F-B9E8-F10E55737279}"/>
              </a:ext>
            </a:extLst>
          </xdr:cNvPr>
          <xdr:cNvCxnSpPr>
            <a:stCxn id="739" idx="3"/>
            <a:endCxn id="7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294795</xdr:colOff>
      <xdr:row>148</xdr:row>
      <xdr:rowOff>134873</xdr:rowOff>
    </xdr:from>
    <xdr:to>
      <xdr:col>9</xdr:col>
      <xdr:colOff>39023</xdr:colOff>
      <xdr:row>149</xdr:row>
      <xdr:rowOff>131861</xdr:rowOff>
    </xdr:to>
    <xdr:grpSp>
      <xdr:nvGrpSpPr>
        <xdr:cNvPr id="742" name="Group 741">
          <a:extLst>
            <a:ext uri="{FF2B5EF4-FFF2-40B4-BE49-F238E27FC236}">
              <a16:creationId xmlns:a16="http://schemas.microsoft.com/office/drawing/2014/main" id="{9988DF71-4074-4637-AB30-688E03E2F4B1}"/>
            </a:ext>
          </a:extLst>
        </xdr:cNvPr>
        <xdr:cNvGrpSpPr/>
      </xdr:nvGrpSpPr>
      <xdr:grpSpPr>
        <a:xfrm rot="19846558">
          <a:off x="2895534" y="22489634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3" name="Oval 742">
            <a:extLst>
              <a:ext uri="{FF2B5EF4-FFF2-40B4-BE49-F238E27FC236}">
                <a16:creationId xmlns:a16="http://schemas.microsoft.com/office/drawing/2014/main" id="{61B18D37-F3BA-93A0-612F-F122B2A7DDF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974C3C13-A5EF-9D37-593E-DDB91C365E24}"/>
              </a:ext>
            </a:extLst>
          </xdr:cNvPr>
          <xdr:cNvCxnSpPr>
            <a:stCxn id="743" idx="1"/>
            <a:endCxn id="7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578D92B1-A28F-5D14-E729-FFAD62E25DCE}"/>
              </a:ext>
            </a:extLst>
          </xdr:cNvPr>
          <xdr:cNvCxnSpPr>
            <a:stCxn id="743" idx="3"/>
            <a:endCxn id="7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80</xdr:colOff>
      <xdr:row>152</xdr:row>
      <xdr:rowOff>94060</xdr:rowOff>
    </xdr:from>
    <xdr:to>
      <xdr:col>8</xdr:col>
      <xdr:colOff>125308</xdr:colOff>
      <xdr:row>153</xdr:row>
      <xdr:rowOff>91047</xdr:rowOff>
    </xdr:to>
    <xdr:grpSp>
      <xdr:nvGrpSpPr>
        <xdr:cNvPr id="746" name="Group 745">
          <a:extLst>
            <a:ext uri="{FF2B5EF4-FFF2-40B4-BE49-F238E27FC236}">
              <a16:creationId xmlns:a16="http://schemas.microsoft.com/office/drawing/2014/main" id="{A75AA2D8-479C-4A8D-A758-4E9BBC503827}"/>
            </a:ext>
          </a:extLst>
        </xdr:cNvPr>
        <xdr:cNvGrpSpPr/>
      </xdr:nvGrpSpPr>
      <xdr:grpSpPr>
        <a:xfrm rot="19846558">
          <a:off x="2600819" y="23045169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7" name="Oval 746">
            <a:extLst>
              <a:ext uri="{FF2B5EF4-FFF2-40B4-BE49-F238E27FC236}">
                <a16:creationId xmlns:a16="http://schemas.microsoft.com/office/drawing/2014/main" id="{5F1283C4-9A7C-A2AE-E1AE-834C99BDC7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13BF80F6-135D-95A6-364D-1A3F19781857}"/>
              </a:ext>
            </a:extLst>
          </xdr:cNvPr>
          <xdr:cNvCxnSpPr>
            <a:stCxn id="747" idx="1"/>
            <a:endCxn id="7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D67E55F3-0644-1FAE-F7C1-C78814594530}"/>
              </a:ext>
            </a:extLst>
          </xdr:cNvPr>
          <xdr:cNvCxnSpPr>
            <a:stCxn id="747" idx="3"/>
            <a:endCxn id="7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52187</xdr:colOff>
      <xdr:row>156</xdr:row>
      <xdr:rowOff>115439</xdr:rowOff>
    </xdr:from>
    <xdr:to>
      <xdr:col>7</xdr:col>
      <xdr:colOff>177415</xdr:colOff>
      <xdr:row>157</xdr:row>
      <xdr:rowOff>113445</xdr:rowOff>
    </xdr:to>
    <xdr:grpSp>
      <xdr:nvGrpSpPr>
        <xdr:cNvPr id="750" name="Group 749">
          <a:extLst>
            <a:ext uri="{FF2B5EF4-FFF2-40B4-BE49-F238E27FC236}">
              <a16:creationId xmlns:a16="http://schemas.microsoft.com/office/drawing/2014/main" id="{B9CC3D30-ABB8-4DBA-8ECF-6DA9579168DD}"/>
            </a:ext>
          </a:extLst>
        </xdr:cNvPr>
        <xdr:cNvGrpSpPr/>
      </xdr:nvGrpSpPr>
      <xdr:grpSpPr>
        <a:xfrm rot="19846558">
          <a:off x="2271926" y="23662896"/>
          <a:ext cx="125228" cy="1470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51" name="Oval 750">
            <a:extLst>
              <a:ext uri="{FF2B5EF4-FFF2-40B4-BE49-F238E27FC236}">
                <a16:creationId xmlns:a16="http://schemas.microsoft.com/office/drawing/2014/main" id="{9FE97341-2EFE-E25A-71A0-64D94F3CC4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2" name="Straight Connector 751">
            <a:extLst>
              <a:ext uri="{FF2B5EF4-FFF2-40B4-BE49-F238E27FC236}">
                <a16:creationId xmlns:a16="http://schemas.microsoft.com/office/drawing/2014/main" id="{55433156-CA4F-5851-E3A8-62609E01B2A5}"/>
              </a:ext>
            </a:extLst>
          </xdr:cNvPr>
          <xdr:cNvCxnSpPr>
            <a:stCxn id="751" idx="1"/>
            <a:endCxn id="7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1CC36EBE-63F7-F0BA-EDC8-94D10A1C1A90}"/>
              </a:ext>
            </a:extLst>
          </xdr:cNvPr>
          <xdr:cNvCxnSpPr>
            <a:stCxn id="751" idx="3"/>
            <a:endCxn id="7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136230</xdr:colOff>
      <xdr:row>160</xdr:row>
      <xdr:rowOff>132790</xdr:rowOff>
    </xdr:from>
    <xdr:to>
      <xdr:col>6</xdr:col>
      <xdr:colOff>261458</xdr:colOff>
      <xdr:row>161</xdr:row>
      <xdr:rowOff>129777</xdr:rowOff>
    </xdr:to>
    <xdr:grpSp>
      <xdr:nvGrpSpPr>
        <xdr:cNvPr id="754" name="Group 753">
          <a:extLst>
            <a:ext uri="{FF2B5EF4-FFF2-40B4-BE49-F238E27FC236}">
              <a16:creationId xmlns:a16="http://schemas.microsoft.com/office/drawing/2014/main" id="{C082A9D9-2E6F-4C96-9FB1-EF37B6FE7F12}"/>
            </a:ext>
          </a:extLst>
        </xdr:cNvPr>
        <xdr:cNvGrpSpPr/>
      </xdr:nvGrpSpPr>
      <xdr:grpSpPr>
        <a:xfrm rot="19846558">
          <a:off x="1974969" y="24276594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55" name="Oval 754">
            <a:extLst>
              <a:ext uri="{FF2B5EF4-FFF2-40B4-BE49-F238E27FC236}">
                <a16:creationId xmlns:a16="http://schemas.microsoft.com/office/drawing/2014/main" id="{21601E69-6108-A09D-B8A3-FECDEB204C2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ADA7E385-4E62-827B-58F8-487784626263}"/>
              </a:ext>
            </a:extLst>
          </xdr:cNvPr>
          <xdr:cNvCxnSpPr>
            <a:stCxn id="755" idx="1"/>
            <a:endCxn id="7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1BAA7E7E-F3B4-CCA9-237C-344CAFE02AB5}"/>
              </a:ext>
            </a:extLst>
          </xdr:cNvPr>
          <xdr:cNvCxnSpPr>
            <a:stCxn id="755" idx="3"/>
            <a:endCxn id="7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78722</xdr:colOff>
      <xdr:row>160</xdr:row>
      <xdr:rowOff>122789</xdr:rowOff>
    </xdr:from>
    <xdr:to>
      <xdr:col>9</xdr:col>
      <xdr:colOff>261342</xdr:colOff>
      <xdr:row>163</xdr:row>
      <xdr:rowOff>61780</xdr:rowOff>
    </xdr:to>
    <xdr:sp macro="" textlink="">
      <xdr:nvSpPr>
        <xdr:cNvPr id="758" name="Rectangle 757">
          <a:extLst>
            <a:ext uri="{FF2B5EF4-FFF2-40B4-BE49-F238E27FC236}">
              <a16:creationId xmlns:a16="http://schemas.microsoft.com/office/drawing/2014/main" id="{9C14A757-7811-4316-AD9E-8C7A88940614}"/>
            </a:ext>
          </a:extLst>
        </xdr:cNvPr>
        <xdr:cNvSpPr/>
      </xdr:nvSpPr>
      <xdr:spPr>
        <a:xfrm rot="184367">
          <a:off x="2664079" y="24030539"/>
          <a:ext cx="563620" cy="3880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11</xdr:col>
      <xdr:colOff>337628</xdr:colOff>
      <xdr:row>133</xdr:row>
      <xdr:rowOff>86338</xdr:rowOff>
    </xdr:from>
    <xdr:to>
      <xdr:col>12</xdr:col>
      <xdr:colOff>81856</xdr:colOff>
      <xdr:row>134</xdr:row>
      <xdr:rowOff>83326</xdr:rowOff>
    </xdr:to>
    <xdr:grpSp>
      <xdr:nvGrpSpPr>
        <xdr:cNvPr id="759" name="Group 758">
          <a:extLst>
            <a:ext uri="{FF2B5EF4-FFF2-40B4-BE49-F238E27FC236}">
              <a16:creationId xmlns:a16="http://schemas.microsoft.com/office/drawing/2014/main" id="{F5E1CA89-924A-47D4-BEF1-37363714D7A4}"/>
            </a:ext>
          </a:extLst>
        </xdr:cNvPr>
        <xdr:cNvGrpSpPr/>
      </xdr:nvGrpSpPr>
      <xdr:grpSpPr>
        <a:xfrm rot="19846558">
          <a:off x="4081367" y="20204795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0" name="Oval 759">
            <a:extLst>
              <a:ext uri="{FF2B5EF4-FFF2-40B4-BE49-F238E27FC236}">
                <a16:creationId xmlns:a16="http://schemas.microsoft.com/office/drawing/2014/main" id="{69045974-E5A2-327A-C559-EE1579FBA1C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AC29A978-43CD-4BD8-4E31-A3BEE7E248B1}"/>
              </a:ext>
            </a:extLst>
          </xdr:cNvPr>
          <xdr:cNvCxnSpPr>
            <a:stCxn id="760" idx="1"/>
            <a:endCxn id="7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2" name="Straight Connector 761">
            <a:extLst>
              <a:ext uri="{FF2B5EF4-FFF2-40B4-BE49-F238E27FC236}">
                <a16:creationId xmlns:a16="http://schemas.microsoft.com/office/drawing/2014/main" id="{0AA30A14-AECE-D5E7-DCE4-4B281797F632}"/>
              </a:ext>
            </a:extLst>
          </xdr:cNvPr>
          <xdr:cNvCxnSpPr>
            <a:stCxn id="760" idx="3"/>
            <a:endCxn id="7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375477</xdr:colOff>
      <xdr:row>161</xdr:row>
      <xdr:rowOff>29175</xdr:rowOff>
    </xdr:from>
    <xdr:to>
      <xdr:col>6</xdr:col>
      <xdr:colOff>151359</xdr:colOff>
      <xdr:row>163</xdr:row>
      <xdr:rowOff>35926</xdr:rowOff>
    </xdr:to>
    <xdr:cxnSp macro="">
      <xdr:nvCxnSpPr>
        <xdr:cNvPr id="763" name="Straight Arrow Connector 762">
          <a:extLst>
            <a:ext uri="{FF2B5EF4-FFF2-40B4-BE49-F238E27FC236}">
              <a16:creationId xmlns:a16="http://schemas.microsoft.com/office/drawing/2014/main" id="{13A65EF4-6A8A-4374-BE82-17DB57ABCAAB}"/>
            </a:ext>
          </a:extLst>
        </xdr:cNvPr>
        <xdr:cNvCxnSpPr/>
      </xdr:nvCxnSpPr>
      <xdr:spPr>
        <a:xfrm flipH="1">
          <a:off x="1817834" y="24086604"/>
          <a:ext cx="156882" cy="3061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158010</xdr:colOff>
      <xdr:row>206</xdr:row>
      <xdr:rowOff>31278</xdr:rowOff>
    </xdr:from>
    <xdr:to>
      <xdr:col>21</xdr:col>
      <xdr:colOff>130377</xdr:colOff>
      <xdr:row>219</xdr:row>
      <xdr:rowOff>95150</xdr:rowOff>
    </xdr:to>
    <xdr:cxnSp macro="">
      <xdr:nvCxnSpPr>
        <xdr:cNvPr id="764" name="Straight Connector 763">
          <a:extLst>
            <a:ext uri="{FF2B5EF4-FFF2-40B4-BE49-F238E27FC236}">
              <a16:creationId xmlns:a16="http://schemas.microsoft.com/office/drawing/2014/main" id="{0CB834E6-662D-4B00-923A-A541864CA2AF}"/>
            </a:ext>
          </a:extLst>
        </xdr:cNvPr>
        <xdr:cNvCxnSpPr/>
      </xdr:nvCxnSpPr>
      <xdr:spPr>
        <a:xfrm flipV="1">
          <a:off x="6553367" y="30865064"/>
          <a:ext cx="1115367" cy="2009693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286390</xdr:colOff>
      <xdr:row>193</xdr:row>
      <xdr:rowOff>13587</xdr:rowOff>
    </xdr:from>
    <xdr:to>
      <xdr:col>19</xdr:col>
      <xdr:colOff>318342</xdr:colOff>
      <xdr:row>212</xdr:row>
      <xdr:rowOff>9517</xdr:rowOff>
    </xdr:to>
    <xdr:cxnSp macro="">
      <xdr:nvCxnSpPr>
        <xdr:cNvPr id="766" name="Straight Connector 765">
          <a:extLst>
            <a:ext uri="{FF2B5EF4-FFF2-40B4-BE49-F238E27FC236}">
              <a16:creationId xmlns:a16="http://schemas.microsoft.com/office/drawing/2014/main" id="{8205A179-0AB3-44FC-93C0-16443D1FAABD}"/>
            </a:ext>
          </a:extLst>
        </xdr:cNvPr>
        <xdr:cNvCxnSpPr/>
      </xdr:nvCxnSpPr>
      <xdr:spPr>
        <a:xfrm>
          <a:off x="1728747" y="28901551"/>
          <a:ext cx="5365952" cy="2839823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48265</xdr:colOff>
      <xdr:row>195</xdr:row>
      <xdr:rowOff>73583</xdr:rowOff>
    </xdr:from>
    <xdr:to>
      <xdr:col>20</xdr:col>
      <xdr:colOff>7632</xdr:colOff>
      <xdr:row>213</xdr:row>
      <xdr:rowOff>60280</xdr:rowOff>
    </xdr:to>
    <xdr:cxnSp macro="">
      <xdr:nvCxnSpPr>
        <xdr:cNvPr id="767" name="Straight Connector 766">
          <a:extLst>
            <a:ext uri="{FF2B5EF4-FFF2-40B4-BE49-F238E27FC236}">
              <a16:creationId xmlns:a16="http://schemas.microsoft.com/office/drawing/2014/main" id="{D0340FE7-706B-4799-8586-35BC48B69632}"/>
            </a:ext>
          </a:extLst>
        </xdr:cNvPr>
        <xdr:cNvCxnSpPr/>
      </xdr:nvCxnSpPr>
      <xdr:spPr>
        <a:xfrm flipH="1" flipV="1">
          <a:off x="1871622" y="29260904"/>
          <a:ext cx="5293367" cy="2680912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269995</xdr:colOff>
      <xdr:row>211</xdr:row>
      <xdr:rowOff>17944</xdr:rowOff>
    </xdr:from>
    <xdr:to>
      <xdr:col>20</xdr:col>
      <xdr:colOff>14223</xdr:colOff>
      <xdr:row>212</xdr:row>
      <xdr:rowOff>14933</xdr:rowOff>
    </xdr:to>
    <xdr:grpSp>
      <xdr:nvGrpSpPr>
        <xdr:cNvPr id="768" name="Group 767">
          <a:extLst>
            <a:ext uri="{FF2B5EF4-FFF2-40B4-BE49-F238E27FC236}">
              <a16:creationId xmlns:a16="http://schemas.microsoft.com/office/drawing/2014/main" id="{3ED4C2A5-8280-492D-B8D1-F7A3DE0B7CD8}"/>
            </a:ext>
          </a:extLst>
        </xdr:cNvPr>
        <xdr:cNvGrpSpPr/>
      </xdr:nvGrpSpPr>
      <xdr:grpSpPr>
        <a:xfrm rot="19846558">
          <a:off x="7061734" y="31814879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9" name="Oval 768">
            <a:extLst>
              <a:ext uri="{FF2B5EF4-FFF2-40B4-BE49-F238E27FC236}">
                <a16:creationId xmlns:a16="http://schemas.microsoft.com/office/drawing/2014/main" id="{AFABDAB5-878D-D23C-344B-193B614927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0" name="Straight Connector 769">
            <a:extLst>
              <a:ext uri="{FF2B5EF4-FFF2-40B4-BE49-F238E27FC236}">
                <a16:creationId xmlns:a16="http://schemas.microsoft.com/office/drawing/2014/main" id="{25C51EB1-8B56-431B-D69C-DDE18998F9EE}"/>
              </a:ext>
            </a:extLst>
          </xdr:cNvPr>
          <xdr:cNvCxnSpPr>
            <a:stCxn id="769" idx="1"/>
            <a:endCxn id="7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1" name="Straight Connector 770">
            <a:extLst>
              <a:ext uri="{FF2B5EF4-FFF2-40B4-BE49-F238E27FC236}">
                <a16:creationId xmlns:a16="http://schemas.microsoft.com/office/drawing/2014/main" id="{659CEF0D-27AF-60EE-C7BE-6996CC92BA5B}"/>
              </a:ext>
            </a:extLst>
          </xdr:cNvPr>
          <xdr:cNvCxnSpPr>
            <a:stCxn id="769" idx="3"/>
            <a:endCxn id="7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341472</xdr:colOff>
      <xdr:row>205</xdr:row>
      <xdr:rowOff>139793</xdr:rowOff>
    </xdr:from>
    <xdr:to>
      <xdr:col>16</xdr:col>
      <xdr:colOff>85700</xdr:colOff>
      <xdr:row>206</xdr:row>
      <xdr:rowOff>136782</xdr:rowOff>
    </xdr:to>
    <xdr:grpSp>
      <xdr:nvGrpSpPr>
        <xdr:cNvPr id="772" name="Group 771">
          <a:extLst>
            <a:ext uri="{FF2B5EF4-FFF2-40B4-BE49-F238E27FC236}">
              <a16:creationId xmlns:a16="http://schemas.microsoft.com/office/drawing/2014/main" id="{0EB48DC9-5218-4144-B709-FC1FEEB081E7}"/>
            </a:ext>
          </a:extLst>
        </xdr:cNvPr>
        <xdr:cNvGrpSpPr/>
      </xdr:nvGrpSpPr>
      <xdr:grpSpPr>
        <a:xfrm rot="19846558">
          <a:off x="5609211" y="31042206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3" name="Oval 772">
            <a:extLst>
              <a:ext uri="{FF2B5EF4-FFF2-40B4-BE49-F238E27FC236}">
                <a16:creationId xmlns:a16="http://schemas.microsoft.com/office/drawing/2014/main" id="{AEC4549C-65DD-E939-DAFF-51C6791D3C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4" name="Straight Connector 773">
            <a:extLst>
              <a:ext uri="{FF2B5EF4-FFF2-40B4-BE49-F238E27FC236}">
                <a16:creationId xmlns:a16="http://schemas.microsoft.com/office/drawing/2014/main" id="{1B71E891-7993-DAF5-1360-3D5DAF1DFFF2}"/>
              </a:ext>
            </a:extLst>
          </xdr:cNvPr>
          <xdr:cNvCxnSpPr>
            <a:stCxn id="773" idx="1"/>
            <a:endCxn id="7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0EFECAA8-62DB-EC42-DECC-2CF69BB9FF44}"/>
              </a:ext>
            </a:extLst>
          </xdr:cNvPr>
          <xdr:cNvCxnSpPr>
            <a:stCxn id="773" idx="3"/>
            <a:endCxn id="7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309726</xdr:colOff>
      <xdr:row>193</xdr:row>
      <xdr:rowOff>103893</xdr:rowOff>
    </xdr:from>
    <xdr:to>
      <xdr:col>7</xdr:col>
      <xdr:colOff>53954</xdr:colOff>
      <xdr:row>194</xdr:row>
      <xdr:rowOff>100881</xdr:rowOff>
    </xdr:to>
    <xdr:grpSp>
      <xdr:nvGrpSpPr>
        <xdr:cNvPr id="776" name="Group 775">
          <a:extLst>
            <a:ext uri="{FF2B5EF4-FFF2-40B4-BE49-F238E27FC236}">
              <a16:creationId xmlns:a16="http://schemas.microsoft.com/office/drawing/2014/main" id="{28239B10-BB8F-4EC0-AE0E-312F23C287B1}"/>
            </a:ext>
          </a:extLst>
        </xdr:cNvPr>
        <xdr:cNvGrpSpPr/>
      </xdr:nvGrpSpPr>
      <xdr:grpSpPr>
        <a:xfrm rot="19846558">
          <a:off x="2148465" y="29217263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7" name="Oval 776">
            <a:extLst>
              <a:ext uri="{FF2B5EF4-FFF2-40B4-BE49-F238E27FC236}">
                <a16:creationId xmlns:a16="http://schemas.microsoft.com/office/drawing/2014/main" id="{19FDB9CC-F862-D0CF-51C7-D006374E15D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8" name="Straight Connector 777">
            <a:extLst>
              <a:ext uri="{FF2B5EF4-FFF2-40B4-BE49-F238E27FC236}">
                <a16:creationId xmlns:a16="http://schemas.microsoft.com/office/drawing/2014/main" id="{3585636A-45B1-FC0A-ED35-52C74CD3BB22}"/>
              </a:ext>
            </a:extLst>
          </xdr:cNvPr>
          <xdr:cNvCxnSpPr>
            <a:stCxn id="777" idx="1"/>
            <a:endCxn id="7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9" name="Straight Connector 778">
            <a:extLst>
              <a:ext uri="{FF2B5EF4-FFF2-40B4-BE49-F238E27FC236}">
                <a16:creationId xmlns:a16="http://schemas.microsoft.com/office/drawing/2014/main" id="{75C272D1-5F24-7E44-B6EE-6B6E5F6811FE}"/>
              </a:ext>
            </a:extLst>
          </xdr:cNvPr>
          <xdr:cNvCxnSpPr>
            <a:stCxn id="777" idx="3"/>
            <a:endCxn id="7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158790</xdr:colOff>
      <xdr:row>202</xdr:row>
      <xdr:rowOff>62653</xdr:rowOff>
    </xdr:from>
    <xdr:to>
      <xdr:col>13</xdr:col>
      <xdr:colOff>284018</xdr:colOff>
      <xdr:row>203</xdr:row>
      <xdr:rowOff>64123</xdr:rowOff>
    </xdr:to>
    <xdr:grpSp>
      <xdr:nvGrpSpPr>
        <xdr:cNvPr id="780" name="Group 779">
          <a:extLst>
            <a:ext uri="{FF2B5EF4-FFF2-40B4-BE49-F238E27FC236}">
              <a16:creationId xmlns:a16="http://schemas.microsoft.com/office/drawing/2014/main" id="{C059FFFD-009E-4C49-9BC2-4DBF5079A28D}"/>
            </a:ext>
          </a:extLst>
        </xdr:cNvPr>
        <xdr:cNvGrpSpPr/>
      </xdr:nvGrpSpPr>
      <xdr:grpSpPr>
        <a:xfrm rot="19846558">
          <a:off x="4664529" y="30517805"/>
          <a:ext cx="125228" cy="1505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1" name="Oval 780">
            <a:extLst>
              <a:ext uri="{FF2B5EF4-FFF2-40B4-BE49-F238E27FC236}">
                <a16:creationId xmlns:a16="http://schemas.microsoft.com/office/drawing/2014/main" id="{0ACBD396-A513-DCDA-E736-EEEE4599F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2" name="Straight Connector 781">
            <a:extLst>
              <a:ext uri="{FF2B5EF4-FFF2-40B4-BE49-F238E27FC236}">
                <a16:creationId xmlns:a16="http://schemas.microsoft.com/office/drawing/2014/main" id="{441D8EEC-ACE5-8EEA-40D2-353CB19F5E77}"/>
              </a:ext>
            </a:extLst>
          </xdr:cNvPr>
          <xdr:cNvCxnSpPr>
            <a:stCxn id="781" idx="1"/>
            <a:endCxn id="7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3" name="Straight Connector 782">
            <a:extLst>
              <a:ext uri="{FF2B5EF4-FFF2-40B4-BE49-F238E27FC236}">
                <a16:creationId xmlns:a16="http://schemas.microsoft.com/office/drawing/2014/main" id="{295522AA-9B91-CDF0-130B-E75A9F5E6952}"/>
              </a:ext>
            </a:extLst>
          </xdr:cNvPr>
          <xdr:cNvCxnSpPr>
            <a:stCxn id="781" idx="3"/>
            <a:endCxn id="7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362590</xdr:colOff>
      <xdr:row>192</xdr:row>
      <xdr:rowOff>55027</xdr:rowOff>
    </xdr:from>
    <xdr:to>
      <xdr:col>20</xdr:col>
      <xdr:colOff>710</xdr:colOff>
      <xdr:row>211</xdr:row>
      <xdr:rowOff>20101</xdr:rowOff>
    </xdr:to>
    <xdr:cxnSp macro="">
      <xdr:nvCxnSpPr>
        <xdr:cNvPr id="784" name="Straight Connector 783">
          <a:extLst>
            <a:ext uri="{FF2B5EF4-FFF2-40B4-BE49-F238E27FC236}">
              <a16:creationId xmlns:a16="http://schemas.microsoft.com/office/drawing/2014/main" id="{58F66F89-D3A3-4F2D-9EAD-FDA14D8298B0}"/>
            </a:ext>
          </a:extLst>
        </xdr:cNvPr>
        <xdr:cNvCxnSpPr/>
      </xdr:nvCxnSpPr>
      <xdr:spPr>
        <a:xfrm flipH="1" flipV="1">
          <a:off x="1804947" y="28793313"/>
          <a:ext cx="5353120" cy="280896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31892</xdr:colOff>
      <xdr:row>196</xdr:row>
      <xdr:rowOff>93287</xdr:rowOff>
    </xdr:from>
    <xdr:to>
      <xdr:col>9</xdr:col>
      <xdr:colOff>157120</xdr:colOff>
      <xdr:row>197</xdr:row>
      <xdr:rowOff>90275</xdr:rowOff>
    </xdr:to>
    <xdr:grpSp>
      <xdr:nvGrpSpPr>
        <xdr:cNvPr id="785" name="Group 784">
          <a:extLst>
            <a:ext uri="{FF2B5EF4-FFF2-40B4-BE49-F238E27FC236}">
              <a16:creationId xmlns:a16="http://schemas.microsoft.com/office/drawing/2014/main" id="{9F598498-9DD2-4577-93D6-6A0618D23A7C}"/>
            </a:ext>
          </a:extLst>
        </xdr:cNvPr>
        <xdr:cNvGrpSpPr/>
      </xdr:nvGrpSpPr>
      <xdr:grpSpPr>
        <a:xfrm rot="19846558">
          <a:off x="3013631" y="29653917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6" name="Oval 785">
            <a:extLst>
              <a:ext uri="{FF2B5EF4-FFF2-40B4-BE49-F238E27FC236}">
                <a16:creationId xmlns:a16="http://schemas.microsoft.com/office/drawing/2014/main" id="{43624756-0B10-AAB8-F7AA-BBC9829E769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7" name="Straight Connector 786">
            <a:extLst>
              <a:ext uri="{FF2B5EF4-FFF2-40B4-BE49-F238E27FC236}">
                <a16:creationId xmlns:a16="http://schemas.microsoft.com/office/drawing/2014/main" id="{023E3C61-FAB4-FC65-D6FE-22D4A976CAC4}"/>
              </a:ext>
            </a:extLst>
          </xdr:cNvPr>
          <xdr:cNvCxnSpPr>
            <a:stCxn id="786" idx="1"/>
            <a:endCxn id="7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8" name="Straight Connector 787">
            <a:extLst>
              <a:ext uri="{FF2B5EF4-FFF2-40B4-BE49-F238E27FC236}">
                <a16:creationId xmlns:a16="http://schemas.microsoft.com/office/drawing/2014/main" id="{A714A9AA-5EF6-EF6B-93FF-9A94E63DE86F}"/>
              </a:ext>
            </a:extLst>
          </xdr:cNvPr>
          <xdr:cNvCxnSpPr>
            <a:stCxn id="786" idx="3"/>
            <a:endCxn id="7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98713</xdr:colOff>
      <xdr:row>212</xdr:row>
      <xdr:rowOff>147498</xdr:rowOff>
    </xdr:from>
    <xdr:to>
      <xdr:col>19</xdr:col>
      <xdr:colOff>306242</xdr:colOff>
      <xdr:row>216</xdr:row>
      <xdr:rowOff>93130</xdr:rowOff>
    </xdr:to>
    <xdr:sp macro="" textlink="">
      <xdr:nvSpPr>
        <xdr:cNvPr id="789" name="Rectangle 788">
          <a:extLst>
            <a:ext uri="{FF2B5EF4-FFF2-40B4-BE49-F238E27FC236}">
              <a16:creationId xmlns:a16="http://schemas.microsoft.com/office/drawing/2014/main" id="{EF4A9953-C6F6-4AD5-AA85-391D211F8026}"/>
            </a:ext>
          </a:extLst>
        </xdr:cNvPr>
        <xdr:cNvSpPr/>
      </xdr:nvSpPr>
      <xdr:spPr>
        <a:xfrm rot="184367">
          <a:off x="6494070" y="31879355"/>
          <a:ext cx="588529" cy="5443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12</xdr:col>
      <xdr:colOff>16795</xdr:colOff>
      <xdr:row>21</xdr:row>
      <xdr:rowOff>142875</xdr:rowOff>
    </xdr:from>
    <xdr:to>
      <xdr:col>14</xdr:col>
      <xdr:colOff>39207</xdr:colOff>
      <xdr:row>27</xdr:row>
      <xdr:rowOff>133350</xdr:rowOff>
    </xdr:to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52F0D6BA-E4E2-4C27-B8C1-8D34F5A1A8A7}"/>
            </a:ext>
          </a:extLst>
        </xdr:cNvPr>
        <xdr:cNvSpPr txBox="1"/>
      </xdr:nvSpPr>
      <xdr:spPr>
        <a:xfrm>
          <a:off x="4131595" y="3371850"/>
          <a:ext cx="784412" cy="9048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/10/14C/5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>
              <a:solidFill>
                <a:srgbClr val="FF0000"/>
              </a:solidFill>
            </a:rPr>
            <a:t>C12</a:t>
          </a:r>
          <a:r>
            <a:rPr lang="en-US" sz="8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12</xdr:col>
      <xdr:colOff>307041</xdr:colOff>
      <xdr:row>37</xdr:row>
      <xdr:rowOff>10885</xdr:rowOff>
    </xdr:from>
    <xdr:to>
      <xdr:col>14</xdr:col>
      <xdr:colOff>356502</xdr:colOff>
      <xdr:row>44</xdr:row>
      <xdr:rowOff>95250</xdr:rowOff>
    </xdr:to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5C03E74C-69DE-4351-8F1B-9AA9B284F7CE}"/>
            </a:ext>
          </a:extLst>
        </xdr:cNvPr>
        <xdr:cNvSpPr txBox="1"/>
      </xdr:nvSpPr>
      <xdr:spPr>
        <a:xfrm>
          <a:off x="4421841" y="5678260"/>
          <a:ext cx="811461" cy="11606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effectLst/>
          </a:endParaRPr>
        </a:p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/10/14C/2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1 C12-200</a:t>
          </a:r>
          <a:r>
            <a:rPr lang="en-US" sz="800" baseline="0">
              <a:solidFill>
                <a:sysClr val="windowText" lastClr="000000"/>
              </a:solidFill>
            </a:rPr>
            <a:t> DAN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CJ5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31</xdr:col>
      <xdr:colOff>62985</xdr:colOff>
      <xdr:row>0</xdr:row>
      <xdr:rowOff>51026</xdr:rowOff>
    </xdr:from>
    <xdr:to>
      <xdr:col>66</xdr:col>
      <xdr:colOff>87941</xdr:colOff>
      <xdr:row>54</xdr:row>
      <xdr:rowOff>32326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250DBD2C-D110-46F1-9F0B-D6CC864FE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16798" y="51026"/>
          <a:ext cx="13359956" cy="7958488"/>
        </a:xfrm>
        <a:prstGeom prst="rect">
          <a:avLst/>
        </a:prstGeom>
      </xdr:spPr>
    </xdr:pic>
    <xdr:clientData/>
  </xdr:twoCellAnchor>
  <xdr:twoCellAnchor>
    <xdr:from>
      <xdr:col>9</xdr:col>
      <xdr:colOff>86318</xdr:colOff>
      <xdr:row>75</xdr:row>
      <xdr:rowOff>76673</xdr:rowOff>
    </xdr:from>
    <xdr:to>
      <xdr:col>9</xdr:col>
      <xdr:colOff>211546</xdr:colOff>
      <xdr:row>76</xdr:row>
      <xdr:rowOff>81458</xdr:rowOff>
    </xdr:to>
    <xdr:grpSp>
      <xdr:nvGrpSpPr>
        <xdr:cNvPr id="797" name="Group 796">
          <a:extLst>
            <a:ext uri="{FF2B5EF4-FFF2-40B4-BE49-F238E27FC236}">
              <a16:creationId xmlns:a16="http://schemas.microsoft.com/office/drawing/2014/main" id="{D7418686-C2C8-4AB9-8F9D-DA1E2F812AAE}"/>
            </a:ext>
          </a:extLst>
        </xdr:cNvPr>
        <xdr:cNvGrpSpPr/>
      </xdr:nvGrpSpPr>
      <xdr:grpSpPr>
        <a:xfrm rot="19846558">
          <a:off x="3068057" y="11498390"/>
          <a:ext cx="125228" cy="15387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8" name="Oval 797">
            <a:extLst>
              <a:ext uri="{FF2B5EF4-FFF2-40B4-BE49-F238E27FC236}">
                <a16:creationId xmlns:a16="http://schemas.microsoft.com/office/drawing/2014/main" id="{811930B5-C086-AECD-C9B4-2F25EC22B9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9" name="Straight Connector 798">
            <a:extLst>
              <a:ext uri="{FF2B5EF4-FFF2-40B4-BE49-F238E27FC236}">
                <a16:creationId xmlns:a16="http://schemas.microsoft.com/office/drawing/2014/main" id="{7F01DD87-E024-F2D8-DDAD-3AD4E4ED34FC}"/>
              </a:ext>
            </a:extLst>
          </xdr:cNvPr>
          <xdr:cNvCxnSpPr>
            <a:stCxn id="798" idx="1"/>
            <a:endCxn id="7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0" name="Straight Connector 799">
            <a:extLst>
              <a:ext uri="{FF2B5EF4-FFF2-40B4-BE49-F238E27FC236}">
                <a16:creationId xmlns:a16="http://schemas.microsoft.com/office/drawing/2014/main" id="{70138F68-D925-3AB3-4BD9-66E397659A83}"/>
              </a:ext>
            </a:extLst>
          </xdr:cNvPr>
          <xdr:cNvCxnSpPr>
            <a:stCxn id="798" idx="3"/>
            <a:endCxn id="7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366949</xdr:colOff>
      <xdr:row>99</xdr:row>
      <xdr:rowOff>142084</xdr:rowOff>
    </xdr:from>
    <xdr:to>
      <xdr:col>18</xdr:col>
      <xdr:colOff>111177</xdr:colOff>
      <xdr:row>100</xdr:row>
      <xdr:rowOff>139073</xdr:rowOff>
    </xdr:to>
    <xdr:grpSp>
      <xdr:nvGrpSpPr>
        <xdr:cNvPr id="801" name="Group 800">
          <a:extLst>
            <a:ext uri="{FF2B5EF4-FFF2-40B4-BE49-F238E27FC236}">
              <a16:creationId xmlns:a16="http://schemas.microsoft.com/office/drawing/2014/main" id="{E04C0E4A-DD8E-4F81-940C-8620025F9F70}"/>
            </a:ext>
          </a:extLst>
        </xdr:cNvPr>
        <xdr:cNvGrpSpPr/>
      </xdr:nvGrpSpPr>
      <xdr:grpSpPr>
        <a:xfrm rot="19846558">
          <a:off x="6396688" y="15141888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02" name="Oval 801">
            <a:extLst>
              <a:ext uri="{FF2B5EF4-FFF2-40B4-BE49-F238E27FC236}">
                <a16:creationId xmlns:a16="http://schemas.microsoft.com/office/drawing/2014/main" id="{47F1562E-47D0-F46B-6288-BFACB89496D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3" name="Straight Connector 802">
            <a:extLst>
              <a:ext uri="{FF2B5EF4-FFF2-40B4-BE49-F238E27FC236}">
                <a16:creationId xmlns:a16="http://schemas.microsoft.com/office/drawing/2014/main" id="{4C47C7EE-FC80-3D64-944E-978DF30A69A9}"/>
              </a:ext>
            </a:extLst>
          </xdr:cNvPr>
          <xdr:cNvCxnSpPr>
            <a:stCxn id="802" idx="1"/>
            <a:endCxn id="8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D181E45D-36D9-CCFD-4DB2-76DB46314075}"/>
              </a:ext>
            </a:extLst>
          </xdr:cNvPr>
          <xdr:cNvCxnSpPr>
            <a:stCxn id="802" idx="3"/>
            <a:endCxn id="8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144782</xdr:colOff>
      <xdr:row>72</xdr:row>
      <xdr:rowOff>73940</xdr:rowOff>
    </xdr:from>
    <xdr:to>
      <xdr:col>6</xdr:col>
      <xdr:colOff>270010</xdr:colOff>
      <xdr:row>73</xdr:row>
      <xdr:rowOff>70929</xdr:rowOff>
    </xdr:to>
    <xdr:grpSp>
      <xdr:nvGrpSpPr>
        <xdr:cNvPr id="805" name="Group 804">
          <a:extLst>
            <a:ext uri="{FF2B5EF4-FFF2-40B4-BE49-F238E27FC236}">
              <a16:creationId xmlns:a16="http://schemas.microsoft.com/office/drawing/2014/main" id="{542ED254-F3EF-42C8-9229-8517525DF731}"/>
            </a:ext>
          </a:extLst>
        </xdr:cNvPr>
        <xdr:cNvGrpSpPr/>
      </xdr:nvGrpSpPr>
      <xdr:grpSpPr>
        <a:xfrm rot="19846558">
          <a:off x="1983521" y="11048397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06" name="Oval 805">
            <a:extLst>
              <a:ext uri="{FF2B5EF4-FFF2-40B4-BE49-F238E27FC236}">
                <a16:creationId xmlns:a16="http://schemas.microsoft.com/office/drawing/2014/main" id="{F6CECDF4-132C-7C68-1FA4-75C6A3CD13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7" name="Straight Connector 806">
            <a:extLst>
              <a:ext uri="{FF2B5EF4-FFF2-40B4-BE49-F238E27FC236}">
                <a16:creationId xmlns:a16="http://schemas.microsoft.com/office/drawing/2014/main" id="{4DD03905-1476-F844-5559-03178750F048}"/>
              </a:ext>
            </a:extLst>
          </xdr:cNvPr>
          <xdr:cNvCxnSpPr>
            <a:stCxn id="806" idx="1"/>
            <a:endCxn id="8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8" name="Straight Connector 807">
            <a:extLst>
              <a:ext uri="{FF2B5EF4-FFF2-40B4-BE49-F238E27FC236}">
                <a16:creationId xmlns:a16="http://schemas.microsoft.com/office/drawing/2014/main" id="{92D6042F-E6F4-D643-CF57-39442EF32355}"/>
              </a:ext>
            </a:extLst>
          </xdr:cNvPr>
          <xdr:cNvCxnSpPr>
            <a:stCxn id="806" idx="3"/>
            <a:endCxn id="8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43441</xdr:colOff>
      <xdr:row>96</xdr:row>
      <xdr:rowOff>8053</xdr:rowOff>
    </xdr:from>
    <xdr:to>
      <xdr:col>14</xdr:col>
      <xdr:colOff>168669</xdr:colOff>
      <xdr:row>97</xdr:row>
      <xdr:rowOff>5041</xdr:rowOff>
    </xdr:to>
    <xdr:grpSp>
      <xdr:nvGrpSpPr>
        <xdr:cNvPr id="809" name="Group 808">
          <a:extLst>
            <a:ext uri="{FF2B5EF4-FFF2-40B4-BE49-F238E27FC236}">
              <a16:creationId xmlns:a16="http://schemas.microsoft.com/office/drawing/2014/main" id="{5B4E83A3-B712-4924-B12A-77FD5B4BF586}"/>
            </a:ext>
          </a:extLst>
        </xdr:cNvPr>
        <xdr:cNvGrpSpPr/>
      </xdr:nvGrpSpPr>
      <xdr:grpSpPr>
        <a:xfrm rot="19846558">
          <a:off x="4930180" y="14560596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0" name="Oval 809">
            <a:extLst>
              <a:ext uri="{FF2B5EF4-FFF2-40B4-BE49-F238E27FC236}">
                <a16:creationId xmlns:a16="http://schemas.microsoft.com/office/drawing/2014/main" id="{C05290A9-EB06-68AE-E944-D732074944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81B3BA96-4B0C-B3B6-248D-1D41800339F8}"/>
              </a:ext>
            </a:extLst>
          </xdr:cNvPr>
          <xdr:cNvCxnSpPr>
            <a:stCxn id="810" idx="1"/>
            <a:endCxn id="8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2" name="Straight Connector 811">
            <a:extLst>
              <a:ext uri="{FF2B5EF4-FFF2-40B4-BE49-F238E27FC236}">
                <a16:creationId xmlns:a16="http://schemas.microsoft.com/office/drawing/2014/main" id="{0066FDCE-56FF-0355-1248-079E2655F081}"/>
              </a:ext>
            </a:extLst>
          </xdr:cNvPr>
          <xdr:cNvCxnSpPr>
            <a:stCxn id="810" idx="3"/>
            <a:endCxn id="8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307023</xdr:colOff>
      <xdr:row>97</xdr:row>
      <xdr:rowOff>116288</xdr:rowOff>
    </xdr:from>
    <xdr:to>
      <xdr:col>16</xdr:col>
      <xdr:colOff>51251</xdr:colOff>
      <xdr:row>98</xdr:row>
      <xdr:rowOff>106501</xdr:rowOff>
    </xdr:to>
    <xdr:grpSp>
      <xdr:nvGrpSpPr>
        <xdr:cNvPr id="813" name="Group 812">
          <a:extLst>
            <a:ext uri="{FF2B5EF4-FFF2-40B4-BE49-F238E27FC236}">
              <a16:creationId xmlns:a16="http://schemas.microsoft.com/office/drawing/2014/main" id="{2F26ED6C-DB11-4998-A764-6E98DF58C036}"/>
            </a:ext>
          </a:extLst>
        </xdr:cNvPr>
        <xdr:cNvGrpSpPr/>
      </xdr:nvGrpSpPr>
      <xdr:grpSpPr>
        <a:xfrm rot="19846558">
          <a:off x="5574762" y="14817918"/>
          <a:ext cx="125228" cy="13930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4" name="Oval 813">
            <a:extLst>
              <a:ext uri="{FF2B5EF4-FFF2-40B4-BE49-F238E27FC236}">
                <a16:creationId xmlns:a16="http://schemas.microsoft.com/office/drawing/2014/main" id="{27E0FF2E-9AF1-7000-2B4C-B5394912AA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5" name="Straight Connector 814">
            <a:extLst>
              <a:ext uri="{FF2B5EF4-FFF2-40B4-BE49-F238E27FC236}">
                <a16:creationId xmlns:a16="http://schemas.microsoft.com/office/drawing/2014/main" id="{5FB0007D-15E2-64B5-68EB-7BF312C61F12}"/>
              </a:ext>
            </a:extLst>
          </xdr:cNvPr>
          <xdr:cNvCxnSpPr>
            <a:stCxn id="814" idx="1"/>
            <a:endCxn id="8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6" name="Straight Connector 815">
            <a:extLst>
              <a:ext uri="{FF2B5EF4-FFF2-40B4-BE49-F238E27FC236}">
                <a16:creationId xmlns:a16="http://schemas.microsoft.com/office/drawing/2014/main" id="{E7898CDB-58C2-0BE8-5709-583A66A2F856}"/>
              </a:ext>
            </a:extLst>
          </xdr:cNvPr>
          <xdr:cNvCxnSpPr>
            <a:stCxn id="814" idx="3"/>
            <a:endCxn id="8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111397</xdr:colOff>
      <xdr:row>94</xdr:row>
      <xdr:rowOff>30076</xdr:rowOff>
    </xdr:from>
    <xdr:to>
      <xdr:col>12</xdr:col>
      <xdr:colOff>236625</xdr:colOff>
      <xdr:row>95</xdr:row>
      <xdr:rowOff>27063</xdr:rowOff>
    </xdr:to>
    <xdr:grpSp>
      <xdr:nvGrpSpPr>
        <xdr:cNvPr id="817" name="Group 816">
          <a:extLst>
            <a:ext uri="{FF2B5EF4-FFF2-40B4-BE49-F238E27FC236}">
              <a16:creationId xmlns:a16="http://schemas.microsoft.com/office/drawing/2014/main" id="{7C881149-E91B-4405-8571-56ABAE23DAFE}"/>
            </a:ext>
          </a:extLst>
        </xdr:cNvPr>
        <xdr:cNvGrpSpPr/>
      </xdr:nvGrpSpPr>
      <xdr:grpSpPr>
        <a:xfrm rot="19846558">
          <a:off x="4236136" y="14284446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8" name="Oval 817">
            <a:extLst>
              <a:ext uri="{FF2B5EF4-FFF2-40B4-BE49-F238E27FC236}">
                <a16:creationId xmlns:a16="http://schemas.microsoft.com/office/drawing/2014/main" id="{C5EC322D-CBBA-BFB4-F2F5-3559652CE9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9" name="Straight Connector 818">
            <a:extLst>
              <a:ext uri="{FF2B5EF4-FFF2-40B4-BE49-F238E27FC236}">
                <a16:creationId xmlns:a16="http://schemas.microsoft.com/office/drawing/2014/main" id="{161F79BF-0551-289C-8D07-3E3CA92FF7F8}"/>
              </a:ext>
            </a:extLst>
          </xdr:cNvPr>
          <xdr:cNvCxnSpPr>
            <a:stCxn id="818" idx="1"/>
            <a:endCxn id="8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0" name="Straight Connector 819">
            <a:extLst>
              <a:ext uri="{FF2B5EF4-FFF2-40B4-BE49-F238E27FC236}">
                <a16:creationId xmlns:a16="http://schemas.microsoft.com/office/drawing/2014/main" id="{A52BB307-33AB-64D0-CCEC-B93FBD95688C}"/>
              </a:ext>
            </a:extLst>
          </xdr:cNvPr>
          <xdr:cNvCxnSpPr>
            <a:stCxn id="818" idx="3"/>
            <a:endCxn id="8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307024</xdr:colOff>
      <xdr:row>92</xdr:row>
      <xdr:rowOff>101173</xdr:rowOff>
    </xdr:from>
    <xdr:to>
      <xdr:col>11</xdr:col>
      <xdr:colOff>51252</xdr:colOff>
      <xdr:row>93</xdr:row>
      <xdr:rowOff>98162</xdr:rowOff>
    </xdr:to>
    <xdr:grpSp>
      <xdr:nvGrpSpPr>
        <xdr:cNvPr id="821" name="Group 820">
          <a:extLst>
            <a:ext uri="{FF2B5EF4-FFF2-40B4-BE49-F238E27FC236}">
              <a16:creationId xmlns:a16="http://schemas.microsoft.com/office/drawing/2014/main" id="{4742DBC5-E81C-4852-8D33-0191973A96F2}"/>
            </a:ext>
          </a:extLst>
        </xdr:cNvPr>
        <xdr:cNvGrpSpPr/>
      </xdr:nvGrpSpPr>
      <xdr:grpSpPr>
        <a:xfrm rot="19846558">
          <a:off x="3669763" y="14057369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2" name="Oval 821">
            <a:extLst>
              <a:ext uri="{FF2B5EF4-FFF2-40B4-BE49-F238E27FC236}">
                <a16:creationId xmlns:a16="http://schemas.microsoft.com/office/drawing/2014/main" id="{BCC70B08-DD03-19E2-0F5D-EF16E6DE615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3" name="Straight Connector 822">
            <a:extLst>
              <a:ext uri="{FF2B5EF4-FFF2-40B4-BE49-F238E27FC236}">
                <a16:creationId xmlns:a16="http://schemas.microsoft.com/office/drawing/2014/main" id="{C8407C9B-1E97-D8E8-9266-FBB9285B39A8}"/>
              </a:ext>
            </a:extLst>
          </xdr:cNvPr>
          <xdr:cNvCxnSpPr>
            <a:stCxn id="822" idx="1"/>
            <a:endCxn id="8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4" name="Straight Connector 823">
            <a:extLst>
              <a:ext uri="{FF2B5EF4-FFF2-40B4-BE49-F238E27FC236}">
                <a16:creationId xmlns:a16="http://schemas.microsoft.com/office/drawing/2014/main" id="{B1AD8B57-97D5-407E-E04F-E213BECEFA0A}"/>
              </a:ext>
            </a:extLst>
          </xdr:cNvPr>
          <xdr:cNvCxnSpPr>
            <a:stCxn id="822" idx="3"/>
            <a:endCxn id="8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117498</xdr:colOff>
      <xdr:row>91</xdr:row>
      <xdr:rowOff>14157</xdr:rowOff>
    </xdr:from>
    <xdr:to>
      <xdr:col>9</xdr:col>
      <xdr:colOff>242726</xdr:colOff>
      <xdr:row>92</xdr:row>
      <xdr:rowOff>11145</xdr:rowOff>
    </xdr:to>
    <xdr:grpSp>
      <xdr:nvGrpSpPr>
        <xdr:cNvPr id="825" name="Group 824">
          <a:extLst>
            <a:ext uri="{FF2B5EF4-FFF2-40B4-BE49-F238E27FC236}">
              <a16:creationId xmlns:a16="http://schemas.microsoft.com/office/drawing/2014/main" id="{44A0E6DD-798E-4CE6-85F0-0A029A89B04F}"/>
            </a:ext>
          </a:extLst>
        </xdr:cNvPr>
        <xdr:cNvGrpSpPr/>
      </xdr:nvGrpSpPr>
      <xdr:grpSpPr>
        <a:xfrm rot="19846558">
          <a:off x="3099237" y="13821266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6" name="Oval 825">
            <a:extLst>
              <a:ext uri="{FF2B5EF4-FFF2-40B4-BE49-F238E27FC236}">
                <a16:creationId xmlns:a16="http://schemas.microsoft.com/office/drawing/2014/main" id="{C3F74272-1211-06A1-C67D-7D9DAF3338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7" name="Straight Connector 826">
            <a:extLst>
              <a:ext uri="{FF2B5EF4-FFF2-40B4-BE49-F238E27FC236}">
                <a16:creationId xmlns:a16="http://schemas.microsoft.com/office/drawing/2014/main" id="{C7339468-4A82-4011-702F-FCAEFBBC2188}"/>
              </a:ext>
            </a:extLst>
          </xdr:cNvPr>
          <xdr:cNvCxnSpPr>
            <a:stCxn id="826" idx="1"/>
            <a:endCxn id="8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8" name="Straight Connector 827">
            <a:extLst>
              <a:ext uri="{FF2B5EF4-FFF2-40B4-BE49-F238E27FC236}">
                <a16:creationId xmlns:a16="http://schemas.microsoft.com/office/drawing/2014/main" id="{82D8AB6F-4FD7-5DE4-725D-ABA1C66F5C35}"/>
              </a:ext>
            </a:extLst>
          </xdr:cNvPr>
          <xdr:cNvCxnSpPr>
            <a:stCxn id="826" idx="3"/>
            <a:endCxn id="8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29312</xdr:colOff>
      <xdr:row>87</xdr:row>
      <xdr:rowOff>144309</xdr:rowOff>
    </xdr:from>
    <xdr:to>
      <xdr:col>6</xdr:col>
      <xdr:colOff>154540</xdr:colOff>
      <xdr:row>88</xdr:row>
      <xdr:rowOff>141296</xdr:rowOff>
    </xdr:to>
    <xdr:grpSp>
      <xdr:nvGrpSpPr>
        <xdr:cNvPr id="829" name="Group 828">
          <a:extLst>
            <a:ext uri="{FF2B5EF4-FFF2-40B4-BE49-F238E27FC236}">
              <a16:creationId xmlns:a16="http://schemas.microsoft.com/office/drawing/2014/main" id="{DFA33274-26F7-4D5B-86B3-E65A16BC43ED}"/>
            </a:ext>
          </a:extLst>
        </xdr:cNvPr>
        <xdr:cNvGrpSpPr/>
      </xdr:nvGrpSpPr>
      <xdr:grpSpPr>
        <a:xfrm rot="19846558">
          <a:off x="1868051" y="13355070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0" name="Oval 829">
            <a:extLst>
              <a:ext uri="{FF2B5EF4-FFF2-40B4-BE49-F238E27FC236}">
                <a16:creationId xmlns:a16="http://schemas.microsoft.com/office/drawing/2014/main" id="{35C8D96A-B10D-A6E7-DF94-FC576AFB4D2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1" name="Straight Connector 830">
            <a:extLst>
              <a:ext uri="{FF2B5EF4-FFF2-40B4-BE49-F238E27FC236}">
                <a16:creationId xmlns:a16="http://schemas.microsoft.com/office/drawing/2014/main" id="{F678BC92-B0E2-C382-F2BE-E374A859D314}"/>
              </a:ext>
            </a:extLst>
          </xdr:cNvPr>
          <xdr:cNvCxnSpPr>
            <a:stCxn id="830" idx="1"/>
            <a:endCxn id="8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F4686E69-81CD-F919-B3D8-88476335AF69}"/>
              </a:ext>
            </a:extLst>
          </xdr:cNvPr>
          <xdr:cNvCxnSpPr>
            <a:stCxn id="830" idx="3"/>
            <a:endCxn id="8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270984</xdr:colOff>
      <xdr:row>89</xdr:row>
      <xdr:rowOff>103590</xdr:rowOff>
    </xdr:from>
    <xdr:to>
      <xdr:col>8</xdr:col>
      <xdr:colOff>15212</xdr:colOff>
      <xdr:row>90</xdr:row>
      <xdr:rowOff>100578</xdr:rowOff>
    </xdr:to>
    <xdr:grpSp>
      <xdr:nvGrpSpPr>
        <xdr:cNvPr id="833" name="Group 832">
          <a:extLst>
            <a:ext uri="{FF2B5EF4-FFF2-40B4-BE49-F238E27FC236}">
              <a16:creationId xmlns:a16="http://schemas.microsoft.com/office/drawing/2014/main" id="{78508056-BB43-4EF6-BD47-8B472602F7E3}"/>
            </a:ext>
          </a:extLst>
        </xdr:cNvPr>
        <xdr:cNvGrpSpPr/>
      </xdr:nvGrpSpPr>
      <xdr:grpSpPr>
        <a:xfrm rot="19846558">
          <a:off x="2490723" y="13612525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4" name="Oval 833">
            <a:extLst>
              <a:ext uri="{FF2B5EF4-FFF2-40B4-BE49-F238E27FC236}">
                <a16:creationId xmlns:a16="http://schemas.microsoft.com/office/drawing/2014/main" id="{2F796D41-AAF9-3151-D52F-D883FD7617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5" name="Straight Connector 834">
            <a:extLst>
              <a:ext uri="{FF2B5EF4-FFF2-40B4-BE49-F238E27FC236}">
                <a16:creationId xmlns:a16="http://schemas.microsoft.com/office/drawing/2014/main" id="{14F97505-ACEB-C2EF-F90A-9FBE6BF3C3E9}"/>
              </a:ext>
            </a:extLst>
          </xdr:cNvPr>
          <xdr:cNvCxnSpPr>
            <a:stCxn id="834" idx="1"/>
            <a:endCxn id="8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6" name="Straight Connector 835">
            <a:extLst>
              <a:ext uri="{FF2B5EF4-FFF2-40B4-BE49-F238E27FC236}">
                <a16:creationId xmlns:a16="http://schemas.microsoft.com/office/drawing/2014/main" id="{165AFF7D-C129-B33D-3906-C2A3B71960A2}"/>
              </a:ext>
            </a:extLst>
          </xdr:cNvPr>
          <xdr:cNvCxnSpPr>
            <a:stCxn id="834" idx="3"/>
            <a:endCxn id="8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369335</xdr:colOff>
      <xdr:row>70</xdr:row>
      <xdr:rowOff>16260</xdr:rowOff>
    </xdr:from>
    <xdr:to>
      <xdr:col>6</xdr:col>
      <xdr:colOff>75598</xdr:colOff>
      <xdr:row>72</xdr:row>
      <xdr:rowOff>143981</xdr:rowOff>
    </xdr:to>
    <xdr:sp macro="" textlink="">
      <xdr:nvSpPr>
        <xdr:cNvPr id="837" name="Rectangle 836">
          <a:extLst>
            <a:ext uri="{FF2B5EF4-FFF2-40B4-BE49-F238E27FC236}">
              <a16:creationId xmlns:a16="http://schemas.microsoft.com/office/drawing/2014/main" id="{F1804587-5AED-40EB-8B02-C54B62A5C043}"/>
            </a:ext>
          </a:extLst>
        </xdr:cNvPr>
        <xdr:cNvSpPr/>
      </xdr:nvSpPr>
      <xdr:spPr>
        <a:xfrm>
          <a:off x="1430692" y="10711474"/>
          <a:ext cx="468263" cy="4270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12</xdr:col>
      <xdr:colOff>76840</xdr:colOff>
      <xdr:row>128</xdr:row>
      <xdr:rowOff>110445</xdr:rowOff>
    </xdr:from>
    <xdr:to>
      <xdr:col>13</xdr:col>
      <xdr:colOff>259460</xdr:colOff>
      <xdr:row>131</xdr:row>
      <xdr:rowOff>45973</xdr:rowOff>
    </xdr:to>
    <xdr:sp macro="" textlink="">
      <xdr:nvSpPr>
        <xdr:cNvPr id="839" name="Rectangle 838">
          <a:extLst>
            <a:ext uri="{FF2B5EF4-FFF2-40B4-BE49-F238E27FC236}">
              <a16:creationId xmlns:a16="http://schemas.microsoft.com/office/drawing/2014/main" id="{3E9F29E2-316F-4A5D-A0C5-802E38CC7DC5}"/>
            </a:ext>
          </a:extLst>
        </xdr:cNvPr>
        <xdr:cNvSpPr/>
      </xdr:nvSpPr>
      <xdr:spPr>
        <a:xfrm rot="184367">
          <a:off x="4186197" y="19228481"/>
          <a:ext cx="563620" cy="3845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3</xdr:col>
      <xdr:colOff>314965</xdr:colOff>
      <xdr:row>158</xdr:row>
      <xdr:rowOff>121083</xdr:rowOff>
    </xdr:from>
    <xdr:to>
      <xdr:col>5</xdr:col>
      <xdr:colOff>282467</xdr:colOff>
      <xdr:row>162</xdr:row>
      <xdr:rowOff>18535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26D15F51-C9C0-401C-8395-4D5FBD41C18F}"/>
            </a:ext>
          </a:extLst>
        </xdr:cNvPr>
        <xdr:cNvSpPr txBox="1"/>
      </xdr:nvSpPr>
      <xdr:spPr>
        <a:xfrm>
          <a:off x="995322" y="23729476"/>
          <a:ext cx="729502" cy="4961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>
              <a:solidFill>
                <a:schemeClr val="tx1"/>
              </a:solidFill>
            </a:rPr>
            <a:t>C11</a:t>
          </a:r>
          <a:r>
            <a:rPr lang="en-US" sz="8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CC8A</a:t>
          </a:r>
        </a:p>
      </xdr:txBody>
    </xdr:sp>
    <xdr:clientData/>
  </xdr:twoCellAnchor>
  <xdr:twoCellAnchor>
    <xdr:from>
      <xdr:col>8</xdr:col>
      <xdr:colOff>143514</xdr:colOff>
      <xdr:row>153</xdr:row>
      <xdr:rowOff>99683</xdr:rowOff>
    </xdr:from>
    <xdr:to>
      <xdr:col>10</xdr:col>
      <xdr:colOff>114939</xdr:colOff>
      <xdr:row>155</xdr:row>
      <xdr:rowOff>140628</xdr:rowOff>
    </xdr:to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C0490CB-FD99-4E10-94A4-CAD0CF5940E7}"/>
            </a:ext>
          </a:extLst>
        </xdr:cNvPr>
        <xdr:cNvSpPr txBox="1"/>
      </xdr:nvSpPr>
      <xdr:spPr>
        <a:xfrm>
          <a:off x="2728871" y="22959683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CB1</a:t>
          </a:r>
        </a:p>
      </xdr:txBody>
    </xdr:sp>
    <xdr:clientData/>
  </xdr:twoCellAnchor>
  <xdr:twoCellAnchor>
    <xdr:from>
      <xdr:col>10</xdr:col>
      <xdr:colOff>19690</xdr:colOff>
      <xdr:row>145</xdr:row>
      <xdr:rowOff>78778</xdr:rowOff>
    </xdr:from>
    <xdr:to>
      <xdr:col>12</xdr:col>
      <xdr:colOff>219715</xdr:colOff>
      <xdr:row>148</xdr:row>
      <xdr:rowOff>36719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5D20F6F4-2A45-42B3-8C6E-E549181946D5}"/>
            </a:ext>
          </a:extLst>
        </xdr:cNvPr>
        <xdr:cNvSpPr txBox="1"/>
      </xdr:nvSpPr>
      <xdr:spPr>
        <a:xfrm>
          <a:off x="3367047" y="21741349"/>
          <a:ext cx="962025" cy="40697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CB1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PENEGAKAN TIANG</a:t>
          </a:r>
        </a:p>
      </xdr:txBody>
    </xdr:sp>
    <xdr:clientData/>
  </xdr:twoCellAnchor>
  <xdr:twoCellAnchor>
    <xdr:from>
      <xdr:col>9</xdr:col>
      <xdr:colOff>295915</xdr:colOff>
      <xdr:row>129</xdr:row>
      <xdr:rowOff>116632</xdr:rowOff>
    </xdr:from>
    <xdr:to>
      <xdr:col>11</xdr:col>
      <xdr:colOff>219715</xdr:colOff>
      <xdr:row>134</xdr:row>
      <xdr:rowOff>10743</xdr:rowOff>
    </xdr:to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D5398291-6912-4205-B694-E9D7F3CE21A3}"/>
            </a:ext>
          </a:extLst>
        </xdr:cNvPr>
        <xdr:cNvSpPr txBox="1"/>
      </xdr:nvSpPr>
      <xdr:spPr>
        <a:xfrm>
          <a:off x="3262272" y="19384346"/>
          <a:ext cx="685800" cy="6425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</a:rPr>
            <a:t>KDS</a:t>
          </a:r>
          <a:r>
            <a:rPr lang="en-US" sz="700" b="1" u="sng" baseline="0">
              <a:solidFill>
                <a:srgbClr val="FF0000"/>
              </a:solidFill>
            </a:rPr>
            <a:t> 16</a:t>
          </a:r>
        </a:p>
        <a:p>
          <a:pPr algn="ctr"/>
          <a:endParaRPr lang="en-US" sz="700" b="1" u="sng" baseline="0">
            <a:solidFill>
              <a:srgbClr val="FF0000"/>
            </a:solidFill>
          </a:endParaRPr>
        </a:p>
        <a:p>
          <a:pPr algn="l"/>
          <a:r>
            <a:rPr lang="en-US" sz="700">
              <a:solidFill>
                <a:srgbClr val="FF0000"/>
              </a:solidFill>
            </a:rPr>
            <a:t>C12</a:t>
          </a:r>
          <a:r>
            <a:rPr lang="en-US" sz="7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15</xdr:col>
      <xdr:colOff>16986</xdr:colOff>
      <xdr:row>217</xdr:row>
      <xdr:rowOff>41757</xdr:rowOff>
    </xdr:from>
    <xdr:to>
      <xdr:col>15</xdr:col>
      <xdr:colOff>142214</xdr:colOff>
      <xdr:row>218</xdr:row>
      <xdr:rowOff>38744</xdr:rowOff>
    </xdr:to>
    <xdr:grpSp>
      <xdr:nvGrpSpPr>
        <xdr:cNvPr id="844" name="Group 843">
          <a:extLst>
            <a:ext uri="{FF2B5EF4-FFF2-40B4-BE49-F238E27FC236}">
              <a16:creationId xmlns:a16="http://schemas.microsoft.com/office/drawing/2014/main" id="{1385C794-21A1-49AC-BC52-C0D2A4A38FDD}"/>
            </a:ext>
          </a:extLst>
        </xdr:cNvPr>
        <xdr:cNvGrpSpPr/>
      </xdr:nvGrpSpPr>
      <xdr:grpSpPr>
        <a:xfrm rot="19846558">
          <a:off x="5284725" y="32733214"/>
          <a:ext cx="125228" cy="14607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5" name="Oval 844">
            <a:extLst>
              <a:ext uri="{FF2B5EF4-FFF2-40B4-BE49-F238E27FC236}">
                <a16:creationId xmlns:a16="http://schemas.microsoft.com/office/drawing/2014/main" id="{C16CA76E-B3C9-62AD-D23F-42653A50D2A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9DE0E082-6783-47FA-DAEC-6249349C1437}"/>
              </a:ext>
            </a:extLst>
          </xdr:cNvPr>
          <xdr:cNvCxnSpPr>
            <a:stCxn id="845" idx="1"/>
            <a:endCxn id="8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7" name="Straight Connector 846">
            <a:extLst>
              <a:ext uri="{FF2B5EF4-FFF2-40B4-BE49-F238E27FC236}">
                <a16:creationId xmlns:a16="http://schemas.microsoft.com/office/drawing/2014/main" id="{F3158645-4314-2562-F598-914871406B60}"/>
              </a:ext>
            </a:extLst>
          </xdr:cNvPr>
          <xdr:cNvCxnSpPr>
            <a:stCxn id="845" idx="3"/>
            <a:endCxn id="8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266096</xdr:colOff>
      <xdr:row>214</xdr:row>
      <xdr:rowOff>46732</xdr:rowOff>
    </xdr:from>
    <xdr:to>
      <xdr:col>13</xdr:col>
      <xdr:colOff>10324</xdr:colOff>
      <xdr:row>215</xdr:row>
      <xdr:rowOff>43720</xdr:rowOff>
    </xdr:to>
    <xdr:grpSp>
      <xdr:nvGrpSpPr>
        <xdr:cNvPr id="848" name="Group 847">
          <a:extLst>
            <a:ext uri="{FF2B5EF4-FFF2-40B4-BE49-F238E27FC236}">
              <a16:creationId xmlns:a16="http://schemas.microsoft.com/office/drawing/2014/main" id="{BAC8EA09-0179-4B6E-AF55-9D2CCBCF2B22}"/>
            </a:ext>
          </a:extLst>
        </xdr:cNvPr>
        <xdr:cNvGrpSpPr/>
      </xdr:nvGrpSpPr>
      <xdr:grpSpPr>
        <a:xfrm rot="19846558">
          <a:off x="4390835" y="32290928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9" name="Oval 848">
            <a:extLst>
              <a:ext uri="{FF2B5EF4-FFF2-40B4-BE49-F238E27FC236}">
                <a16:creationId xmlns:a16="http://schemas.microsoft.com/office/drawing/2014/main" id="{4EC5F4D8-A0E9-C7D6-6B3F-7F319F7E8B6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0" name="Straight Connector 849">
            <a:extLst>
              <a:ext uri="{FF2B5EF4-FFF2-40B4-BE49-F238E27FC236}">
                <a16:creationId xmlns:a16="http://schemas.microsoft.com/office/drawing/2014/main" id="{53464E35-8072-6C97-AE68-4AA87E58A9D5}"/>
              </a:ext>
            </a:extLst>
          </xdr:cNvPr>
          <xdr:cNvCxnSpPr>
            <a:stCxn id="849" idx="1"/>
            <a:endCxn id="8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1" name="Straight Connector 850">
            <a:extLst>
              <a:ext uri="{FF2B5EF4-FFF2-40B4-BE49-F238E27FC236}">
                <a16:creationId xmlns:a16="http://schemas.microsoft.com/office/drawing/2014/main" id="{FF0AAE91-2C62-8DA0-6CEB-710F151E1E4C}"/>
              </a:ext>
            </a:extLst>
          </xdr:cNvPr>
          <xdr:cNvCxnSpPr>
            <a:stCxn id="849" idx="3"/>
            <a:endCxn id="8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287440</xdr:colOff>
      <xdr:row>208</xdr:row>
      <xdr:rowOff>114936</xdr:rowOff>
    </xdr:from>
    <xdr:to>
      <xdr:col>9</xdr:col>
      <xdr:colOff>31668</xdr:colOff>
      <xdr:row>209</xdr:row>
      <xdr:rowOff>111926</xdr:rowOff>
    </xdr:to>
    <xdr:grpSp>
      <xdr:nvGrpSpPr>
        <xdr:cNvPr id="852" name="Group 851">
          <a:extLst>
            <a:ext uri="{FF2B5EF4-FFF2-40B4-BE49-F238E27FC236}">
              <a16:creationId xmlns:a16="http://schemas.microsoft.com/office/drawing/2014/main" id="{E15D6281-5DA2-4D41-AEEF-EB1DBDCDA445}"/>
            </a:ext>
          </a:extLst>
        </xdr:cNvPr>
        <xdr:cNvGrpSpPr/>
      </xdr:nvGrpSpPr>
      <xdr:grpSpPr>
        <a:xfrm rot="19846558">
          <a:off x="2888179" y="31464610"/>
          <a:ext cx="125228" cy="1460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3" name="Oval 852">
            <a:extLst>
              <a:ext uri="{FF2B5EF4-FFF2-40B4-BE49-F238E27FC236}">
                <a16:creationId xmlns:a16="http://schemas.microsoft.com/office/drawing/2014/main" id="{1354CD85-5A24-6635-E42B-D774865990E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4" name="Straight Connector 853">
            <a:extLst>
              <a:ext uri="{FF2B5EF4-FFF2-40B4-BE49-F238E27FC236}">
                <a16:creationId xmlns:a16="http://schemas.microsoft.com/office/drawing/2014/main" id="{BC8A058F-3AB3-F896-BC1D-F68D7034297E}"/>
              </a:ext>
            </a:extLst>
          </xdr:cNvPr>
          <xdr:cNvCxnSpPr>
            <a:stCxn id="853" idx="1"/>
            <a:endCxn id="8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5" name="Straight Connector 854">
            <a:extLst>
              <a:ext uri="{FF2B5EF4-FFF2-40B4-BE49-F238E27FC236}">
                <a16:creationId xmlns:a16="http://schemas.microsoft.com/office/drawing/2014/main" id="{9FA8D05A-EE69-AEFA-E769-ADB745BB3A43}"/>
              </a:ext>
            </a:extLst>
          </xdr:cNvPr>
          <xdr:cNvCxnSpPr>
            <a:stCxn id="853" idx="3"/>
            <a:endCxn id="8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140081</xdr:colOff>
      <xdr:row>205</xdr:row>
      <xdr:rowOff>78430</xdr:rowOff>
    </xdr:from>
    <xdr:to>
      <xdr:col>6</xdr:col>
      <xdr:colOff>265309</xdr:colOff>
      <xdr:row>206</xdr:row>
      <xdr:rowOff>75418</xdr:rowOff>
    </xdr:to>
    <xdr:grpSp>
      <xdr:nvGrpSpPr>
        <xdr:cNvPr id="856" name="Group 855">
          <a:extLst>
            <a:ext uri="{FF2B5EF4-FFF2-40B4-BE49-F238E27FC236}">
              <a16:creationId xmlns:a16="http://schemas.microsoft.com/office/drawing/2014/main" id="{0A00A71B-C6EB-473C-B2E5-01CEE36DC5F5}"/>
            </a:ext>
          </a:extLst>
        </xdr:cNvPr>
        <xdr:cNvGrpSpPr/>
      </xdr:nvGrpSpPr>
      <xdr:grpSpPr>
        <a:xfrm rot="19846558">
          <a:off x="1978820" y="30980843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7" name="Oval 856">
            <a:extLst>
              <a:ext uri="{FF2B5EF4-FFF2-40B4-BE49-F238E27FC236}">
                <a16:creationId xmlns:a16="http://schemas.microsoft.com/office/drawing/2014/main" id="{9B489008-D556-3D6E-F935-B81CF5AB96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8" name="Straight Connector 857">
            <a:extLst>
              <a:ext uri="{FF2B5EF4-FFF2-40B4-BE49-F238E27FC236}">
                <a16:creationId xmlns:a16="http://schemas.microsoft.com/office/drawing/2014/main" id="{EB354CDC-4DB6-095D-3231-095D742D8FA5}"/>
              </a:ext>
            </a:extLst>
          </xdr:cNvPr>
          <xdr:cNvCxnSpPr>
            <a:stCxn id="857" idx="1"/>
            <a:endCxn id="8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9" name="Straight Connector 858">
            <a:extLst>
              <a:ext uri="{FF2B5EF4-FFF2-40B4-BE49-F238E27FC236}">
                <a16:creationId xmlns:a16="http://schemas.microsoft.com/office/drawing/2014/main" id="{7BD8D034-D4D6-EBD1-36AD-CFF347476A6B}"/>
              </a:ext>
            </a:extLst>
          </xdr:cNvPr>
          <xdr:cNvCxnSpPr>
            <a:stCxn id="857" idx="3"/>
            <a:endCxn id="8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343954</xdr:colOff>
      <xdr:row>203</xdr:row>
      <xdr:rowOff>109397</xdr:rowOff>
    </xdr:from>
    <xdr:to>
      <xdr:col>5</xdr:col>
      <xdr:colOff>88182</xdr:colOff>
      <xdr:row>204</xdr:row>
      <xdr:rowOff>106384</xdr:rowOff>
    </xdr:to>
    <xdr:grpSp>
      <xdr:nvGrpSpPr>
        <xdr:cNvPr id="860" name="Group 859">
          <a:extLst>
            <a:ext uri="{FF2B5EF4-FFF2-40B4-BE49-F238E27FC236}">
              <a16:creationId xmlns:a16="http://schemas.microsoft.com/office/drawing/2014/main" id="{097F687E-3061-461C-BB31-8F9425DD6638}"/>
            </a:ext>
          </a:extLst>
        </xdr:cNvPr>
        <xdr:cNvGrpSpPr/>
      </xdr:nvGrpSpPr>
      <xdr:grpSpPr>
        <a:xfrm rot="19846558">
          <a:off x="1420693" y="30713636"/>
          <a:ext cx="125228" cy="146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1" name="Oval 860">
            <a:extLst>
              <a:ext uri="{FF2B5EF4-FFF2-40B4-BE49-F238E27FC236}">
                <a16:creationId xmlns:a16="http://schemas.microsoft.com/office/drawing/2014/main" id="{50F53941-694C-39AE-65A4-3F25ADEDDF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2" name="Straight Connector 861">
            <a:extLst>
              <a:ext uri="{FF2B5EF4-FFF2-40B4-BE49-F238E27FC236}">
                <a16:creationId xmlns:a16="http://schemas.microsoft.com/office/drawing/2014/main" id="{8EC5EDE3-9590-E71A-BECA-F629BE54B693}"/>
              </a:ext>
            </a:extLst>
          </xdr:cNvPr>
          <xdr:cNvCxnSpPr>
            <a:stCxn id="861" idx="1"/>
            <a:endCxn id="8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3" name="Straight Connector 862">
            <a:extLst>
              <a:ext uri="{FF2B5EF4-FFF2-40B4-BE49-F238E27FC236}">
                <a16:creationId xmlns:a16="http://schemas.microsoft.com/office/drawing/2014/main" id="{D86A10AF-F166-1753-7771-168FAC334F7B}"/>
              </a:ext>
            </a:extLst>
          </xdr:cNvPr>
          <xdr:cNvCxnSpPr>
            <a:stCxn id="861" idx="3"/>
            <a:endCxn id="8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158750</xdr:colOff>
      <xdr:row>201</xdr:row>
      <xdr:rowOff>102169</xdr:rowOff>
    </xdr:from>
    <xdr:to>
      <xdr:col>3</xdr:col>
      <xdr:colOff>283978</xdr:colOff>
      <xdr:row>202</xdr:row>
      <xdr:rowOff>97850</xdr:rowOff>
    </xdr:to>
    <xdr:grpSp>
      <xdr:nvGrpSpPr>
        <xdr:cNvPr id="864" name="Group 863">
          <a:extLst>
            <a:ext uri="{FF2B5EF4-FFF2-40B4-BE49-F238E27FC236}">
              <a16:creationId xmlns:a16="http://schemas.microsoft.com/office/drawing/2014/main" id="{6C923C22-1D80-4A1B-A1AC-C2F9D4188851}"/>
            </a:ext>
          </a:extLst>
        </xdr:cNvPr>
        <xdr:cNvGrpSpPr/>
      </xdr:nvGrpSpPr>
      <xdr:grpSpPr>
        <a:xfrm rot="19846558">
          <a:off x="854489" y="30408234"/>
          <a:ext cx="125228" cy="1447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5" name="Oval 864">
            <a:extLst>
              <a:ext uri="{FF2B5EF4-FFF2-40B4-BE49-F238E27FC236}">
                <a16:creationId xmlns:a16="http://schemas.microsoft.com/office/drawing/2014/main" id="{BD176F12-B3CD-DF36-A2E2-53A39481168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6" name="Straight Connector 865">
            <a:extLst>
              <a:ext uri="{FF2B5EF4-FFF2-40B4-BE49-F238E27FC236}">
                <a16:creationId xmlns:a16="http://schemas.microsoft.com/office/drawing/2014/main" id="{CD2BDD2B-2DD5-CA0F-C59D-20EA958FD27F}"/>
              </a:ext>
            </a:extLst>
          </xdr:cNvPr>
          <xdr:cNvCxnSpPr>
            <a:stCxn id="865" idx="1"/>
            <a:endCxn id="8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97D17D06-EAF5-BB18-2740-9865893582C4}"/>
              </a:ext>
            </a:extLst>
          </xdr:cNvPr>
          <xdr:cNvCxnSpPr>
            <a:stCxn id="865" idx="3"/>
            <a:endCxn id="8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24487</xdr:colOff>
      <xdr:row>197</xdr:row>
      <xdr:rowOff>11903</xdr:rowOff>
    </xdr:from>
    <xdr:to>
      <xdr:col>13</xdr:col>
      <xdr:colOff>304634</xdr:colOff>
      <xdr:row>199</xdr:row>
      <xdr:rowOff>125216</xdr:rowOff>
    </xdr:to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447E0262-9D77-4548-9FA3-D7D40E63823D}"/>
            </a:ext>
          </a:extLst>
        </xdr:cNvPr>
        <xdr:cNvSpPr txBox="1"/>
      </xdr:nvSpPr>
      <xdr:spPr>
        <a:xfrm rot="1682398">
          <a:off x="4133844" y="29498582"/>
          <a:ext cx="661147" cy="41267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MASJID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105603</xdr:colOff>
      <xdr:row>208</xdr:row>
      <xdr:rowOff>147263</xdr:rowOff>
    </xdr:from>
    <xdr:to>
      <xdr:col>13</xdr:col>
      <xdr:colOff>4750</xdr:colOff>
      <xdr:row>211</xdr:row>
      <xdr:rowOff>76876</xdr:rowOff>
    </xdr:to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CCDE7D03-2B6A-4DD1-8310-805B101CA232}"/>
            </a:ext>
          </a:extLst>
        </xdr:cNvPr>
        <xdr:cNvSpPr txBox="1"/>
      </xdr:nvSpPr>
      <xdr:spPr>
        <a:xfrm rot="1729978">
          <a:off x="3833960" y="31280406"/>
          <a:ext cx="661147" cy="378649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MUSHOLA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326713</xdr:colOff>
      <xdr:row>3</xdr:row>
      <xdr:rowOff>104775</xdr:rowOff>
    </xdr:from>
    <xdr:to>
      <xdr:col>13</xdr:col>
      <xdr:colOff>320550</xdr:colOff>
      <xdr:row>13</xdr:row>
      <xdr:rowOff>150667</xdr:rowOff>
    </xdr:to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941014B7-AE4D-49C6-BA16-96ED35C66531}"/>
            </a:ext>
          </a:extLst>
        </xdr:cNvPr>
        <xdr:cNvSpPr txBox="1"/>
      </xdr:nvSpPr>
      <xdr:spPr>
        <a:xfrm>
          <a:off x="4060513" y="581025"/>
          <a:ext cx="755837" cy="1579417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/10/14C/9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endParaRPr lang="en-US" sz="700" b="1" u="sng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rgbClr val="FF0000"/>
              </a:solidFill>
            </a:rPr>
            <a:t>2 C12 35</a:t>
          </a:r>
          <a:r>
            <a:rPr lang="en-US" sz="700" baseline="0">
              <a:solidFill>
                <a:srgbClr val="FF0000"/>
              </a:solidFill>
            </a:rPr>
            <a:t>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CG313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TRAFO 160KVA</a:t>
          </a:r>
        </a:p>
      </xdr:txBody>
    </xdr:sp>
    <xdr:clientData/>
  </xdr:twoCellAnchor>
  <xdr:twoCellAnchor>
    <xdr:from>
      <xdr:col>3</xdr:col>
      <xdr:colOff>131749</xdr:colOff>
      <xdr:row>205</xdr:row>
      <xdr:rowOff>104617</xdr:rowOff>
    </xdr:from>
    <xdr:to>
      <xdr:col>5</xdr:col>
      <xdr:colOff>48265</xdr:colOff>
      <xdr:row>209</xdr:row>
      <xdr:rowOff>51935</xdr:rowOff>
    </xdr:to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97E8BB3A-8776-4A58-8696-90B6CCDE1FB0}"/>
            </a:ext>
          </a:extLst>
        </xdr:cNvPr>
        <xdr:cNvSpPr txBox="1"/>
      </xdr:nvSpPr>
      <xdr:spPr>
        <a:xfrm>
          <a:off x="812106" y="30788724"/>
          <a:ext cx="678516" cy="54603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chemeClr val="tx1"/>
              </a:solidFill>
            </a:rPr>
            <a:t>KDS</a:t>
          </a:r>
          <a:r>
            <a:rPr lang="en-US" sz="700" b="1" u="sng" baseline="0">
              <a:solidFill>
                <a:schemeClr val="tx1"/>
              </a:solidFill>
            </a:rPr>
            <a:t> 16</a:t>
          </a:r>
        </a:p>
        <a:p>
          <a:pPr algn="ctr"/>
          <a:endParaRPr lang="en-US" sz="700" b="1" u="sng" baseline="0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chemeClr val="tx1"/>
              </a:solidFill>
            </a:rPr>
            <a:t>C12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CC8</a:t>
          </a:r>
        </a:p>
      </xdr:txBody>
    </xdr:sp>
    <xdr:clientData/>
  </xdr:twoCellAnchor>
  <xdr:twoCellAnchor>
    <xdr:from>
      <xdr:col>12</xdr:col>
      <xdr:colOff>304320</xdr:colOff>
      <xdr:row>212</xdr:row>
      <xdr:rowOff>54802</xdr:rowOff>
    </xdr:from>
    <xdr:to>
      <xdr:col>13</xdr:col>
      <xdr:colOff>57791</xdr:colOff>
      <xdr:row>213</xdr:row>
      <xdr:rowOff>94604</xdr:rowOff>
    </xdr:to>
    <xdr:sp macro="" textlink="">
      <xdr:nvSpPr>
        <xdr:cNvPr id="872" name="Isosceles Triangle 871">
          <a:extLst>
            <a:ext uri="{FF2B5EF4-FFF2-40B4-BE49-F238E27FC236}">
              <a16:creationId xmlns:a16="http://schemas.microsoft.com/office/drawing/2014/main" id="{924A92CA-F557-4085-9DAE-BED25A2B27E8}"/>
            </a:ext>
          </a:extLst>
        </xdr:cNvPr>
        <xdr:cNvSpPr/>
      </xdr:nvSpPr>
      <xdr:spPr>
        <a:xfrm>
          <a:off x="4413677" y="31786659"/>
          <a:ext cx="134471" cy="189481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12</xdr:col>
      <xdr:colOff>56430</xdr:colOff>
      <xdr:row>171</xdr:row>
      <xdr:rowOff>79187</xdr:rowOff>
    </xdr:from>
    <xdr:to>
      <xdr:col>18</xdr:col>
      <xdr:colOff>210351</xdr:colOff>
      <xdr:row>184</xdr:row>
      <xdr:rowOff>12257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F771A762-DE57-4C17-BF7E-F8A3842A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5787" y="25973580"/>
          <a:ext cx="2439921" cy="1878891"/>
        </a:xfrm>
        <a:prstGeom prst="rect">
          <a:avLst/>
        </a:prstGeom>
      </xdr:spPr>
    </xdr:pic>
    <xdr:clientData/>
  </xdr:twoCellAnchor>
  <xdr:twoCellAnchor>
    <xdr:from>
      <xdr:col>10</xdr:col>
      <xdr:colOff>258935</xdr:colOff>
      <xdr:row>211</xdr:row>
      <xdr:rowOff>58140</xdr:rowOff>
    </xdr:from>
    <xdr:to>
      <xdr:col>11</xdr:col>
      <xdr:colOff>3163</xdr:colOff>
      <xdr:row>212</xdr:row>
      <xdr:rowOff>55128</xdr:rowOff>
    </xdr:to>
    <xdr:grpSp>
      <xdr:nvGrpSpPr>
        <xdr:cNvPr id="874" name="Group 873">
          <a:extLst>
            <a:ext uri="{FF2B5EF4-FFF2-40B4-BE49-F238E27FC236}">
              <a16:creationId xmlns:a16="http://schemas.microsoft.com/office/drawing/2014/main" id="{0301C2DF-0AC2-4B87-BC8A-56105773EB0B}"/>
            </a:ext>
          </a:extLst>
        </xdr:cNvPr>
        <xdr:cNvGrpSpPr/>
      </xdr:nvGrpSpPr>
      <xdr:grpSpPr>
        <a:xfrm rot="19846558">
          <a:off x="3621674" y="31855075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75" name="Oval 874">
            <a:extLst>
              <a:ext uri="{FF2B5EF4-FFF2-40B4-BE49-F238E27FC236}">
                <a16:creationId xmlns:a16="http://schemas.microsoft.com/office/drawing/2014/main" id="{C2324651-18E3-4671-3D90-334E971E3FC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76" name="Straight Connector 875">
            <a:extLst>
              <a:ext uri="{FF2B5EF4-FFF2-40B4-BE49-F238E27FC236}">
                <a16:creationId xmlns:a16="http://schemas.microsoft.com/office/drawing/2014/main" id="{4778CE13-876E-DC93-4704-99289C56BAFA}"/>
              </a:ext>
            </a:extLst>
          </xdr:cNvPr>
          <xdr:cNvCxnSpPr>
            <a:stCxn id="875" idx="1"/>
            <a:endCxn id="87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7" name="Straight Connector 876">
            <a:extLst>
              <a:ext uri="{FF2B5EF4-FFF2-40B4-BE49-F238E27FC236}">
                <a16:creationId xmlns:a16="http://schemas.microsoft.com/office/drawing/2014/main" id="{6A77A983-9AB1-60C3-866B-AA855E5CAFE6}"/>
              </a:ext>
            </a:extLst>
          </xdr:cNvPr>
          <xdr:cNvCxnSpPr>
            <a:stCxn id="875" idx="3"/>
            <a:endCxn id="87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11286</xdr:colOff>
      <xdr:row>211</xdr:row>
      <xdr:rowOff>74948</xdr:rowOff>
    </xdr:from>
    <xdr:to>
      <xdr:col>20</xdr:col>
      <xdr:colOff>145757</xdr:colOff>
      <xdr:row>212</xdr:row>
      <xdr:rowOff>113733</xdr:rowOff>
    </xdr:to>
    <xdr:sp macro="" textlink="">
      <xdr:nvSpPr>
        <xdr:cNvPr id="878" name="Isosceles Triangle 877">
          <a:extLst>
            <a:ext uri="{FF2B5EF4-FFF2-40B4-BE49-F238E27FC236}">
              <a16:creationId xmlns:a16="http://schemas.microsoft.com/office/drawing/2014/main" id="{9FEB5536-6EF3-4424-BD78-F1C3EDAFCEEB}"/>
            </a:ext>
          </a:extLst>
        </xdr:cNvPr>
        <xdr:cNvSpPr/>
      </xdr:nvSpPr>
      <xdr:spPr>
        <a:xfrm>
          <a:off x="7168643" y="31657127"/>
          <a:ext cx="134471" cy="188463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15</xdr:col>
      <xdr:colOff>267340</xdr:colOff>
      <xdr:row>152</xdr:row>
      <xdr:rowOff>52213</xdr:rowOff>
    </xdr:from>
    <xdr:to>
      <xdr:col>21</xdr:col>
      <xdr:colOff>259496</xdr:colOff>
      <xdr:row>165</xdr:row>
      <xdr:rowOff>140394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C0466473-8483-484C-8262-8FADCC47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25140" y="23417038"/>
          <a:ext cx="2278156" cy="2069381"/>
        </a:xfrm>
        <a:prstGeom prst="rect">
          <a:avLst/>
        </a:prstGeom>
      </xdr:spPr>
    </xdr:pic>
    <xdr:clientData/>
  </xdr:twoCellAnchor>
  <xdr:twoCellAnchor>
    <xdr:from>
      <xdr:col>6</xdr:col>
      <xdr:colOff>48801</xdr:colOff>
      <xdr:row>86</xdr:row>
      <xdr:rowOff>73809</xdr:rowOff>
    </xdr:from>
    <xdr:to>
      <xdr:col>6</xdr:col>
      <xdr:colOff>163565</xdr:colOff>
      <xdr:row>87</xdr:row>
      <xdr:rowOff>78516</xdr:rowOff>
    </xdr:to>
    <xdr:sp macro="" textlink="">
      <xdr:nvSpPr>
        <xdr:cNvPr id="880" name="Isosceles Triangle 879">
          <a:extLst>
            <a:ext uri="{FF2B5EF4-FFF2-40B4-BE49-F238E27FC236}">
              <a16:creationId xmlns:a16="http://schemas.microsoft.com/office/drawing/2014/main" id="{461331B5-6540-47D4-B12A-5D2A55ACC0C8}"/>
            </a:ext>
          </a:extLst>
        </xdr:cNvPr>
        <xdr:cNvSpPr/>
      </xdr:nvSpPr>
      <xdr:spPr>
        <a:xfrm>
          <a:off x="1872158" y="13163880"/>
          <a:ext cx="114764" cy="154386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135037</xdr:colOff>
      <xdr:row>89</xdr:row>
      <xdr:rowOff>96261</xdr:rowOff>
    </xdr:from>
    <xdr:to>
      <xdr:col>9</xdr:col>
      <xdr:colOff>249801</xdr:colOff>
      <xdr:row>90</xdr:row>
      <xdr:rowOff>93172</xdr:rowOff>
    </xdr:to>
    <xdr:sp macro="" textlink="">
      <xdr:nvSpPr>
        <xdr:cNvPr id="881" name="Isosceles Triangle 880">
          <a:extLst>
            <a:ext uri="{FF2B5EF4-FFF2-40B4-BE49-F238E27FC236}">
              <a16:creationId xmlns:a16="http://schemas.microsoft.com/office/drawing/2014/main" id="{1D6466B9-37DB-4C20-9771-13F18E0C64F6}"/>
            </a:ext>
          </a:extLst>
        </xdr:cNvPr>
        <xdr:cNvSpPr/>
      </xdr:nvSpPr>
      <xdr:spPr>
        <a:xfrm>
          <a:off x="3101394" y="13635368"/>
          <a:ext cx="114764" cy="146590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234429</xdr:colOff>
      <xdr:row>71</xdr:row>
      <xdr:rowOff>31215</xdr:rowOff>
    </xdr:from>
    <xdr:to>
      <xdr:col>6</xdr:col>
      <xdr:colOff>349193</xdr:colOff>
      <xdr:row>72</xdr:row>
      <xdr:rowOff>28126</xdr:rowOff>
    </xdr:to>
    <xdr:sp macro="" textlink="">
      <xdr:nvSpPr>
        <xdr:cNvPr id="882" name="Isosceles Triangle 881">
          <a:extLst>
            <a:ext uri="{FF2B5EF4-FFF2-40B4-BE49-F238E27FC236}">
              <a16:creationId xmlns:a16="http://schemas.microsoft.com/office/drawing/2014/main" id="{0F987DCD-B4F7-44EF-B767-CC230F00167D}"/>
            </a:ext>
          </a:extLst>
        </xdr:cNvPr>
        <xdr:cNvSpPr/>
      </xdr:nvSpPr>
      <xdr:spPr>
        <a:xfrm>
          <a:off x="2057786" y="10876108"/>
          <a:ext cx="114764" cy="14658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347462</xdr:colOff>
      <xdr:row>84</xdr:row>
      <xdr:rowOff>140366</xdr:rowOff>
    </xdr:from>
    <xdr:to>
      <xdr:col>20</xdr:col>
      <xdr:colOff>81226</xdr:colOff>
      <xdr:row>85</xdr:row>
      <xdr:rowOff>137276</xdr:rowOff>
    </xdr:to>
    <xdr:sp macro="" textlink="">
      <xdr:nvSpPr>
        <xdr:cNvPr id="883" name="Isosceles Triangle 882">
          <a:extLst>
            <a:ext uri="{FF2B5EF4-FFF2-40B4-BE49-F238E27FC236}">
              <a16:creationId xmlns:a16="http://schemas.microsoft.com/office/drawing/2014/main" id="{8ECCE6A7-552A-486F-B828-8F6FD1E4041B}"/>
            </a:ext>
          </a:extLst>
        </xdr:cNvPr>
        <xdr:cNvSpPr/>
      </xdr:nvSpPr>
      <xdr:spPr>
        <a:xfrm>
          <a:off x="7123819" y="12931080"/>
          <a:ext cx="114764" cy="14658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227170</xdr:colOff>
      <xdr:row>86</xdr:row>
      <xdr:rowOff>135928</xdr:rowOff>
    </xdr:from>
    <xdr:to>
      <xdr:col>18</xdr:col>
      <xdr:colOff>232967</xdr:colOff>
      <xdr:row>102</xdr:row>
      <xdr:rowOff>25188</xdr:rowOff>
    </xdr:to>
    <xdr:cxnSp macro="">
      <xdr:nvCxnSpPr>
        <xdr:cNvPr id="884" name="Straight Connector 883">
          <a:extLst>
            <a:ext uri="{FF2B5EF4-FFF2-40B4-BE49-F238E27FC236}">
              <a16:creationId xmlns:a16="http://schemas.microsoft.com/office/drawing/2014/main" id="{7FDC1B23-23B8-4DD5-AE5F-2ACA0A13AF09}"/>
            </a:ext>
          </a:extLst>
        </xdr:cNvPr>
        <xdr:cNvCxnSpPr/>
      </xdr:nvCxnSpPr>
      <xdr:spPr>
        <a:xfrm flipH="1" flipV="1">
          <a:off x="907527" y="13225999"/>
          <a:ext cx="5720797" cy="2284118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233381</xdr:colOff>
      <xdr:row>79</xdr:row>
      <xdr:rowOff>74825</xdr:rowOff>
    </xdr:from>
    <xdr:to>
      <xdr:col>4</xdr:col>
      <xdr:colOff>345439</xdr:colOff>
      <xdr:row>87</xdr:row>
      <xdr:rowOff>32626</xdr:rowOff>
    </xdr:to>
    <xdr:cxnSp macro="">
      <xdr:nvCxnSpPr>
        <xdr:cNvPr id="885" name="Straight Connector 884">
          <a:extLst>
            <a:ext uri="{FF2B5EF4-FFF2-40B4-BE49-F238E27FC236}">
              <a16:creationId xmlns:a16="http://schemas.microsoft.com/office/drawing/2014/main" id="{1E16959E-DFA9-4697-BDE2-124F7784D450}"/>
            </a:ext>
          </a:extLst>
        </xdr:cNvPr>
        <xdr:cNvCxnSpPr>
          <a:cxnSpLocks/>
        </xdr:cNvCxnSpPr>
      </xdr:nvCxnSpPr>
      <xdr:spPr>
        <a:xfrm flipH="1">
          <a:off x="913738" y="12117146"/>
          <a:ext cx="493058" cy="1155230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54477</xdr:colOff>
      <xdr:row>86</xdr:row>
      <xdr:rowOff>96172</xdr:rowOff>
    </xdr:from>
    <xdr:to>
      <xdr:col>18</xdr:col>
      <xdr:colOff>311238</xdr:colOff>
      <xdr:row>101</xdr:row>
      <xdr:rowOff>57932</xdr:rowOff>
    </xdr:to>
    <xdr:cxnSp macro="">
      <xdr:nvCxnSpPr>
        <xdr:cNvPr id="886" name="Straight Connector 885">
          <a:extLst>
            <a:ext uri="{FF2B5EF4-FFF2-40B4-BE49-F238E27FC236}">
              <a16:creationId xmlns:a16="http://schemas.microsoft.com/office/drawing/2014/main" id="{0305B39E-CFA8-41FA-98D9-C319FB3322E5}"/>
            </a:ext>
          </a:extLst>
        </xdr:cNvPr>
        <xdr:cNvCxnSpPr/>
      </xdr:nvCxnSpPr>
      <xdr:spPr>
        <a:xfrm>
          <a:off x="1115834" y="13186243"/>
          <a:ext cx="5590761" cy="2206939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75598</xdr:colOff>
      <xdr:row>86</xdr:row>
      <xdr:rowOff>9053</xdr:rowOff>
    </xdr:from>
    <xdr:to>
      <xdr:col>18</xdr:col>
      <xdr:colOff>324076</xdr:colOff>
      <xdr:row>100</xdr:row>
      <xdr:rowOff>95646</xdr:rowOff>
    </xdr:to>
    <xdr:cxnSp macro="">
      <xdr:nvCxnSpPr>
        <xdr:cNvPr id="887" name="Straight Connector 886">
          <a:extLst>
            <a:ext uri="{FF2B5EF4-FFF2-40B4-BE49-F238E27FC236}">
              <a16:creationId xmlns:a16="http://schemas.microsoft.com/office/drawing/2014/main" id="{CD17240C-D53A-41EF-BD4D-A9F84F920CDC}"/>
            </a:ext>
          </a:extLst>
        </xdr:cNvPr>
        <xdr:cNvCxnSpPr/>
      </xdr:nvCxnSpPr>
      <xdr:spPr>
        <a:xfrm flipH="1" flipV="1">
          <a:off x="1136955" y="13099124"/>
          <a:ext cx="5582478" cy="218209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257815</xdr:colOff>
      <xdr:row>82</xdr:row>
      <xdr:rowOff>73916</xdr:rowOff>
    </xdr:from>
    <xdr:to>
      <xdr:col>14</xdr:col>
      <xdr:colOff>179373</xdr:colOff>
      <xdr:row>87</xdr:row>
      <xdr:rowOff>96559</xdr:rowOff>
    </xdr:to>
    <xdr:cxnSp macro="">
      <xdr:nvCxnSpPr>
        <xdr:cNvPr id="888" name="Straight Connector 887">
          <a:extLst>
            <a:ext uri="{FF2B5EF4-FFF2-40B4-BE49-F238E27FC236}">
              <a16:creationId xmlns:a16="http://schemas.microsoft.com/office/drawing/2014/main" id="{FE4602D4-492E-475A-8EAA-71B13B8C74F0}"/>
            </a:ext>
          </a:extLst>
        </xdr:cNvPr>
        <xdr:cNvCxnSpPr>
          <a:cxnSpLocks/>
        </xdr:cNvCxnSpPr>
      </xdr:nvCxnSpPr>
      <xdr:spPr>
        <a:xfrm flipH="1">
          <a:off x="4748172" y="12565273"/>
          <a:ext cx="302558" cy="771036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67315</xdr:colOff>
      <xdr:row>68</xdr:row>
      <xdr:rowOff>28737</xdr:rowOff>
    </xdr:from>
    <xdr:to>
      <xdr:col>6</xdr:col>
      <xdr:colOff>166707</xdr:colOff>
      <xdr:row>76</xdr:row>
      <xdr:rowOff>20240</xdr:rowOff>
    </xdr:to>
    <xdr:cxnSp macro="">
      <xdr:nvCxnSpPr>
        <xdr:cNvPr id="889" name="Straight Arrow Connector 888">
          <a:extLst>
            <a:ext uri="{FF2B5EF4-FFF2-40B4-BE49-F238E27FC236}">
              <a16:creationId xmlns:a16="http://schemas.microsoft.com/office/drawing/2014/main" id="{16300E83-511B-4D1A-BB56-B3961345DB0C}"/>
            </a:ext>
          </a:extLst>
        </xdr:cNvPr>
        <xdr:cNvCxnSpPr/>
      </xdr:nvCxnSpPr>
      <xdr:spPr>
        <a:xfrm flipV="1">
          <a:off x="1509672" y="10424594"/>
          <a:ext cx="480392" cy="118893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83880</xdr:colOff>
      <xdr:row>97</xdr:row>
      <xdr:rowOff>125279</xdr:rowOff>
    </xdr:from>
    <xdr:to>
      <xdr:col>19</xdr:col>
      <xdr:colOff>183272</xdr:colOff>
      <xdr:row>105</xdr:row>
      <xdr:rowOff>110007</xdr:rowOff>
    </xdr:to>
    <xdr:cxnSp macro="">
      <xdr:nvCxnSpPr>
        <xdr:cNvPr id="890" name="Straight Arrow Connector 889">
          <a:extLst>
            <a:ext uri="{FF2B5EF4-FFF2-40B4-BE49-F238E27FC236}">
              <a16:creationId xmlns:a16="http://schemas.microsoft.com/office/drawing/2014/main" id="{7590209D-C6F2-4FF9-9F56-3802D83DAA8A}"/>
            </a:ext>
          </a:extLst>
        </xdr:cNvPr>
        <xdr:cNvCxnSpPr/>
      </xdr:nvCxnSpPr>
      <xdr:spPr>
        <a:xfrm flipV="1">
          <a:off x="6479237" y="14861815"/>
          <a:ext cx="480392" cy="11821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100445</xdr:colOff>
      <xdr:row>99</xdr:row>
      <xdr:rowOff>114306</xdr:rowOff>
    </xdr:from>
    <xdr:to>
      <xdr:col>19</xdr:col>
      <xdr:colOff>307974</xdr:colOff>
      <xdr:row>103</xdr:row>
      <xdr:rowOff>62093</xdr:rowOff>
    </xdr:to>
    <xdr:sp macro="" textlink="">
      <xdr:nvSpPr>
        <xdr:cNvPr id="891" name="Rectangle 890">
          <a:extLst>
            <a:ext uri="{FF2B5EF4-FFF2-40B4-BE49-F238E27FC236}">
              <a16:creationId xmlns:a16="http://schemas.microsoft.com/office/drawing/2014/main" id="{F1736DE4-67A0-44B9-BEB7-3C6FC951EFF3}"/>
            </a:ext>
          </a:extLst>
        </xdr:cNvPr>
        <xdr:cNvSpPr/>
      </xdr:nvSpPr>
      <xdr:spPr>
        <a:xfrm>
          <a:off x="6495802" y="15150199"/>
          <a:ext cx="588529" cy="5465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3</xdr:col>
      <xdr:colOff>174989</xdr:colOff>
      <xdr:row>82</xdr:row>
      <xdr:rowOff>148460</xdr:rowOff>
    </xdr:from>
    <xdr:to>
      <xdr:col>4</xdr:col>
      <xdr:colOff>274381</xdr:colOff>
      <xdr:row>90</xdr:row>
      <xdr:rowOff>139962</xdr:rowOff>
    </xdr:to>
    <xdr:cxnSp macro="">
      <xdr:nvCxnSpPr>
        <xdr:cNvPr id="892" name="Straight Arrow Connector 891">
          <a:extLst>
            <a:ext uri="{FF2B5EF4-FFF2-40B4-BE49-F238E27FC236}">
              <a16:creationId xmlns:a16="http://schemas.microsoft.com/office/drawing/2014/main" id="{444797A8-5F83-46CC-ABE6-1DC6A8917F43}"/>
            </a:ext>
          </a:extLst>
        </xdr:cNvPr>
        <xdr:cNvCxnSpPr/>
      </xdr:nvCxnSpPr>
      <xdr:spPr>
        <a:xfrm flipV="1">
          <a:off x="855346" y="12639817"/>
          <a:ext cx="480392" cy="118893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354781</xdr:colOff>
      <xdr:row>40</xdr:row>
      <xdr:rowOff>3992</xdr:rowOff>
    </xdr:from>
    <xdr:to>
      <xdr:col>13</xdr:col>
      <xdr:colOff>147715</xdr:colOff>
      <xdr:row>44</xdr:row>
      <xdr:rowOff>85205</xdr:rowOff>
    </xdr:to>
    <xdr:cxnSp macro="">
      <xdr:nvCxnSpPr>
        <xdr:cNvPr id="893" name="Straight Arrow Connector 892">
          <a:extLst>
            <a:ext uri="{FF2B5EF4-FFF2-40B4-BE49-F238E27FC236}">
              <a16:creationId xmlns:a16="http://schemas.microsoft.com/office/drawing/2014/main" id="{1A9990CA-FF7E-4AE6-A232-9ADDD6532CCF}"/>
            </a:ext>
          </a:extLst>
        </xdr:cNvPr>
        <xdr:cNvCxnSpPr/>
      </xdr:nvCxnSpPr>
      <xdr:spPr>
        <a:xfrm flipH="1" flipV="1">
          <a:off x="3326581" y="6138092"/>
          <a:ext cx="1316934" cy="69081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220129</xdr:colOff>
      <xdr:row>42</xdr:row>
      <xdr:rowOff>68956</xdr:rowOff>
    </xdr:from>
    <xdr:to>
      <xdr:col>11</xdr:col>
      <xdr:colOff>307392</xdr:colOff>
      <xdr:row>45</xdr:row>
      <xdr:rowOff>46999</xdr:rowOff>
    </xdr:to>
    <xdr:sp macro="" textlink="">
      <xdr:nvSpPr>
        <xdr:cNvPr id="894" name="Rectangle 893">
          <a:extLst>
            <a:ext uri="{FF2B5EF4-FFF2-40B4-BE49-F238E27FC236}">
              <a16:creationId xmlns:a16="http://schemas.microsoft.com/office/drawing/2014/main" id="{E1D0C064-1EBE-4353-B43F-C7A8081BEBED}"/>
            </a:ext>
          </a:extLst>
        </xdr:cNvPr>
        <xdr:cNvSpPr/>
      </xdr:nvSpPr>
      <xdr:spPr>
        <a:xfrm>
          <a:off x="3567486" y="6423492"/>
          <a:ext cx="468263" cy="4270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19</xdr:col>
      <xdr:colOff>50751</xdr:colOff>
      <xdr:row>83</xdr:row>
      <xdr:rowOff>71817</xdr:rowOff>
    </xdr:from>
    <xdr:to>
      <xdr:col>21</xdr:col>
      <xdr:colOff>249534</xdr:colOff>
      <xdr:row>86</xdr:row>
      <xdr:rowOff>25618</xdr:rowOff>
    </xdr:to>
    <xdr:cxnSp macro="">
      <xdr:nvCxnSpPr>
        <xdr:cNvPr id="895" name="Straight Arrow Connector 894">
          <a:extLst>
            <a:ext uri="{FF2B5EF4-FFF2-40B4-BE49-F238E27FC236}">
              <a16:creationId xmlns:a16="http://schemas.microsoft.com/office/drawing/2014/main" id="{33DA3367-04FE-40A1-9008-031078B89A45}"/>
            </a:ext>
          </a:extLst>
        </xdr:cNvPr>
        <xdr:cNvCxnSpPr/>
      </xdr:nvCxnSpPr>
      <xdr:spPr>
        <a:xfrm>
          <a:off x="6827108" y="12712853"/>
          <a:ext cx="960783" cy="4028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365489</xdr:colOff>
      <xdr:row>81</xdr:row>
      <xdr:rowOff>109144</xdr:rowOff>
    </xdr:from>
    <xdr:to>
      <xdr:col>21</xdr:col>
      <xdr:colOff>71752</xdr:colOff>
      <xdr:row>84</xdr:row>
      <xdr:rowOff>87187</xdr:rowOff>
    </xdr:to>
    <xdr:sp macro="" textlink="">
      <xdr:nvSpPr>
        <xdr:cNvPr id="896" name="Rectangle 895">
          <a:extLst>
            <a:ext uri="{FF2B5EF4-FFF2-40B4-BE49-F238E27FC236}">
              <a16:creationId xmlns:a16="http://schemas.microsoft.com/office/drawing/2014/main" id="{3B3D0041-435C-49E7-A60B-F99932F6F564}"/>
            </a:ext>
          </a:extLst>
        </xdr:cNvPr>
        <xdr:cNvSpPr/>
      </xdr:nvSpPr>
      <xdr:spPr>
        <a:xfrm>
          <a:off x="7141846" y="12450823"/>
          <a:ext cx="468263" cy="4270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20</xdr:col>
      <xdr:colOff>9336</xdr:colOff>
      <xdr:row>84</xdr:row>
      <xdr:rowOff>119417</xdr:rowOff>
    </xdr:from>
    <xdr:to>
      <xdr:col>20</xdr:col>
      <xdr:colOff>117011</xdr:colOff>
      <xdr:row>86</xdr:row>
      <xdr:rowOff>57243</xdr:rowOff>
    </xdr:to>
    <xdr:cxnSp macro="">
      <xdr:nvCxnSpPr>
        <xdr:cNvPr id="897" name="Straight Connector 896">
          <a:extLst>
            <a:ext uri="{FF2B5EF4-FFF2-40B4-BE49-F238E27FC236}">
              <a16:creationId xmlns:a16="http://schemas.microsoft.com/office/drawing/2014/main" id="{62138BE4-BF9C-4B55-B8D3-0AFF54054D3E}"/>
            </a:ext>
          </a:extLst>
        </xdr:cNvPr>
        <xdr:cNvCxnSpPr/>
      </xdr:nvCxnSpPr>
      <xdr:spPr>
        <a:xfrm flipH="1">
          <a:off x="7166693" y="12910131"/>
          <a:ext cx="107675" cy="2371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67314</xdr:colOff>
      <xdr:row>85</xdr:row>
      <xdr:rowOff>2867</xdr:rowOff>
    </xdr:from>
    <xdr:to>
      <xdr:col>20</xdr:col>
      <xdr:colOff>166706</xdr:colOff>
      <xdr:row>86</xdr:row>
      <xdr:rowOff>106938</xdr:rowOff>
    </xdr:to>
    <xdr:cxnSp macro="">
      <xdr:nvCxnSpPr>
        <xdr:cNvPr id="898" name="Straight Connector 897">
          <a:extLst>
            <a:ext uri="{FF2B5EF4-FFF2-40B4-BE49-F238E27FC236}">
              <a16:creationId xmlns:a16="http://schemas.microsoft.com/office/drawing/2014/main" id="{BA3E4626-07FC-412B-B1B1-174435CAF99E}"/>
            </a:ext>
          </a:extLst>
        </xdr:cNvPr>
        <xdr:cNvCxnSpPr/>
      </xdr:nvCxnSpPr>
      <xdr:spPr>
        <a:xfrm flipV="1">
          <a:off x="7224671" y="12943260"/>
          <a:ext cx="99392" cy="253749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432933</xdr:colOff>
      <xdr:row>84</xdr:row>
      <xdr:rowOff>135982</xdr:rowOff>
    </xdr:from>
    <xdr:to>
      <xdr:col>4</xdr:col>
      <xdr:colOff>30339</xdr:colOff>
      <xdr:row>87</xdr:row>
      <xdr:rowOff>114024</xdr:rowOff>
    </xdr:to>
    <xdr:sp macro="" textlink="">
      <xdr:nvSpPr>
        <xdr:cNvPr id="899" name="Rectangle 898">
          <a:extLst>
            <a:ext uri="{FF2B5EF4-FFF2-40B4-BE49-F238E27FC236}">
              <a16:creationId xmlns:a16="http://schemas.microsoft.com/office/drawing/2014/main" id="{158E063E-FA73-4135-845A-A8292DAD608B}"/>
            </a:ext>
          </a:extLst>
        </xdr:cNvPr>
        <xdr:cNvSpPr/>
      </xdr:nvSpPr>
      <xdr:spPr>
        <a:xfrm>
          <a:off x="623433" y="12926696"/>
          <a:ext cx="468263" cy="4270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20</xdr:col>
      <xdr:colOff>295914</xdr:colOff>
      <xdr:row>87</xdr:row>
      <xdr:rowOff>33873</xdr:rowOff>
    </xdr:from>
    <xdr:to>
      <xdr:col>21</xdr:col>
      <xdr:colOff>40142</xdr:colOff>
      <xdr:row>88</xdr:row>
      <xdr:rowOff>30861</xdr:rowOff>
    </xdr:to>
    <xdr:grpSp>
      <xdr:nvGrpSpPr>
        <xdr:cNvPr id="900" name="Group 899">
          <a:extLst>
            <a:ext uri="{FF2B5EF4-FFF2-40B4-BE49-F238E27FC236}">
              <a16:creationId xmlns:a16="http://schemas.microsoft.com/office/drawing/2014/main" id="{D2F3D939-413D-43E1-BC14-12D066E00641}"/>
            </a:ext>
          </a:extLst>
        </xdr:cNvPr>
        <xdr:cNvGrpSpPr/>
      </xdr:nvGrpSpPr>
      <xdr:grpSpPr>
        <a:xfrm rot="19846558">
          <a:off x="7468653" y="13244634"/>
          <a:ext cx="125228" cy="14607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1" name="Oval 900">
            <a:extLst>
              <a:ext uri="{FF2B5EF4-FFF2-40B4-BE49-F238E27FC236}">
                <a16:creationId xmlns:a16="http://schemas.microsoft.com/office/drawing/2014/main" id="{37DB62FD-E21B-06F2-C21D-5E964D3AB47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2" name="Straight Connector 901">
            <a:extLst>
              <a:ext uri="{FF2B5EF4-FFF2-40B4-BE49-F238E27FC236}">
                <a16:creationId xmlns:a16="http://schemas.microsoft.com/office/drawing/2014/main" id="{11FD5543-EDC2-AEEE-BA49-C55F16108B75}"/>
              </a:ext>
            </a:extLst>
          </xdr:cNvPr>
          <xdr:cNvCxnSpPr>
            <a:stCxn id="901" idx="1"/>
            <a:endCxn id="90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3" name="Straight Connector 902">
            <a:extLst>
              <a:ext uri="{FF2B5EF4-FFF2-40B4-BE49-F238E27FC236}">
                <a16:creationId xmlns:a16="http://schemas.microsoft.com/office/drawing/2014/main" id="{ABA50D7E-49A3-1CAB-E19E-F18BB8FB18FF}"/>
              </a:ext>
            </a:extLst>
          </xdr:cNvPr>
          <xdr:cNvCxnSpPr>
            <a:stCxn id="901" idx="3"/>
            <a:endCxn id="90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65193</xdr:colOff>
      <xdr:row>87</xdr:row>
      <xdr:rowOff>18749</xdr:rowOff>
    </xdr:from>
    <xdr:to>
      <xdr:col>21</xdr:col>
      <xdr:colOff>295915</xdr:colOff>
      <xdr:row>88</xdr:row>
      <xdr:rowOff>110197</xdr:rowOff>
    </xdr:to>
    <xdr:cxnSp macro="">
      <xdr:nvCxnSpPr>
        <xdr:cNvPr id="904" name="Straight Arrow Connector 903">
          <a:extLst>
            <a:ext uri="{FF2B5EF4-FFF2-40B4-BE49-F238E27FC236}">
              <a16:creationId xmlns:a16="http://schemas.microsoft.com/office/drawing/2014/main" id="{5CAAA175-E5FC-44DD-88B0-6B17A62ED9BD}"/>
            </a:ext>
          </a:extLst>
        </xdr:cNvPr>
        <xdr:cNvCxnSpPr>
          <a:stCxn id="721" idx="4"/>
        </xdr:cNvCxnSpPr>
      </xdr:nvCxnSpPr>
      <xdr:spPr>
        <a:xfrm>
          <a:off x="7222550" y="13258499"/>
          <a:ext cx="611722" cy="2411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295915</xdr:colOff>
      <xdr:row>75</xdr:row>
      <xdr:rowOff>77417</xdr:rowOff>
    </xdr:from>
    <xdr:to>
      <xdr:col>8</xdr:col>
      <xdr:colOff>210190</xdr:colOff>
      <xdr:row>78</xdr:row>
      <xdr:rowOff>67397</xdr:rowOff>
    </xdr:to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10296D8B-BD79-4433-BAC4-E40F97CBFBCF}"/>
            </a:ext>
          </a:extLst>
        </xdr:cNvPr>
        <xdr:cNvSpPr txBox="1"/>
      </xdr:nvSpPr>
      <xdr:spPr>
        <a:xfrm>
          <a:off x="2119272" y="11521024"/>
          <a:ext cx="676275" cy="43901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1 C12-200</a:t>
          </a:r>
          <a:r>
            <a:rPr lang="en-US" sz="6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6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6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48266</xdr:colOff>
      <xdr:row>85</xdr:row>
      <xdr:rowOff>120216</xdr:rowOff>
    </xdr:from>
    <xdr:to>
      <xdr:col>14</xdr:col>
      <xdr:colOff>173494</xdr:colOff>
      <xdr:row>86</xdr:row>
      <xdr:rowOff>125000</xdr:rowOff>
    </xdr:to>
    <xdr:grpSp>
      <xdr:nvGrpSpPr>
        <xdr:cNvPr id="906" name="Group 905">
          <a:extLst>
            <a:ext uri="{FF2B5EF4-FFF2-40B4-BE49-F238E27FC236}">
              <a16:creationId xmlns:a16="http://schemas.microsoft.com/office/drawing/2014/main" id="{84C265CB-1053-4741-BF66-6EA73BBAC943}"/>
            </a:ext>
          </a:extLst>
        </xdr:cNvPr>
        <xdr:cNvGrpSpPr/>
      </xdr:nvGrpSpPr>
      <xdr:grpSpPr>
        <a:xfrm rot="19846558">
          <a:off x="4935005" y="13032803"/>
          <a:ext cx="125228" cy="1538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7" name="Oval 906">
            <a:extLst>
              <a:ext uri="{FF2B5EF4-FFF2-40B4-BE49-F238E27FC236}">
                <a16:creationId xmlns:a16="http://schemas.microsoft.com/office/drawing/2014/main" id="{B785C517-055C-8A64-A763-445A1D00A6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8" name="Straight Connector 907">
            <a:extLst>
              <a:ext uri="{FF2B5EF4-FFF2-40B4-BE49-F238E27FC236}">
                <a16:creationId xmlns:a16="http://schemas.microsoft.com/office/drawing/2014/main" id="{00F1F9AD-B1C4-9BAE-778D-124B9B692D61}"/>
              </a:ext>
            </a:extLst>
          </xdr:cNvPr>
          <xdr:cNvCxnSpPr>
            <a:stCxn id="907" idx="1"/>
            <a:endCxn id="9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B2ACDDF1-23E6-C45F-6DEE-6B32341EBA9B}"/>
              </a:ext>
            </a:extLst>
          </xdr:cNvPr>
          <xdr:cNvCxnSpPr>
            <a:stCxn id="907" idx="3"/>
            <a:endCxn id="9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123455</xdr:colOff>
      <xdr:row>82</xdr:row>
      <xdr:rowOff>12062</xdr:rowOff>
    </xdr:from>
    <xdr:to>
      <xdr:col>14</xdr:col>
      <xdr:colOff>330754</xdr:colOff>
      <xdr:row>85</xdr:row>
      <xdr:rowOff>127508</xdr:rowOff>
    </xdr:to>
    <xdr:cxnSp macro="">
      <xdr:nvCxnSpPr>
        <xdr:cNvPr id="910" name="Straight Connector 909">
          <a:extLst>
            <a:ext uri="{FF2B5EF4-FFF2-40B4-BE49-F238E27FC236}">
              <a16:creationId xmlns:a16="http://schemas.microsoft.com/office/drawing/2014/main" id="{55533D7D-A205-4240-AEEA-A97E6F096A03}"/>
            </a:ext>
          </a:extLst>
        </xdr:cNvPr>
        <xdr:cNvCxnSpPr>
          <a:stCxn id="907" idx="7"/>
          <a:endCxn id="696" idx="3"/>
        </xdr:cNvCxnSpPr>
      </xdr:nvCxnSpPr>
      <xdr:spPr>
        <a:xfrm flipV="1">
          <a:off x="4994812" y="12503419"/>
          <a:ext cx="207299" cy="564482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187569</xdr:colOff>
      <xdr:row>80</xdr:row>
      <xdr:rowOff>114295</xdr:rowOff>
    </xdr:from>
    <xdr:to>
      <xdr:col>19</xdr:col>
      <xdr:colOff>168518</xdr:colOff>
      <xdr:row>83</xdr:row>
      <xdr:rowOff>142376</xdr:rowOff>
    </xdr:to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E53CDF00-3E03-4A5B-8ED3-DB29DA78513D}"/>
            </a:ext>
          </a:extLst>
        </xdr:cNvPr>
        <xdr:cNvSpPr txBox="1"/>
      </xdr:nvSpPr>
      <xdr:spPr>
        <a:xfrm>
          <a:off x="6206178" y="12633717"/>
          <a:ext cx="742949" cy="49242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7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105415</xdr:colOff>
      <xdr:row>76</xdr:row>
      <xdr:rowOff>85725</xdr:rowOff>
    </xdr:from>
    <xdr:to>
      <xdr:col>16</xdr:col>
      <xdr:colOff>76840</xdr:colOff>
      <xdr:row>80</xdr:row>
      <xdr:rowOff>70242</xdr:rowOff>
    </xdr:to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1003E648-7523-4B54-849F-4047413D6957}"/>
            </a:ext>
          </a:extLst>
        </xdr:cNvPr>
        <xdr:cNvSpPr txBox="1"/>
      </xdr:nvSpPr>
      <xdr:spPr>
        <a:xfrm>
          <a:off x="4982215" y="11839575"/>
          <a:ext cx="733425" cy="59411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CA3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  <a:p>
          <a:pPr algn="ctr"/>
          <a:endParaRPr lang="en-US" sz="7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19689</xdr:colOff>
      <xdr:row>83</xdr:row>
      <xdr:rowOff>88798</xdr:rowOff>
    </xdr:from>
    <xdr:to>
      <xdr:col>16</xdr:col>
      <xdr:colOff>372114</xdr:colOff>
      <xdr:row>85</xdr:row>
      <xdr:rowOff>154781</xdr:rowOff>
    </xdr:to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8B543BB-4DB7-4D97-A280-506DC3FA297B}"/>
            </a:ext>
          </a:extLst>
        </xdr:cNvPr>
        <xdr:cNvSpPr txBox="1"/>
      </xdr:nvSpPr>
      <xdr:spPr>
        <a:xfrm>
          <a:off x="5276298" y="13072564"/>
          <a:ext cx="733425" cy="37554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76840</xdr:colOff>
      <xdr:row>78</xdr:row>
      <xdr:rowOff>48347</xdr:rowOff>
    </xdr:from>
    <xdr:to>
      <xdr:col>11</xdr:col>
      <xdr:colOff>57790</xdr:colOff>
      <xdr:row>81</xdr:row>
      <xdr:rowOff>19277</xdr:rowOff>
    </xdr:to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A55D655B-D427-4CE5-9661-153F012D7220}"/>
            </a:ext>
          </a:extLst>
        </xdr:cNvPr>
        <xdr:cNvSpPr txBox="1"/>
      </xdr:nvSpPr>
      <xdr:spPr>
        <a:xfrm>
          <a:off x="3043197" y="11940990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286390</xdr:colOff>
      <xdr:row>81</xdr:row>
      <xdr:rowOff>9753</xdr:rowOff>
    </xdr:from>
    <xdr:to>
      <xdr:col>13</xdr:col>
      <xdr:colOff>251603</xdr:colOff>
      <xdr:row>84</xdr:row>
      <xdr:rowOff>104509</xdr:rowOff>
    </xdr:to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55B9D6DA-ED6B-420A-BBF6-192EDFC81A96}"/>
            </a:ext>
          </a:extLst>
        </xdr:cNvPr>
        <xdr:cNvSpPr txBox="1"/>
      </xdr:nvSpPr>
      <xdr:spPr>
        <a:xfrm>
          <a:off x="4014747" y="12351432"/>
          <a:ext cx="727213" cy="54379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11</xdr:col>
      <xdr:colOff>153040</xdr:colOff>
      <xdr:row>74</xdr:row>
      <xdr:rowOff>99806</xdr:rowOff>
    </xdr:from>
    <xdr:to>
      <xdr:col>13</xdr:col>
      <xdr:colOff>124465</xdr:colOff>
      <xdr:row>77</xdr:row>
      <xdr:rowOff>4061</xdr:rowOff>
    </xdr:to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E755E277-DE7A-4512-9E01-55275A5A2DD7}"/>
            </a:ext>
          </a:extLst>
        </xdr:cNvPr>
        <xdr:cNvSpPr txBox="1"/>
      </xdr:nvSpPr>
      <xdr:spPr>
        <a:xfrm>
          <a:off x="3881397" y="11393735"/>
          <a:ext cx="733425" cy="3532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334015</xdr:colOff>
      <xdr:row>72</xdr:row>
      <xdr:rowOff>109951</xdr:rowOff>
    </xdr:from>
    <xdr:to>
      <xdr:col>10</xdr:col>
      <xdr:colOff>305440</xdr:colOff>
      <xdr:row>75</xdr:row>
      <xdr:rowOff>10741</xdr:rowOff>
    </xdr:to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3DBD5EB3-512D-4726-9873-205506515C16}"/>
            </a:ext>
          </a:extLst>
        </xdr:cNvPr>
        <xdr:cNvSpPr txBox="1"/>
      </xdr:nvSpPr>
      <xdr:spPr>
        <a:xfrm>
          <a:off x="2919372" y="11104522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124465</xdr:colOff>
      <xdr:row>94</xdr:row>
      <xdr:rowOff>48595</xdr:rowOff>
    </xdr:from>
    <xdr:to>
      <xdr:col>11</xdr:col>
      <xdr:colOff>105415</xdr:colOff>
      <xdr:row>97</xdr:row>
      <xdr:rowOff>19524</xdr:rowOff>
    </xdr:to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F7F85679-954F-49D1-9169-F851D056662D}"/>
            </a:ext>
          </a:extLst>
        </xdr:cNvPr>
        <xdr:cNvSpPr txBox="1"/>
      </xdr:nvSpPr>
      <xdr:spPr>
        <a:xfrm>
          <a:off x="3090822" y="14336095"/>
          <a:ext cx="742950" cy="419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343540</xdr:colOff>
      <xdr:row>97</xdr:row>
      <xdr:rowOff>86199</xdr:rowOff>
    </xdr:from>
    <xdr:to>
      <xdr:col>14</xdr:col>
      <xdr:colOff>324490</xdr:colOff>
      <xdr:row>100</xdr:row>
      <xdr:rowOff>57130</xdr:rowOff>
    </xdr:to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66CCE5D1-0834-4953-90FD-E4A11B03BB89}"/>
            </a:ext>
          </a:extLst>
        </xdr:cNvPr>
        <xdr:cNvSpPr txBox="1"/>
      </xdr:nvSpPr>
      <xdr:spPr>
        <a:xfrm>
          <a:off x="4452897" y="14822735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191140</xdr:colOff>
      <xdr:row>101</xdr:row>
      <xdr:rowOff>53790</xdr:rowOff>
    </xdr:from>
    <xdr:to>
      <xdr:col>18</xdr:col>
      <xdr:colOff>172090</xdr:colOff>
      <xdr:row>104</xdr:row>
      <xdr:rowOff>24720</xdr:rowOff>
    </xdr:to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8C1364F3-84B5-4D71-AC7D-758C2C989EC4}"/>
            </a:ext>
          </a:extLst>
        </xdr:cNvPr>
        <xdr:cNvSpPr txBox="1"/>
      </xdr:nvSpPr>
      <xdr:spPr>
        <a:xfrm>
          <a:off x="5824497" y="15389040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353065</xdr:colOff>
      <xdr:row>91</xdr:row>
      <xdr:rowOff>20515</xdr:rowOff>
    </xdr:from>
    <xdr:to>
      <xdr:col>13</xdr:col>
      <xdr:colOff>324490</xdr:colOff>
      <xdr:row>93</xdr:row>
      <xdr:rowOff>70984</xdr:rowOff>
    </xdr:to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C99A37DE-BF41-4422-847D-4DFF6A0E16C4}"/>
            </a:ext>
          </a:extLst>
        </xdr:cNvPr>
        <xdr:cNvSpPr txBox="1"/>
      </xdr:nvSpPr>
      <xdr:spPr>
        <a:xfrm>
          <a:off x="4081422" y="13858979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133990</xdr:colOff>
      <xdr:row>94</xdr:row>
      <xdr:rowOff>90158</xdr:rowOff>
    </xdr:from>
    <xdr:to>
      <xdr:col>17</xdr:col>
      <xdr:colOff>105415</xdr:colOff>
      <xdr:row>96</xdr:row>
      <xdr:rowOff>140627</xdr:rowOff>
    </xdr:to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14145B32-A8CE-454C-95B0-44268AD1AA22}"/>
            </a:ext>
          </a:extLst>
        </xdr:cNvPr>
        <xdr:cNvSpPr txBox="1"/>
      </xdr:nvSpPr>
      <xdr:spPr>
        <a:xfrm>
          <a:off x="5386347" y="14377658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238765</xdr:colOff>
      <xdr:row>91</xdr:row>
      <xdr:rowOff>10990</xdr:rowOff>
    </xdr:from>
    <xdr:to>
      <xdr:col>8</xdr:col>
      <xdr:colOff>210190</xdr:colOff>
      <xdr:row>93</xdr:row>
      <xdr:rowOff>61459</xdr:rowOff>
    </xdr:to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B75A953E-9AEF-4887-A617-1E1A4598FD31}"/>
            </a:ext>
          </a:extLst>
        </xdr:cNvPr>
        <xdr:cNvSpPr txBox="1"/>
      </xdr:nvSpPr>
      <xdr:spPr>
        <a:xfrm>
          <a:off x="2062122" y="13849454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162565</xdr:colOff>
      <xdr:row>87</xdr:row>
      <xdr:rowOff>113538</xdr:rowOff>
    </xdr:from>
    <xdr:to>
      <xdr:col>5</xdr:col>
      <xdr:colOff>133990</xdr:colOff>
      <xdr:row>90</xdr:row>
      <xdr:rowOff>14328</xdr:rowOff>
    </xdr:to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0FA54CD-6C7E-46A2-8DC0-8A38946F6677}"/>
            </a:ext>
          </a:extLst>
        </xdr:cNvPr>
        <xdr:cNvSpPr txBox="1"/>
      </xdr:nvSpPr>
      <xdr:spPr>
        <a:xfrm>
          <a:off x="842922" y="13353288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165466</xdr:colOff>
      <xdr:row>161</xdr:row>
      <xdr:rowOff>107600</xdr:rowOff>
    </xdr:from>
    <xdr:to>
      <xdr:col>7</xdr:col>
      <xdr:colOff>124465</xdr:colOff>
      <xdr:row>162</xdr:row>
      <xdr:rowOff>132835</xdr:rowOff>
    </xdr:to>
    <xdr:cxnSp macro="">
      <xdr:nvCxnSpPr>
        <xdr:cNvPr id="925" name="Straight Connector 924">
          <a:extLst>
            <a:ext uri="{FF2B5EF4-FFF2-40B4-BE49-F238E27FC236}">
              <a16:creationId xmlns:a16="http://schemas.microsoft.com/office/drawing/2014/main" id="{796153D0-A7D0-45C1-825E-92ECED78D36F}"/>
            </a:ext>
          </a:extLst>
        </xdr:cNvPr>
        <xdr:cNvCxnSpPr/>
      </xdr:nvCxnSpPr>
      <xdr:spPr>
        <a:xfrm>
          <a:off x="1988823" y="24165029"/>
          <a:ext cx="339999" cy="1749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224686</xdr:colOff>
      <xdr:row>161</xdr:row>
      <xdr:rowOff>35955</xdr:rowOff>
    </xdr:from>
    <xdr:to>
      <xdr:col>7</xdr:col>
      <xdr:colOff>107702</xdr:colOff>
      <xdr:row>162</xdr:row>
      <xdr:rowOff>42171</xdr:rowOff>
    </xdr:to>
    <xdr:cxnSp macro="">
      <xdr:nvCxnSpPr>
        <xdr:cNvPr id="926" name="Straight Connector 925">
          <a:extLst>
            <a:ext uri="{FF2B5EF4-FFF2-40B4-BE49-F238E27FC236}">
              <a16:creationId xmlns:a16="http://schemas.microsoft.com/office/drawing/2014/main" id="{33C6D802-8ED1-431A-8847-B9521834C125}"/>
            </a:ext>
          </a:extLst>
        </xdr:cNvPr>
        <xdr:cNvCxnSpPr/>
      </xdr:nvCxnSpPr>
      <xdr:spPr>
        <a:xfrm flipH="1" flipV="1">
          <a:off x="2048043" y="24093384"/>
          <a:ext cx="264016" cy="155894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219715</xdr:colOff>
      <xdr:row>159</xdr:row>
      <xdr:rowOff>57130</xdr:rowOff>
    </xdr:from>
    <xdr:to>
      <xdr:col>8</xdr:col>
      <xdr:colOff>57790</xdr:colOff>
      <xdr:row>166</xdr:row>
      <xdr:rowOff>82678</xdr:rowOff>
    </xdr:to>
    <xdr:cxnSp macro="">
      <xdr:nvCxnSpPr>
        <xdr:cNvPr id="927" name="Straight Arrow Connector 926">
          <a:extLst>
            <a:ext uri="{FF2B5EF4-FFF2-40B4-BE49-F238E27FC236}">
              <a16:creationId xmlns:a16="http://schemas.microsoft.com/office/drawing/2014/main" id="{2AF7E7A0-9346-427D-B8C6-F54ABF652B11}"/>
            </a:ext>
          </a:extLst>
        </xdr:cNvPr>
        <xdr:cNvCxnSpPr/>
      </xdr:nvCxnSpPr>
      <xdr:spPr>
        <a:xfrm flipV="1">
          <a:off x="2043072" y="23815201"/>
          <a:ext cx="600075" cy="108690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181615</xdr:colOff>
      <xdr:row>130</xdr:row>
      <xdr:rowOff>29487</xdr:rowOff>
    </xdr:from>
    <xdr:to>
      <xdr:col>13</xdr:col>
      <xdr:colOff>362590</xdr:colOff>
      <xdr:row>133</xdr:row>
      <xdr:rowOff>61706</xdr:rowOff>
    </xdr:to>
    <xdr:cxnSp macro="">
      <xdr:nvCxnSpPr>
        <xdr:cNvPr id="928" name="Straight Arrow Connector 927">
          <a:extLst>
            <a:ext uri="{FF2B5EF4-FFF2-40B4-BE49-F238E27FC236}">
              <a16:creationId xmlns:a16="http://schemas.microsoft.com/office/drawing/2014/main" id="{8930E968-FF14-4DA9-9D3F-318562E1BE65}"/>
            </a:ext>
          </a:extLst>
        </xdr:cNvPr>
        <xdr:cNvCxnSpPr/>
      </xdr:nvCxnSpPr>
      <xdr:spPr>
        <a:xfrm>
          <a:off x="3909972" y="19446880"/>
          <a:ext cx="942975" cy="4812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67315</xdr:colOff>
      <xdr:row>138</xdr:row>
      <xdr:rowOff>130733</xdr:rowOff>
    </xdr:from>
    <xdr:to>
      <xdr:col>10</xdr:col>
      <xdr:colOff>48265</xdr:colOff>
      <xdr:row>141</xdr:row>
      <xdr:rowOff>101663</xdr:rowOff>
    </xdr:to>
    <xdr:sp macro="" textlink="">
      <xdr:nvSpPr>
        <xdr:cNvPr id="929" name="TextBox 928">
          <a:extLst>
            <a:ext uri="{FF2B5EF4-FFF2-40B4-BE49-F238E27FC236}">
              <a16:creationId xmlns:a16="http://schemas.microsoft.com/office/drawing/2014/main" id="{110E1227-86EF-4F67-BCF3-B061BF6373C1}"/>
            </a:ext>
          </a:extLst>
        </xdr:cNvPr>
        <xdr:cNvSpPr txBox="1"/>
      </xdr:nvSpPr>
      <xdr:spPr>
        <a:xfrm>
          <a:off x="2652672" y="20745554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219715</xdr:colOff>
      <xdr:row>147</xdr:row>
      <xdr:rowOff>1959</xdr:rowOff>
    </xdr:from>
    <xdr:to>
      <xdr:col>8</xdr:col>
      <xdr:colOff>200665</xdr:colOff>
      <xdr:row>149</xdr:row>
      <xdr:rowOff>122568</xdr:rowOff>
    </xdr:to>
    <xdr:sp macro="" textlink="">
      <xdr:nvSpPr>
        <xdr:cNvPr id="930" name="TextBox 929">
          <a:extLst>
            <a:ext uri="{FF2B5EF4-FFF2-40B4-BE49-F238E27FC236}">
              <a16:creationId xmlns:a16="http://schemas.microsoft.com/office/drawing/2014/main" id="{B6EC98FE-9BDC-45AA-9EAC-0C0376E468C3}"/>
            </a:ext>
          </a:extLst>
        </xdr:cNvPr>
        <xdr:cNvSpPr txBox="1"/>
      </xdr:nvSpPr>
      <xdr:spPr>
        <a:xfrm>
          <a:off x="2043072" y="21963888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67315</xdr:colOff>
      <xdr:row>153</xdr:row>
      <xdr:rowOff>118733</xdr:rowOff>
    </xdr:from>
    <xdr:to>
      <xdr:col>7</xdr:col>
      <xdr:colOff>48265</xdr:colOff>
      <xdr:row>156</xdr:row>
      <xdr:rowOff>86199</xdr:rowOff>
    </xdr:to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F547CBE4-FEFB-4C96-AF49-9E1B3EA7B88B}"/>
            </a:ext>
          </a:extLst>
        </xdr:cNvPr>
        <xdr:cNvSpPr txBox="1"/>
      </xdr:nvSpPr>
      <xdr:spPr>
        <a:xfrm>
          <a:off x="1509672" y="22978733"/>
          <a:ext cx="742950" cy="4165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endParaRPr lang="en-US" sz="700" baseline="0">
            <a:solidFill>
              <a:srgbClr val="FF0000"/>
            </a:solidFill>
          </a:endParaRP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324490</xdr:colOff>
      <xdr:row>160</xdr:row>
      <xdr:rowOff>110941</xdr:rowOff>
    </xdr:from>
    <xdr:to>
      <xdr:col>6</xdr:col>
      <xdr:colOff>181615</xdr:colOff>
      <xdr:row>161</xdr:row>
      <xdr:rowOff>88550</xdr:rowOff>
    </xdr:to>
    <xdr:cxnSp macro="">
      <xdr:nvCxnSpPr>
        <xdr:cNvPr id="933" name="Straight Arrow Connector 932">
          <a:extLst>
            <a:ext uri="{FF2B5EF4-FFF2-40B4-BE49-F238E27FC236}">
              <a16:creationId xmlns:a16="http://schemas.microsoft.com/office/drawing/2014/main" id="{6B7A695D-8442-48BA-AE98-121FDB148A5B}"/>
            </a:ext>
          </a:extLst>
        </xdr:cNvPr>
        <xdr:cNvCxnSpPr/>
      </xdr:nvCxnSpPr>
      <xdr:spPr>
        <a:xfrm flipH="1" flipV="1">
          <a:off x="1766847" y="24018691"/>
          <a:ext cx="238125" cy="127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267341</xdr:colOff>
      <xdr:row>203</xdr:row>
      <xdr:rowOff>132590</xdr:rowOff>
    </xdr:from>
    <xdr:to>
      <xdr:col>16</xdr:col>
      <xdr:colOff>238765</xdr:colOff>
      <xdr:row>221</xdr:row>
      <xdr:rowOff>2331</xdr:rowOff>
    </xdr:to>
    <xdr:cxnSp macro="">
      <xdr:nvCxnSpPr>
        <xdr:cNvPr id="934" name="Straight Connector 933">
          <a:extLst>
            <a:ext uri="{FF2B5EF4-FFF2-40B4-BE49-F238E27FC236}">
              <a16:creationId xmlns:a16="http://schemas.microsoft.com/office/drawing/2014/main" id="{6903E023-F06A-4B19-A714-D4B9F2CFDB0D}"/>
            </a:ext>
          </a:extLst>
        </xdr:cNvPr>
        <xdr:cNvCxnSpPr/>
      </xdr:nvCxnSpPr>
      <xdr:spPr>
        <a:xfrm flipH="1" flipV="1">
          <a:off x="947698" y="30517340"/>
          <a:ext cx="4924424" cy="2563955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229240</xdr:colOff>
      <xdr:row>201</xdr:row>
      <xdr:rowOff>101168</xdr:rowOff>
    </xdr:from>
    <xdr:to>
      <xdr:col>16</xdr:col>
      <xdr:colOff>295915</xdr:colOff>
      <xdr:row>219</xdr:row>
      <xdr:rowOff>56635</xdr:rowOff>
    </xdr:to>
    <xdr:cxnSp macro="">
      <xdr:nvCxnSpPr>
        <xdr:cNvPr id="935" name="Straight Connector 934">
          <a:extLst>
            <a:ext uri="{FF2B5EF4-FFF2-40B4-BE49-F238E27FC236}">
              <a16:creationId xmlns:a16="http://schemas.microsoft.com/office/drawing/2014/main" id="{B2F803BC-E07D-41EE-A32D-232E142455F3}"/>
            </a:ext>
          </a:extLst>
        </xdr:cNvPr>
        <xdr:cNvCxnSpPr/>
      </xdr:nvCxnSpPr>
      <xdr:spPr>
        <a:xfrm flipH="1" flipV="1">
          <a:off x="909597" y="30186561"/>
          <a:ext cx="5019675" cy="264968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172090</xdr:colOff>
      <xdr:row>202</xdr:row>
      <xdr:rowOff>88303</xdr:rowOff>
    </xdr:from>
    <xdr:to>
      <xdr:col>16</xdr:col>
      <xdr:colOff>248290</xdr:colOff>
      <xdr:row>220</xdr:row>
      <xdr:rowOff>43770</xdr:rowOff>
    </xdr:to>
    <xdr:cxnSp macro="">
      <xdr:nvCxnSpPr>
        <xdr:cNvPr id="936" name="Straight Connector 935">
          <a:extLst>
            <a:ext uri="{FF2B5EF4-FFF2-40B4-BE49-F238E27FC236}">
              <a16:creationId xmlns:a16="http://schemas.microsoft.com/office/drawing/2014/main" id="{5A94B7CC-AD62-4681-9A1C-71562A3A86D4}"/>
            </a:ext>
          </a:extLst>
        </xdr:cNvPr>
        <xdr:cNvCxnSpPr/>
      </xdr:nvCxnSpPr>
      <xdr:spPr>
        <a:xfrm>
          <a:off x="852447" y="30323374"/>
          <a:ext cx="5029200" cy="2649682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10165</xdr:colOff>
      <xdr:row>189</xdr:row>
      <xdr:rowOff>36472</xdr:rowOff>
    </xdr:from>
    <xdr:to>
      <xdr:col>6</xdr:col>
      <xdr:colOff>229240</xdr:colOff>
      <xdr:row>196</xdr:row>
      <xdr:rowOff>75627</xdr:rowOff>
    </xdr:to>
    <xdr:cxnSp macro="">
      <xdr:nvCxnSpPr>
        <xdr:cNvPr id="937" name="Straight Arrow Connector 936">
          <a:extLst>
            <a:ext uri="{FF2B5EF4-FFF2-40B4-BE49-F238E27FC236}">
              <a16:creationId xmlns:a16="http://schemas.microsoft.com/office/drawing/2014/main" id="{02BD10DF-6A92-4F42-804B-B20DC50F3039}"/>
            </a:ext>
          </a:extLst>
        </xdr:cNvPr>
        <xdr:cNvCxnSpPr/>
      </xdr:nvCxnSpPr>
      <xdr:spPr>
        <a:xfrm flipV="1">
          <a:off x="1452522" y="28325722"/>
          <a:ext cx="600075" cy="108690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67315</xdr:colOff>
      <xdr:row>190</xdr:row>
      <xdr:rowOff>122320</xdr:rowOff>
    </xdr:from>
    <xdr:to>
      <xdr:col>5</xdr:col>
      <xdr:colOff>249935</xdr:colOff>
      <xdr:row>193</xdr:row>
      <xdr:rowOff>57848</xdr:rowOff>
    </xdr:to>
    <xdr:sp macro="" textlink="">
      <xdr:nvSpPr>
        <xdr:cNvPr id="938" name="Rectangle 937">
          <a:extLst>
            <a:ext uri="{FF2B5EF4-FFF2-40B4-BE49-F238E27FC236}">
              <a16:creationId xmlns:a16="http://schemas.microsoft.com/office/drawing/2014/main" id="{33EDBC48-7A32-4510-A187-E848448A21D9}"/>
            </a:ext>
          </a:extLst>
        </xdr:cNvPr>
        <xdr:cNvSpPr/>
      </xdr:nvSpPr>
      <xdr:spPr>
        <a:xfrm rot="184367">
          <a:off x="1128672" y="28561249"/>
          <a:ext cx="563620" cy="3845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E</a:t>
          </a:r>
        </a:p>
      </xdr:txBody>
    </xdr:sp>
    <xdr:clientData/>
  </xdr:twoCellAnchor>
  <xdr:twoCellAnchor>
    <xdr:from>
      <xdr:col>19</xdr:col>
      <xdr:colOff>172090</xdr:colOff>
      <xdr:row>211</xdr:row>
      <xdr:rowOff>120363</xdr:rowOff>
    </xdr:from>
    <xdr:to>
      <xdr:col>19</xdr:col>
      <xdr:colOff>353065</xdr:colOff>
      <xdr:row>213</xdr:row>
      <xdr:rowOff>146813</xdr:rowOff>
    </xdr:to>
    <xdr:cxnSp macro="">
      <xdr:nvCxnSpPr>
        <xdr:cNvPr id="939" name="Straight Connector 938">
          <a:extLst>
            <a:ext uri="{FF2B5EF4-FFF2-40B4-BE49-F238E27FC236}">
              <a16:creationId xmlns:a16="http://schemas.microsoft.com/office/drawing/2014/main" id="{C9787215-8241-4F2A-8800-82513E6216BC}"/>
            </a:ext>
          </a:extLst>
        </xdr:cNvPr>
        <xdr:cNvCxnSpPr/>
      </xdr:nvCxnSpPr>
      <xdr:spPr>
        <a:xfrm flipH="1">
          <a:off x="6948447" y="31702542"/>
          <a:ext cx="180975" cy="32580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67315</xdr:colOff>
      <xdr:row>206</xdr:row>
      <xdr:rowOff>93498</xdr:rowOff>
    </xdr:from>
    <xdr:to>
      <xdr:col>20</xdr:col>
      <xdr:colOff>276266</xdr:colOff>
      <xdr:row>213</xdr:row>
      <xdr:rowOff>57626</xdr:rowOff>
    </xdr:to>
    <xdr:cxnSp macro="">
      <xdr:nvCxnSpPr>
        <xdr:cNvPr id="940" name="Straight Connector 939">
          <a:extLst>
            <a:ext uri="{FF2B5EF4-FFF2-40B4-BE49-F238E27FC236}">
              <a16:creationId xmlns:a16="http://schemas.microsoft.com/office/drawing/2014/main" id="{70B71A21-E225-4786-BD3D-FD5A896FCC83}"/>
            </a:ext>
          </a:extLst>
        </xdr:cNvPr>
        <xdr:cNvCxnSpPr>
          <a:endCxn id="943" idx="0"/>
        </xdr:cNvCxnSpPr>
      </xdr:nvCxnSpPr>
      <xdr:spPr>
        <a:xfrm flipV="1">
          <a:off x="6843672" y="30927284"/>
          <a:ext cx="589951" cy="1011878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67315</xdr:colOff>
      <xdr:row>212</xdr:row>
      <xdr:rowOff>32390</xdr:rowOff>
    </xdr:from>
    <xdr:to>
      <xdr:col>20</xdr:col>
      <xdr:colOff>162565</xdr:colOff>
      <xdr:row>215</xdr:row>
      <xdr:rowOff>22370</xdr:rowOff>
    </xdr:to>
    <xdr:cxnSp macro="">
      <xdr:nvCxnSpPr>
        <xdr:cNvPr id="941" name="Straight Arrow Connector 940">
          <a:extLst>
            <a:ext uri="{FF2B5EF4-FFF2-40B4-BE49-F238E27FC236}">
              <a16:creationId xmlns:a16="http://schemas.microsoft.com/office/drawing/2014/main" id="{12DD8B75-8AC7-45F7-B3A6-EB987A1D528D}"/>
            </a:ext>
          </a:extLst>
        </xdr:cNvPr>
        <xdr:cNvCxnSpPr/>
      </xdr:nvCxnSpPr>
      <xdr:spPr>
        <a:xfrm flipH="1" flipV="1">
          <a:off x="6462672" y="31764247"/>
          <a:ext cx="857250" cy="4390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248290</xdr:colOff>
      <xdr:row>206</xdr:row>
      <xdr:rowOff>84468</xdr:rowOff>
    </xdr:from>
    <xdr:to>
      <xdr:col>20</xdr:col>
      <xdr:colOff>373518</xdr:colOff>
      <xdr:row>207</xdr:row>
      <xdr:rowOff>80148</xdr:rowOff>
    </xdr:to>
    <xdr:grpSp>
      <xdr:nvGrpSpPr>
        <xdr:cNvPr id="942" name="Group 941">
          <a:extLst>
            <a:ext uri="{FF2B5EF4-FFF2-40B4-BE49-F238E27FC236}">
              <a16:creationId xmlns:a16="http://schemas.microsoft.com/office/drawing/2014/main" id="{7AFD4670-5898-4B48-B0C9-0E19FEFF2297}"/>
            </a:ext>
          </a:extLst>
        </xdr:cNvPr>
        <xdr:cNvGrpSpPr/>
      </xdr:nvGrpSpPr>
      <xdr:grpSpPr>
        <a:xfrm rot="19846558">
          <a:off x="7421029" y="31135968"/>
          <a:ext cx="125228" cy="1447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43" name="Oval 942">
            <a:extLst>
              <a:ext uri="{FF2B5EF4-FFF2-40B4-BE49-F238E27FC236}">
                <a16:creationId xmlns:a16="http://schemas.microsoft.com/office/drawing/2014/main" id="{A3455A2F-91EC-8DDE-4286-53D68431F2D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8367BF56-20A3-45A6-410D-A484BB63C3BA}"/>
              </a:ext>
            </a:extLst>
          </xdr:cNvPr>
          <xdr:cNvCxnSpPr>
            <a:stCxn id="943" idx="1"/>
            <a:endCxn id="9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5" name="Straight Connector 944">
            <a:extLst>
              <a:ext uri="{FF2B5EF4-FFF2-40B4-BE49-F238E27FC236}">
                <a16:creationId xmlns:a16="http://schemas.microsoft.com/office/drawing/2014/main" id="{34C86020-CB2B-F56C-4D8E-426707AD2BC3}"/>
              </a:ext>
            </a:extLst>
          </xdr:cNvPr>
          <xdr:cNvCxnSpPr>
            <a:stCxn id="943" idx="3"/>
            <a:endCxn id="9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267340</xdr:colOff>
      <xdr:row>217</xdr:row>
      <xdr:rowOff>44265</xdr:rowOff>
    </xdr:from>
    <xdr:to>
      <xdr:col>17</xdr:col>
      <xdr:colOff>105415</xdr:colOff>
      <xdr:row>224</xdr:row>
      <xdr:rowOff>56206</xdr:rowOff>
    </xdr:to>
    <xdr:cxnSp macro="">
      <xdr:nvCxnSpPr>
        <xdr:cNvPr id="946" name="Straight Arrow Connector 945">
          <a:extLst>
            <a:ext uri="{FF2B5EF4-FFF2-40B4-BE49-F238E27FC236}">
              <a16:creationId xmlns:a16="http://schemas.microsoft.com/office/drawing/2014/main" id="{BB5C0A8D-11AA-45B8-A6F9-46173BA194C3}"/>
            </a:ext>
          </a:extLst>
        </xdr:cNvPr>
        <xdr:cNvCxnSpPr/>
      </xdr:nvCxnSpPr>
      <xdr:spPr>
        <a:xfrm flipV="1">
          <a:off x="5519697" y="32524515"/>
          <a:ext cx="600075" cy="108690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257815</xdr:colOff>
      <xdr:row>220</xdr:row>
      <xdr:rowOff>119970</xdr:rowOff>
    </xdr:from>
    <xdr:to>
      <xdr:col>18</xdr:col>
      <xdr:colOff>59435</xdr:colOff>
      <xdr:row>223</xdr:row>
      <xdr:rowOff>31747</xdr:rowOff>
    </xdr:to>
    <xdr:sp macro="" textlink="">
      <xdr:nvSpPr>
        <xdr:cNvPr id="947" name="Rectangle 946">
          <a:extLst>
            <a:ext uri="{FF2B5EF4-FFF2-40B4-BE49-F238E27FC236}">
              <a16:creationId xmlns:a16="http://schemas.microsoft.com/office/drawing/2014/main" id="{1843D925-5238-48CD-A1A1-A36EACD8C74E}"/>
            </a:ext>
          </a:extLst>
        </xdr:cNvPr>
        <xdr:cNvSpPr/>
      </xdr:nvSpPr>
      <xdr:spPr>
        <a:xfrm rot="184367">
          <a:off x="5891172" y="33049256"/>
          <a:ext cx="563620" cy="3880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E</a:t>
          </a:r>
        </a:p>
      </xdr:txBody>
    </xdr:sp>
    <xdr:clientData/>
  </xdr:twoCellAnchor>
  <xdr:twoCellAnchor>
    <xdr:from>
      <xdr:col>2</xdr:col>
      <xdr:colOff>261896</xdr:colOff>
      <xdr:row>196</xdr:row>
      <xdr:rowOff>136917</xdr:rowOff>
    </xdr:from>
    <xdr:to>
      <xdr:col>4</xdr:col>
      <xdr:colOff>133990</xdr:colOff>
      <xdr:row>201</xdr:row>
      <xdr:rowOff>21504</xdr:rowOff>
    </xdr:to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9FD5908A-2599-4309-86C9-F49F40BFB8D9}"/>
            </a:ext>
          </a:extLst>
        </xdr:cNvPr>
        <xdr:cNvSpPr txBox="1"/>
      </xdr:nvSpPr>
      <xdr:spPr>
        <a:xfrm>
          <a:off x="452396" y="29473917"/>
          <a:ext cx="742951" cy="63298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chemeClr val="tx1"/>
              </a:solidFill>
            </a:rPr>
            <a:t>KDS</a:t>
          </a:r>
          <a:r>
            <a:rPr lang="en-US" sz="700" b="1" u="sng" baseline="0">
              <a:solidFill>
                <a:schemeClr val="tx1"/>
              </a:solidFill>
            </a:rPr>
            <a:t> 16</a:t>
          </a:r>
        </a:p>
        <a:p>
          <a:pPr algn="ctr"/>
          <a:endParaRPr lang="en-US" sz="700" b="1" u="sng" baseline="0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chemeClr val="tx1"/>
              </a:solidFill>
            </a:rPr>
            <a:t>1 C12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CC7</a:t>
          </a:r>
        </a:p>
      </xdr:txBody>
    </xdr:sp>
    <xdr:clientData/>
  </xdr:twoCellAnchor>
  <xdr:twoCellAnchor>
    <xdr:from>
      <xdr:col>6</xdr:col>
      <xdr:colOff>48265</xdr:colOff>
      <xdr:row>67</xdr:row>
      <xdr:rowOff>88550</xdr:rowOff>
    </xdr:from>
    <xdr:to>
      <xdr:col>8</xdr:col>
      <xdr:colOff>13478</xdr:colOff>
      <xdr:row>71</xdr:row>
      <xdr:rowOff>33627</xdr:rowOff>
    </xdr:to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75CDBCEE-873C-452A-9769-F4453A3CC2A7}"/>
            </a:ext>
          </a:extLst>
        </xdr:cNvPr>
        <xdr:cNvSpPr txBox="1"/>
      </xdr:nvSpPr>
      <xdr:spPr>
        <a:xfrm>
          <a:off x="1871622" y="10334729"/>
          <a:ext cx="727213" cy="54379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8</xdr:col>
      <xdr:colOff>286390</xdr:colOff>
      <xdr:row>85</xdr:row>
      <xdr:rowOff>53542</xdr:rowOff>
    </xdr:from>
    <xdr:to>
      <xdr:col>10</xdr:col>
      <xdr:colOff>251603</xdr:colOff>
      <xdr:row>88</xdr:row>
      <xdr:rowOff>148297</xdr:rowOff>
    </xdr:to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4141856F-824F-4DBD-B79A-62229450FDB5}"/>
            </a:ext>
          </a:extLst>
        </xdr:cNvPr>
        <xdr:cNvSpPr txBox="1"/>
      </xdr:nvSpPr>
      <xdr:spPr>
        <a:xfrm>
          <a:off x="2871747" y="12993935"/>
          <a:ext cx="727213" cy="54379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5</xdr:col>
      <xdr:colOff>105415</xdr:colOff>
      <xdr:row>82</xdr:row>
      <xdr:rowOff>101663</xdr:rowOff>
    </xdr:from>
    <xdr:to>
      <xdr:col>7</xdr:col>
      <xdr:colOff>70628</xdr:colOff>
      <xdr:row>86</xdr:row>
      <xdr:rowOff>50203</xdr:rowOff>
    </xdr:to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61F603D0-8909-4F6C-927C-CFAB1F75E110}"/>
            </a:ext>
          </a:extLst>
        </xdr:cNvPr>
        <xdr:cNvSpPr txBox="1"/>
      </xdr:nvSpPr>
      <xdr:spPr>
        <a:xfrm>
          <a:off x="1547772" y="12593020"/>
          <a:ext cx="727213" cy="54725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19</xdr:col>
      <xdr:colOff>238765</xdr:colOff>
      <xdr:row>213</xdr:row>
      <xdr:rowOff>57624</xdr:rowOff>
    </xdr:from>
    <xdr:to>
      <xdr:col>21</xdr:col>
      <xdr:colOff>162565</xdr:colOff>
      <xdr:row>219</xdr:row>
      <xdr:rowOff>41413</xdr:rowOff>
    </xdr:to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D89655D1-4EA5-4ED6-A323-26C8E6073521}"/>
            </a:ext>
          </a:extLst>
        </xdr:cNvPr>
        <xdr:cNvSpPr txBox="1"/>
      </xdr:nvSpPr>
      <xdr:spPr>
        <a:xfrm>
          <a:off x="7030504" y="32152733"/>
          <a:ext cx="685800" cy="8783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CG106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CC8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2 CM5-5</a:t>
          </a:r>
        </a:p>
      </xdr:txBody>
    </xdr:sp>
    <xdr:clientData/>
  </xdr:twoCellAnchor>
  <xdr:twoCellAnchor>
    <xdr:from>
      <xdr:col>8</xdr:col>
      <xdr:colOff>361230</xdr:colOff>
      <xdr:row>213</xdr:row>
      <xdr:rowOff>80756</xdr:rowOff>
    </xdr:from>
    <xdr:to>
      <xdr:col>10</xdr:col>
      <xdr:colOff>342180</xdr:colOff>
      <xdr:row>217</xdr:row>
      <xdr:rowOff>16565</xdr:rowOff>
    </xdr:to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972FC9E6-9310-464D-9D3A-52523379FBFB}"/>
            </a:ext>
          </a:extLst>
        </xdr:cNvPr>
        <xdr:cNvSpPr txBox="1"/>
      </xdr:nvSpPr>
      <xdr:spPr>
        <a:xfrm>
          <a:off x="2961969" y="32175865"/>
          <a:ext cx="742950" cy="53215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CC8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ABSW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200665</xdr:colOff>
      <xdr:row>202</xdr:row>
      <xdr:rowOff>78778</xdr:rowOff>
    </xdr:from>
    <xdr:to>
      <xdr:col>8</xdr:col>
      <xdr:colOff>172090</xdr:colOff>
      <xdr:row>204</xdr:row>
      <xdr:rowOff>119722</xdr:rowOff>
    </xdr:to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6A07FA44-DBCE-4EE9-8755-95F138F61B7F}"/>
            </a:ext>
          </a:extLst>
        </xdr:cNvPr>
        <xdr:cNvSpPr txBox="1"/>
      </xdr:nvSpPr>
      <xdr:spPr>
        <a:xfrm>
          <a:off x="2024022" y="30313849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7</xdr:col>
      <xdr:colOff>114940</xdr:colOff>
      <xdr:row>210</xdr:row>
      <xdr:rowOff>20020</xdr:rowOff>
    </xdr:from>
    <xdr:to>
      <xdr:col>9</xdr:col>
      <xdr:colOff>67315</xdr:colOff>
      <xdr:row>212</xdr:row>
      <xdr:rowOff>140628</xdr:rowOff>
    </xdr:to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F87D016C-38E7-4AD6-819F-6C2A9C8C78BD}"/>
            </a:ext>
          </a:extLst>
        </xdr:cNvPr>
        <xdr:cNvSpPr txBox="1"/>
      </xdr:nvSpPr>
      <xdr:spPr>
        <a:xfrm>
          <a:off x="2319297" y="31452520"/>
          <a:ext cx="714375" cy="41996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</xdr:txBody>
    </xdr:sp>
    <xdr:clientData/>
  </xdr:twoCellAnchor>
  <xdr:twoCellAnchor>
    <xdr:from>
      <xdr:col>11</xdr:col>
      <xdr:colOff>219715</xdr:colOff>
      <xdr:row>215</xdr:row>
      <xdr:rowOff>140134</xdr:rowOff>
    </xdr:from>
    <xdr:to>
      <xdr:col>13</xdr:col>
      <xdr:colOff>172090</xdr:colOff>
      <xdr:row>220</xdr:row>
      <xdr:rowOff>53296</xdr:rowOff>
    </xdr:to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33D86F26-0540-4225-B491-E7932154C673}"/>
            </a:ext>
          </a:extLst>
        </xdr:cNvPr>
        <xdr:cNvSpPr txBox="1"/>
      </xdr:nvSpPr>
      <xdr:spPr>
        <a:xfrm>
          <a:off x="3948072" y="32321027"/>
          <a:ext cx="714375" cy="66155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</xdr:txBody>
    </xdr:sp>
    <xdr:clientData/>
  </xdr:twoCellAnchor>
  <xdr:twoCellAnchor>
    <xdr:from>
      <xdr:col>15</xdr:col>
      <xdr:colOff>48265</xdr:colOff>
      <xdr:row>214</xdr:row>
      <xdr:rowOff>44760</xdr:rowOff>
    </xdr:from>
    <xdr:to>
      <xdr:col>17</xdr:col>
      <xdr:colOff>19690</xdr:colOff>
      <xdr:row>216</xdr:row>
      <xdr:rowOff>85705</xdr:rowOff>
    </xdr:to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999ED767-AD79-4BBD-82A6-0AB3CEB77CE6}"/>
            </a:ext>
          </a:extLst>
        </xdr:cNvPr>
        <xdr:cNvSpPr txBox="1"/>
      </xdr:nvSpPr>
      <xdr:spPr>
        <a:xfrm>
          <a:off x="5300622" y="32075974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8</xdr:col>
      <xdr:colOff>267340</xdr:colOff>
      <xdr:row>193</xdr:row>
      <xdr:rowOff>70737</xdr:rowOff>
    </xdr:from>
    <xdr:to>
      <xdr:col>10</xdr:col>
      <xdr:colOff>219715</xdr:colOff>
      <xdr:row>196</xdr:row>
      <xdr:rowOff>41667</xdr:rowOff>
    </xdr:to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7E5BF711-6F95-47DA-BD02-F4EFA9FB2E62}"/>
            </a:ext>
          </a:extLst>
        </xdr:cNvPr>
        <xdr:cNvSpPr txBox="1"/>
      </xdr:nvSpPr>
      <xdr:spPr>
        <a:xfrm>
          <a:off x="2852697" y="28958701"/>
          <a:ext cx="714375" cy="4199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</xdr:txBody>
    </xdr:sp>
    <xdr:clientData/>
  </xdr:twoCellAnchor>
  <xdr:twoCellAnchor>
    <xdr:from>
      <xdr:col>13</xdr:col>
      <xdr:colOff>257815</xdr:colOff>
      <xdr:row>199</xdr:row>
      <xdr:rowOff>50697</xdr:rowOff>
    </xdr:from>
    <xdr:to>
      <xdr:col>15</xdr:col>
      <xdr:colOff>210190</xdr:colOff>
      <xdr:row>202</xdr:row>
      <xdr:rowOff>18164</xdr:rowOff>
    </xdr:to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BEE57969-2BE5-4D80-860A-B7FA2D192048}"/>
            </a:ext>
          </a:extLst>
        </xdr:cNvPr>
        <xdr:cNvSpPr txBox="1"/>
      </xdr:nvSpPr>
      <xdr:spPr>
        <a:xfrm>
          <a:off x="4748172" y="29836733"/>
          <a:ext cx="714375" cy="4165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</xdr:txBody>
    </xdr:sp>
    <xdr:clientData/>
  </xdr:twoCellAnchor>
  <xdr:twoCellAnchor>
    <xdr:from>
      <xdr:col>14</xdr:col>
      <xdr:colOff>314965</xdr:colOff>
      <xdr:row>207</xdr:row>
      <xdr:rowOff>1465</xdr:rowOff>
    </xdr:from>
    <xdr:to>
      <xdr:col>16</xdr:col>
      <xdr:colOff>286390</xdr:colOff>
      <xdr:row>209</xdr:row>
      <xdr:rowOff>42410</xdr:rowOff>
    </xdr:to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1FA3F130-E8DF-4E6D-AE38-37A901192FB9}"/>
            </a:ext>
          </a:extLst>
        </xdr:cNvPr>
        <xdr:cNvSpPr txBox="1"/>
      </xdr:nvSpPr>
      <xdr:spPr>
        <a:xfrm>
          <a:off x="5186322" y="30984929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5</xdr:col>
      <xdr:colOff>200665</xdr:colOff>
      <xdr:row>195</xdr:row>
      <xdr:rowOff>45008</xdr:rowOff>
    </xdr:from>
    <xdr:to>
      <xdr:col>7</xdr:col>
      <xdr:colOff>172090</xdr:colOff>
      <xdr:row>197</xdr:row>
      <xdr:rowOff>85952</xdr:rowOff>
    </xdr:to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D23C63E0-E78D-465F-B348-714FD7B524D3}"/>
            </a:ext>
          </a:extLst>
        </xdr:cNvPr>
        <xdr:cNvSpPr txBox="1"/>
      </xdr:nvSpPr>
      <xdr:spPr>
        <a:xfrm>
          <a:off x="1643022" y="29232329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13</xdr:col>
      <xdr:colOff>328987</xdr:colOff>
      <xdr:row>15</xdr:row>
      <xdr:rowOff>33566</xdr:rowOff>
    </xdr:from>
    <xdr:to>
      <xdr:col>16</xdr:col>
      <xdr:colOff>76938</xdr:colOff>
      <xdr:row>17</xdr:row>
      <xdr:rowOff>131101</xdr:rowOff>
    </xdr:to>
    <xdr:cxnSp macro="">
      <xdr:nvCxnSpPr>
        <xdr:cNvPr id="962" name="Straight Connector 961">
          <a:extLst>
            <a:ext uri="{FF2B5EF4-FFF2-40B4-BE49-F238E27FC236}">
              <a16:creationId xmlns:a16="http://schemas.microsoft.com/office/drawing/2014/main" id="{DF1DEB6D-EE4E-4B50-87C0-4BD8DFD3995B}"/>
            </a:ext>
          </a:extLst>
        </xdr:cNvPr>
        <xdr:cNvCxnSpPr>
          <a:stCxn id="649" idx="1"/>
          <a:endCxn id="658" idx="5"/>
        </xdr:cNvCxnSpPr>
      </xdr:nvCxnSpPr>
      <xdr:spPr>
        <a:xfrm flipH="1" flipV="1">
          <a:off x="4828728" y="2339273"/>
          <a:ext cx="890951" cy="39970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108136</xdr:colOff>
      <xdr:row>211</xdr:row>
      <xdr:rowOff>35729</xdr:rowOff>
    </xdr:from>
    <xdr:to>
      <xdr:col>10</xdr:col>
      <xdr:colOff>256090</xdr:colOff>
      <xdr:row>211</xdr:row>
      <xdr:rowOff>109951</xdr:rowOff>
    </xdr:to>
    <xdr:cxnSp macro="">
      <xdr:nvCxnSpPr>
        <xdr:cNvPr id="965" name="Straight Connector 80">
          <a:extLst>
            <a:ext uri="{FF2B5EF4-FFF2-40B4-BE49-F238E27FC236}">
              <a16:creationId xmlns:a16="http://schemas.microsoft.com/office/drawing/2014/main" id="{B45A03AE-29D1-4EAC-A9F0-BB867236ECAE}"/>
            </a:ext>
          </a:extLst>
        </xdr:cNvPr>
        <xdr:cNvCxnSpPr/>
      </xdr:nvCxnSpPr>
      <xdr:spPr>
        <a:xfrm>
          <a:off x="3455493" y="31617908"/>
          <a:ext cx="147954" cy="7422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330668</xdr:colOff>
      <xdr:row>212</xdr:row>
      <xdr:rowOff>3916</xdr:rowOff>
    </xdr:from>
    <xdr:to>
      <xdr:col>11</xdr:col>
      <xdr:colOff>135351</xdr:colOff>
      <xdr:row>212</xdr:row>
      <xdr:rowOff>102528</xdr:rowOff>
    </xdr:to>
    <xdr:cxnSp macro="">
      <xdr:nvCxnSpPr>
        <xdr:cNvPr id="966" name="Straight Connector 88">
          <a:extLst>
            <a:ext uri="{FF2B5EF4-FFF2-40B4-BE49-F238E27FC236}">
              <a16:creationId xmlns:a16="http://schemas.microsoft.com/office/drawing/2014/main" id="{87E4BADF-5C94-464B-B9E9-3E515376AA25}"/>
            </a:ext>
          </a:extLst>
        </xdr:cNvPr>
        <xdr:cNvCxnSpPr/>
      </xdr:nvCxnSpPr>
      <xdr:spPr>
        <a:xfrm>
          <a:off x="3678025" y="31735773"/>
          <a:ext cx="185683" cy="986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298636</xdr:colOff>
      <xdr:row>211</xdr:row>
      <xdr:rowOff>103996</xdr:rowOff>
    </xdr:from>
    <xdr:to>
      <xdr:col>10</xdr:col>
      <xdr:colOff>376193</xdr:colOff>
      <xdr:row>212</xdr:row>
      <xdr:rowOff>143349</xdr:rowOff>
    </xdr:to>
    <xdr:cxnSp macro="">
      <xdr:nvCxnSpPr>
        <xdr:cNvPr id="967" name="Straight Connector 88">
          <a:extLst>
            <a:ext uri="{FF2B5EF4-FFF2-40B4-BE49-F238E27FC236}">
              <a16:creationId xmlns:a16="http://schemas.microsoft.com/office/drawing/2014/main" id="{51716944-D9E4-47DA-B70F-8B69C85021DA}"/>
            </a:ext>
          </a:extLst>
        </xdr:cNvPr>
        <xdr:cNvCxnSpPr>
          <a:endCxn id="875" idx="6"/>
        </xdr:cNvCxnSpPr>
      </xdr:nvCxnSpPr>
      <xdr:spPr>
        <a:xfrm flipV="1">
          <a:off x="3645993" y="31686175"/>
          <a:ext cx="77557" cy="18903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189779</xdr:colOff>
      <xdr:row>211</xdr:row>
      <xdr:rowOff>22122</xdr:rowOff>
    </xdr:from>
    <xdr:to>
      <xdr:col>10</xdr:col>
      <xdr:colOff>298636</xdr:colOff>
      <xdr:row>212</xdr:row>
      <xdr:rowOff>69130</xdr:rowOff>
    </xdr:to>
    <xdr:cxnSp macro="">
      <xdr:nvCxnSpPr>
        <xdr:cNvPr id="968" name="Straight Connector 88">
          <a:extLst>
            <a:ext uri="{FF2B5EF4-FFF2-40B4-BE49-F238E27FC236}">
              <a16:creationId xmlns:a16="http://schemas.microsoft.com/office/drawing/2014/main" id="{D1B3A2B8-0F94-42B1-9175-8FC2A1F3099D}"/>
            </a:ext>
          </a:extLst>
        </xdr:cNvPr>
        <xdr:cNvCxnSpPr/>
      </xdr:nvCxnSpPr>
      <xdr:spPr>
        <a:xfrm flipV="1">
          <a:off x="3537136" y="31604301"/>
          <a:ext cx="108857" cy="1966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352596</xdr:colOff>
      <xdr:row>13</xdr:row>
      <xdr:rowOff>85395</xdr:rowOff>
    </xdr:from>
    <xdr:to>
      <xdr:col>14</xdr:col>
      <xdr:colOff>170794</xdr:colOff>
      <xdr:row>14</xdr:row>
      <xdr:rowOff>131191</xdr:rowOff>
    </xdr:to>
    <xdr:sp macro="" textlink="">
      <xdr:nvSpPr>
        <xdr:cNvPr id="1221" name="Isosceles Triangle 1220">
          <a:extLst>
            <a:ext uri="{FF2B5EF4-FFF2-40B4-BE49-F238E27FC236}">
              <a16:creationId xmlns:a16="http://schemas.microsoft.com/office/drawing/2014/main" id="{2097DFAD-19FE-4787-A879-65123400C313}"/>
            </a:ext>
          </a:extLst>
        </xdr:cNvPr>
        <xdr:cNvSpPr/>
      </xdr:nvSpPr>
      <xdr:spPr>
        <a:xfrm>
          <a:off x="4852337" y="2088929"/>
          <a:ext cx="199198" cy="196883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135350</xdr:colOff>
      <xdr:row>15</xdr:row>
      <xdr:rowOff>124810</xdr:rowOff>
    </xdr:from>
    <xdr:to>
      <xdr:col>16</xdr:col>
      <xdr:colOff>256190</xdr:colOff>
      <xdr:row>17</xdr:row>
      <xdr:rowOff>104131</xdr:rowOff>
    </xdr:to>
    <xdr:cxnSp macro="">
      <xdr:nvCxnSpPr>
        <xdr:cNvPr id="1222" name="Straight Arrow Connector 1221">
          <a:extLst>
            <a:ext uri="{FF2B5EF4-FFF2-40B4-BE49-F238E27FC236}">
              <a16:creationId xmlns:a16="http://schemas.microsoft.com/office/drawing/2014/main" id="{B996998E-B5D7-4012-9077-CA2A1A621D39}"/>
            </a:ext>
          </a:extLst>
        </xdr:cNvPr>
        <xdr:cNvCxnSpPr/>
      </xdr:nvCxnSpPr>
      <xdr:spPr>
        <a:xfrm flipV="1">
          <a:off x="5778091" y="2430517"/>
          <a:ext cx="120840" cy="2814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76921</xdr:colOff>
      <xdr:row>1</xdr:row>
      <xdr:rowOff>64399</xdr:rowOff>
    </xdr:from>
    <xdr:to>
      <xdr:col>3</xdr:col>
      <xdr:colOff>368274</xdr:colOff>
      <xdr:row>3</xdr:row>
      <xdr:rowOff>144805</xdr:rowOff>
    </xdr:to>
    <xdr:sp macro="" textlink="">
      <xdr:nvSpPr>
        <xdr:cNvPr id="1223" name="TextBox 1222">
          <a:extLst>
            <a:ext uri="{FF2B5EF4-FFF2-40B4-BE49-F238E27FC236}">
              <a16:creationId xmlns:a16="http://schemas.microsoft.com/office/drawing/2014/main" id="{2C0708B7-5D78-4D86-80A3-2A3E458C2788}"/>
            </a:ext>
          </a:extLst>
        </xdr:cNvPr>
        <xdr:cNvSpPr txBox="1"/>
      </xdr:nvSpPr>
      <xdr:spPr>
        <a:xfrm>
          <a:off x="278627" y="221281"/>
          <a:ext cx="784412" cy="394171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1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68115</xdr:colOff>
      <xdr:row>56</xdr:row>
      <xdr:rowOff>62581</xdr:rowOff>
    </xdr:from>
    <xdr:to>
      <xdr:col>3</xdr:col>
      <xdr:colOff>359468</xdr:colOff>
      <xdr:row>59</xdr:row>
      <xdr:rowOff>13100</xdr:rowOff>
    </xdr:to>
    <xdr:sp macro="" textlink="">
      <xdr:nvSpPr>
        <xdr:cNvPr id="1224" name="TextBox 1223">
          <a:extLst>
            <a:ext uri="{FF2B5EF4-FFF2-40B4-BE49-F238E27FC236}">
              <a16:creationId xmlns:a16="http://schemas.microsoft.com/office/drawing/2014/main" id="{4AC98777-10D1-460E-89AE-798F0DEFBF54}"/>
            </a:ext>
          </a:extLst>
        </xdr:cNvPr>
        <xdr:cNvSpPr txBox="1"/>
      </xdr:nvSpPr>
      <xdr:spPr>
        <a:xfrm>
          <a:off x="269821" y="8926434"/>
          <a:ext cx="784412" cy="4211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2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50506</xdr:colOff>
      <xdr:row>113</xdr:row>
      <xdr:rowOff>77570</xdr:rowOff>
    </xdr:from>
    <xdr:to>
      <xdr:col>3</xdr:col>
      <xdr:colOff>341859</xdr:colOff>
      <xdr:row>116</xdr:row>
      <xdr:rowOff>28089</xdr:rowOff>
    </xdr:to>
    <xdr:sp macro="" textlink="">
      <xdr:nvSpPr>
        <xdr:cNvPr id="1225" name="TextBox 1224">
          <a:extLst>
            <a:ext uri="{FF2B5EF4-FFF2-40B4-BE49-F238E27FC236}">
              <a16:creationId xmlns:a16="http://schemas.microsoft.com/office/drawing/2014/main" id="{33320A9E-64FB-4768-8E34-EB9CAB44D464}"/>
            </a:ext>
          </a:extLst>
        </xdr:cNvPr>
        <xdr:cNvSpPr txBox="1"/>
      </xdr:nvSpPr>
      <xdr:spPr>
        <a:xfrm>
          <a:off x="252212" y="17883717"/>
          <a:ext cx="784412" cy="4211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3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271422</xdr:colOff>
      <xdr:row>170</xdr:row>
      <xdr:rowOff>76550</xdr:rowOff>
    </xdr:from>
    <xdr:to>
      <xdr:col>4</xdr:col>
      <xdr:colOff>184977</xdr:colOff>
      <xdr:row>173</xdr:row>
      <xdr:rowOff>27069</xdr:rowOff>
    </xdr:to>
    <xdr:sp macro="" textlink="">
      <xdr:nvSpPr>
        <xdr:cNvPr id="1226" name="TextBox 1225">
          <a:extLst>
            <a:ext uri="{FF2B5EF4-FFF2-40B4-BE49-F238E27FC236}">
              <a16:creationId xmlns:a16="http://schemas.microsoft.com/office/drawing/2014/main" id="{37BD280D-D3A9-4661-92F6-CC165249001E}"/>
            </a:ext>
          </a:extLst>
        </xdr:cNvPr>
        <xdr:cNvSpPr txBox="1"/>
      </xdr:nvSpPr>
      <xdr:spPr>
        <a:xfrm>
          <a:off x="461922" y="25821264"/>
          <a:ext cx="784412" cy="39955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4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363857</xdr:colOff>
      <xdr:row>14</xdr:row>
      <xdr:rowOff>11330</xdr:rowOff>
    </xdr:from>
    <xdr:to>
      <xdr:col>13</xdr:col>
      <xdr:colOff>201898</xdr:colOff>
      <xdr:row>14</xdr:row>
      <xdr:rowOff>128483</xdr:rowOff>
    </xdr:to>
    <xdr:cxnSp macro="">
      <xdr:nvCxnSpPr>
        <xdr:cNvPr id="1234" name="Straight Arrow Connector 1233">
          <a:extLst>
            <a:ext uri="{FF2B5EF4-FFF2-40B4-BE49-F238E27FC236}">
              <a16:creationId xmlns:a16="http://schemas.microsoft.com/office/drawing/2014/main" id="{8F39F45B-C3E2-2879-CBB3-DD7C52CC39E6}"/>
            </a:ext>
          </a:extLst>
        </xdr:cNvPr>
        <xdr:cNvCxnSpPr/>
      </xdr:nvCxnSpPr>
      <xdr:spPr>
        <a:xfrm flipH="1" flipV="1">
          <a:off x="4482598" y="2165951"/>
          <a:ext cx="219041" cy="1171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183931</xdr:colOff>
      <xdr:row>17</xdr:row>
      <xdr:rowOff>92885</xdr:rowOff>
    </xdr:from>
    <xdr:to>
      <xdr:col>16</xdr:col>
      <xdr:colOff>85397</xdr:colOff>
      <xdr:row>18</xdr:row>
      <xdr:rowOff>32844</xdr:rowOff>
    </xdr:to>
    <xdr:cxnSp macro="">
      <xdr:nvCxnSpPr>
        <xdr:cNvPr id="1235" name="Straight Arrow Connector 1234">
          <a:extLst>
            <a:ext uri="{FF2B5EF4-FFF2-40B4-BE49-F238E27FC236}">
              <a16:creationId xmlns:a16="http://schemas.microsoft.com/office/drawing/2014/main" id="{5AAB9BE0-D1DD-2C5C-A7CD-95D429F501E3}"/>
            </a:ext>
          </a:extLst>
        </xdr:cNvPr>
        <xdr:cNvCxnSpPr/>
      </xdr:nvCxnSpPr>
      <xdr:spPr>
        <a:xfrm>
          <a:off x="5445672" y="2700764"/>
          <a:ext cx="282466" cy="910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328448</xdr:colOff>
      <xdr:row>15</xdr:row>
      <xdr:rowOff>26276</xdr:rowOff>
    </xdr:from>
    <xdr:to>
      <xdr:col>14</xdr:col>
      <xdr:colOff>72676</xdr:colOff>
      <xdr:row>16</xdr:row>
      <xdr:rowOff>23266</xdr:rowOff>
    </xdr:to>
    <xdr:grpSp>
      <xdr:nvGrpSpPr>
        <xdr:cNvPr id="1236" name="Group 1235">
          <a:extLst>
            <a:ext uri="{FF2B5EF4-FFF2-40B4-BE49-F238E27FC236}">
              <a16:creationId xmlns:a16="http://schemas.microsoft.com/office/drawing/2014/main" id="{B490D314-4718-454C-AD5F-24318D20A8C0}"/>
            </a:ext>
          </a:extLst>
        </xdr:cNvPr>
        <xdr:cNvGrpSpPr/>
      </xdr:nvGrpSpPr>
      <xdr:grpSpPr>
        <a:xfrm rot="19846558">
          <a:off x="4834187" y="2312276"/>
          <a:ext cx="125228" cy="1460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37" name="Oval 1236">
            <a:extLst>
              <a:ext uri="{FF2B5EF4-FFF2-40B4-BE49-F238E27FC236}">
                <a16:creationId xmlns:a16="http://schemas.microsoft.com/office/drawing/2014/main" id="{6DB46AE7-5983-63F1-7B3F-6AE23D4E780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38" name="Straight Connector 1237">
            <a:extLst>
              <a:ext uri="{FF2B5EF4-FFF2-40B4-BE49-F238E27FC236}">
                <a16:creationId xmlns:a16="http://schemas.microsoft.com/office/drawing/2014/main" id="{F3CAE4EA-7CAF-49C8-CBD1-4D36F5552BF2}"/>
              </a:ext>
            </a:extLst>
          </xdr:cNvPr>
          <xdr:cNvCxnSpPr>
            <a:stCxn id="1237" idx="1"/>
            <a:endCxn id="12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9" name="Straight Connector 1238">
            <a:extLst>
              <a:ext uri="{FF2B5EF4-FFF2-40B4-BE49-F238E27FC236}">
                <a16:creationId xmlns:a16="http://schemas.microsoft.com/office/drawing/2014/main" id="{A5F39883-B911-7F1F-FF39-E5EFF44E9E94}"/>
              </a:ext>
            </a:extLst>
          </xdr:cNvPr>
          <xdr:cNvCxnSpPr>
            <a:stCxn id="1237" idx="3"/>
            <a:endCxn id="12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328412</xdr:colOff>
      <xdr:row>40</xdr:row>
      <xdr:rowOff>104776</xdr:rowOff>
    </xdr:from>
    <xdr:to>
      <xdr:col>10</xdr:col>
      <xdr:colOff>377873</xdr:colOff>
      <xdr:row>48</xdr:row>
      <xdr:rowOff>38100</xdr:rowOff>
    </xdr:to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6D1EFD8B-1D3C-4D16-A5C7-1AD3604A298B}"/>
            </a:ext>
          </a:extLst>
        </xdr:cNvPr>
        <xdr:cNvSpPr txBox="1"/>
      </xdr:nvSpPr>
      <xdr:spPr>
        <a:xfrm>
          <a:off x="2919212" y="6238876"/>
          <a:ext cx="811461" cy="116204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effectLst/>
          </a:endParaRPr>
        </a:p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/10/14C/1</a:t>
          </a:r>
          <a:endParaRPr lang="en-US" sz="800">
            <a:effectLst/>
          </a:endParaRPr>
        </a:p>
        <a:p>
          <a:pPr algn="l"/>
          <a:br>
            <a:rPr lang="en-US" sz="800">
              <a:solidFill>
                <a:sysClr val="windowText" lastClr="000000"/>
              </a:solidFill>
            </a:rPr>
          </a:br>
          <a:r>
            <a:rPr lang="en-US" sz="800">
              <a:solidFill>
                <a:sysClr val="windowText" lastClr="000000"/>
              </a:solidFill>
            </a:rPr>
            <a:t>1 C12-200</a:t>
          </a:r>
          <a:r>
            <a:rPr lang="en-US" sz="800" baseline="0">
              <a:solidFill>
                <a:sysClr val="windowText" lastClr="000000"/>
              </a:solidFill>
            </a:rPr>
            <a:t> DAN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CJ5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276225</xdr:colOff>
      <xdr:row>29</xdr:row>
      <xdr:rowOff>57150</xdr:rowOff>
    </xdr:from>
    <xdr:to>
      <xdr:col>12</xdr:col>
      <xdr:colOff>325686</xdr:colOff>
      <xdr:row>36</xdr:row>
      <xdr:rowOff>160565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4BF64602-7EE2-4C45-9A01-26EB0F6A97DC}"/>
            </a:ext>
          </a:extLst>
        </xdr:cNvPr>
        <xdr:cNvSpPr txBox="1"/>
      </xdr:nvSpPr>
      <xdr:spPr>
        <a:xfrm>
          <a:off x="3629025" y="4505325"/>
          <a:ext cx="811461" cy="11606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effectLst/>
          </a:endParaRPr>
        </a:p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/10/14C/3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1 C12-200</a:t>
          </a:r>
          <a:r>
            <a:rPr lang="en-US" sz="800" baseline="0">
              <a:solidFill>
                <a:sysClr val="windowText" lastClr="000000"/>
              </a:solidFill>
            </a:rPr>
            <a:t> DAN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CJ5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85725</xdr:colOff>
      <xdr:row>28</xdr:row>
      <xdr:rowOff>133350</xdr:rowOff>
    </xdr:from>
    <xdr:to>
      <xdr:col>16</xdr:col>
      <xdr:colOff>135186</xdr:colOff>
      <xdr:row>36</xdr:row>
      <xdr:rowOff>84365</xdr:rowOff>
    </xdr:to>
    <xdr:sp macro="" textlink="">
      <xdr:nvSpPr>
        <xdr:cNvPr id="1244" name="TextBox 1243">
          <a:extLst>
            <a:ext uri="{FF2B5EF4-FFF2-40B4-BE49-F238E27FC236}">
              <a16:creationId xmlns:a16="http://schemas.microsoft.com/office/drawing/2014/main" id="{61EB8F6C-9DBD-45DA-9EA3-03543A74C93E}"/>
            </a:ext>
          </a:extLst>
        </xdr:cNvPr>
        <xdr:cNvSpPr txBox="1"/>
      </xdr:nvSpPr>
      <xdr:spPr>
        <a:xfrm>
          <a:off x="4962525" y="4429125"/>
          <a:ext cx="811461" cy="11606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effectLst/>
          </a:endParaRPr>
        </a:p>
        <a:p>
          <a:pPr algn="ctr"/>
          <a:r>
            <a:rPr lang="en-US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/10/14C/4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endParaRPr lang="en-US" sz="800">
            <a:solidFill>
              <a:sysClr val="windowText" lastClr="000000"/>
            </a:solidFill>
          </a:endParaRPr>
        </a:p>
        <a:p>
          <a:pPr algn="l"/>
          <a:r>
            <a:rPr lang="en-US" sz="800">
              <a:solidFill>
                <a:sysClr val="windowText" lastClr="000000"/>
              </a:solidFill>
            </a:rPr>
            <a:t>1 C12-200</a:t>
          </a:r>
          <a:r>
            <a:rPr lang="en-US" sz="800" baseline="0">
              <a:solidFill>
                <a:sysClr val="windowText" lastClr="000000"/>
              </a:solidFill>
            </a:rPr>
            <a:t> DAN</a:t>
          </a:r>
        </a:p>
        <a:p>
          <a:pPr algn="l"/>
          <a:r>
            <a:rPr lang="en-US" sz="800" strike="noStrike" baseline="0">
              <a:solidFill>
                <a:sysClr val="windowText" lastClr="000000"/>
              </a:solidFill>
            </a:rPr>
            <a:t>1 CJ5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P12C-2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142875</xdr:colOff>
      <xdr:row>22</xdr:row>
      <xdr:rowOff>153865</xdr:rowOff>
    </xdr:from>
    <xdr:to>
      <xdr:col>17</xdr:col>
      <xdr:colOff>165287</xdr:colOff>
      <xdr:row>29</xdr:row>
      <xdr:rowOff>95250</xdr:rowOff>
    </xdr:to>
    <xdr:sp macro="" textlink="">
      <xdr:nvSpPr>
        <xdr:cNvPr id="1245" name="TextBox 1244">
          <a:extLst>
            <a:ext uri="{FF2B5EF4-FFF2-40B4-BE49-F238E27FC236}">
              <a16:creationId xmlns:a16="http://schemas.microsoft.com/office/drawing/2014/main" id="{1663B2C1-497A-465F-AD3E-11DFFA22F611}"/>
            </a:ext>
          </a:extLst>
        </xdr:cNvPr>
        <xdr:cNvSpPr txBox="1"/>
      </xdr:nvSpPr>
      <xdr:spPr>
        <a:xfrm>
          <a:off x="5403606" y="3560884"/>
          <a:ext cx="784412" cy="101844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/10/14C/6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>
              <a:solidFill>
                <a:srgbClr val="FF0000"/>
              </a:solidFill>
            </a:rPr>
            <a:t>C12</a:t>
          </a:r>
          <a:r>
            <a:rPr lang="en-US" sz="8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3 CM5-6</a:t>
          </a:r>
        </a:p>
      </xdr:txBody>
    </xdr:sp>
    <xdr:clientData/>
  </xdr:twoCellAnchor>
  <xdr:twoCellAnchor>
    <xdr:from>
      <xdr:col>13</xdr:col>
      <xdr:colOff>209550</xdr:colOff>
      <xdr:row>16</xdr:row>
      <xdr:rowOff>47625</xdr:rowOff>
    </xdr:from>
    <xdr:to>
      <xdr:col>15</xdr:col>
      <xdr:colOff>231962</xdr:colOff>
      <xdr:row>22</xdr:row>
      <xdr:rowOff>38100</xdr:rowOff>
    </xdr:to>
    <xdr:sp macro="" textlink="">
      <xdr:nvSpPr>
        <xdr:cNvPr id="1246" name="TextBox 1245">
          <a:extLst>
            <a:ext uri="{FF2B5EF4-FFF2-40B4-BE49-F238E27FC236}">
              <a16:creationId xmlns:a16="http://schemas.microsoft.com/office/drawing/2014/main" id="{BE395936-436D-42B9-A377-D750B893499A}"/>
            </a:ext>
          </a:extLst>
        </xdr:cNvPr>
        <xdr:cNvSpPr txBox="1"/>
      </xdr:nvSpPr>
      <xdr:spPr>
        <a:xfrm>
          <a:off x="4705350" y="2514600"/>
          <a:ext cx="784412" cy="9048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/10/14C/7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>
              <a:solidFill>
                <a:srgbClr val="FF0000"/>
              </a:solidFill>
            </a:rPr>
            <a:t>C12</a:t>
          </a:r>
          <a:r>
            <a:rPr lang="en-US" sz="8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285750</xdr:colOff>
      <xdr:row>9</xdr:row>
      <xdr:rowOff>57151</xdr:rowOff>
    </xdr:from>
    <xdr:to>
      <xdr:col>18</xdr:col>
      <xdr:colOff>308162</xdr:colOff>
      <xdr:row>17</xdr:row>
      <xdr:rowOff>66676</xdr:rowOff>
    </xdr:to>
    <xdr:sp macro="" textlink="">
      <xdr:nvSpPr>
        <xdr:cNvPr id="1247" name="TextBox 1246">
          <a:extLst>
            <a:ext uri="{FF2B5EF4-FFF2-40B4-BE49-F238E27FC236}">
              <a16:creationId xmlns:a16="http://schemas.microsoft.com/office/drawing/2014/main" id="{07AB5F73-730F-4673-B68C-E9A028E46577}"/>
            </a:ext>
          </a:extLst>
        </xdr:cNvPr>
        <xdr:cNvSpPr txBox="1"/>
      </xdr:nvSpPr>
      <xdr:spPr>
        <a:xfrm>
          <a:off x="5924550" y="1447801"/>
          <a:ext cx="784412" cy="12382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/10/14C/8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endParaRPr lang="en-US" sz="800" b="1" u="sng" baseline="0">
            <a:solidFill>
              <a:schemeClr val="tx1"/>
            </a:solidFill>
          </a:endParaRPr>
        </a:p>
        <a:p>
          <a:pPr algn="l"/>
          <a:r>
            <a:rPr lang="en-US" sz="800">
              <a:solidFill>
                <a:srgbClr val="FF0000"/>
              </a:solidFill>
            </a:rPr>
            <a:t>C12</a:t>
          </a:r>
          <a:r>
            <a:rPr lang="en-US" sz="8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CC8A</a:t>
          </a:r>
          <a:br>
            <a:rPr lang="en-US" sz="800" baseline="0">
              <a:solidFill>
                <a:srgbClr val="FF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18</xdr:col>
      <xdr:colOff>308242</xdr:colOff>
      <xdr:row>87</xdr:row>
      <xdr:rowOff>117936</xdr:rowOff>
    </xdr:from>
    <xdr:to>
      <xdr:col>20</xdr:col>
      <xdr:colOff>295915</xdr:colOff>
      <xdr:row>97</xdr:row>
      <xdr:rowOff>107674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5936DD97-AAF8-45BE-A797-40C0ECFBC4AB}"/>
            </a:ext>
          </a:extLst>
        </xdr:cNvPr>
        <xdr:cNvSpPr txBox="1"/>
      </xdr:nvSpPr>
      <xdr:spPr>
        <a:xfrm>
          <a:off x="6718981" y="13328697"/>
          <a:ext cx="749673" cy="148060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K3-169/69</a:t>
          </a:r>
        </a:p>
        <a:p>
          <a:pPr algn="ctr"/>
          <a:r>
            <a:rPr lang="en-US" sz="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/10/14C</a:t>
          </a:r>
        </a:p>
        <a:p>
          <a:endParaRPr lang="en-US" sz="700" b="1" u="sng" baseline="0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chemeClr val="tx1"/>
              </a:solidFill>
            </a:rPr>
            <a:t>1 C12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CG106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CC8A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CE2-2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 C9-200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14</xdr:col>
      <xdr:colOff>149096</xdr:colOff>
      <xdr:row>81</xdr:row>
      <xdr:rowOff>131472</xdr:rowOff>
    </xdr:from>
    <xdr:to>
      <xdr:col>14</xdr:col>
      <xdr:colOff>330023</xdr:colOff>
      <xdr:row>83</xdr:row>
      <xdr:rowOff>21429</xdr:rowOff>
    </xdr:to>
    <xdr:grpSp>
      <xdr:nvGrpSpPr>
        <xdr:cNvPr id="1251" name="Group 1250">
          <a:extLst>
            <a:ext uri="{FF2B5EF4-FFF2-40B4-BE49-F238E27FC236}">
              <a16:creationId xmlns:a16="http://schemas.microsoft.com/office/drawing/2014/main" id="{15187104-4B7A-0C0E-26C6-610D912693CD}"/>
            </a:ext>
          </a:extLst>
        </xdr:cNvPr>
        <xdr:cNvGrpSpPr/>
      </xdr:nvGrpSpPr>
      <xdr:grpSpPr>
        <a:xfrm rot="19552252">
          <a:off x="5035835" y="12447711"/>
          <a:ext cx="180927" cy="188131"/>
          <a:chOff x="5171856" y="13329634"/>
          <a:chExt cx="180927" cy="195830"/>
        </a:xfrm>
      </xdr:grpSpPr>
      <xdr:cxnSp macro="">
        <xdr:nvCxnSpPr>
          <xdr:cNvPr id="1248" name="Straight Connector 1247">
            <a:extLst>
              <a:ext uri="{FF2B5EF4-FFF2-40B4-BE49-F238E27FC236}">
                <a16:creationId xmlns:a16="http://schemas.microsoft.com/office/drawing/2014/main" id="{5E5B2190-2E70-413C-B3DC-B4472324CF42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49" name="TextBox 1248">
            <a:extLst>
              <a:ext uri="{FF2B5EF4-FFF2-40B4-BE49-F238E27FC236}">
                <a16:creationId xmlns:a16="http://schemas.microsoft.com/office/drawing/2014/main" id="{8594F931-EE9C-47CA-8739-ACA7CB249C3C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5</xdr:col>
      <xdr:colOff>192496</xdr:colOff>
      <xdr:row>72</xdr:row>
      <xdr:rowOff>29019</xdr:rowOff>
    </xdr:from>
    <xdr:to>
      <xdr:col>5</xdr:col>
      <xdr:colOff>373423</xdr:colOff>
      <xdr:row>73</xdr:row>
      <xdr:rowOff>71912</xdr:rowOff>
    </xdr:to>
    <xdr:grpSp>
      <xdr:nvGrpSpPr>
        <xdr:cNvPr id="1252" name="Group 1251">
          <a:extLst>
            <a:ext uri="{FF2B5EF4-FFF2-40B4-BE49-F238E27FC236}">
              <a16:creationId xmlns:a16="http://schemas.microsoft.com/office/drawing/2014/main" id="{0EE8C376-FF46-4CF1-A277-55EA783A23EE}"/>
            </a:ext>
          </a:extLst>
        </xdr:cNvPr>
        <xdr:cNvGrpSpPr/>
      </xdr:nvGrpSpPr>
      <xdr:grpSpPr>
        <a:xfrm>
          <a:off x="1650235" y="11003476"/>
          <a:ext cx="180927" cy="191979"/>
          <a:chOff x="5171855" y="13329634"/>
          <a:chExt cx="180927" cy="195830"/>
        </a:xfrm>
      </xdr:grpSpPr>
      <xdr:cxnSp macro="">
        <xdr:nvCxnSpPr>
          <xdr:cNvPr id="1253" name="Straight Connector 1252">
            <a:extLst>
              <a:ext uri="{FF2B5EF4-FFF2-40B4-BE49-F238E27FC236}">
                <a16:creationId xmlns:a16="http://schemas.microsoft.com/office/drawing/2014/main" id="{8900CD2E-6A55-8734-DC27-5247639D6890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54" name="TextBox 1253">
            <a:extLst>
              <a:ext uri="{FF2B5EF4-FFF2-40B4-BE49-F238E27FC236}">
                <a16:creationId xmlns:a16="http://schemas.microsoft.com/office/drawing/2014/main" id="{D42ACDCD-3ABB-2261-87A7-287D6BCA6943}"/>
              </a:ext>
            </a:extLst>
          </xdr:cNvPr>
          <xdr:cNvSpPr txBox="1"/>
        </xdr:nvSpPr>
        <xdr:spPr>
          <a:xfrm>
            <a:off x="5171855" y="1335646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13</xdr:col>
      <xdr:colOff>137809</xdr:colOff>
      <xdr:row>78</xdr:row>
      <xdr:rowOff>101329</xdr:rowOff>
    </xdr:from>
    <xdr:to>
      <xdr:col>13</xdr:col>
      <xdr:colOff>318736</xdr:colOff>
      <xdr:row>79</xdr:row>
      <xdr:rowOff>145307</xdr:rowOff>
    </xdr:to>
    <xdr:grpSp>
      <xdr:nvGrpSpPr>
        <xdr:cNvPr id="1255" name="Group 1254">
          <a:extLst>
            <a:ext uri="{FF2B5EF4-FFF2-40B4-BE49-F238E27FC236}">
              <a16:creationId xmlns:a16="http://schemas.microsoft.com/office/drawing/2014/main" id="{EADAE789-EF2C-498C-AFE5-1A1788719A6D}"/>
            </a:ext>
          </a:extLst>
        </xdr:cNvPr>
        <xdr:cNvGrpSpPr/>
      </xdr:nvGrpSpPr>
      <xdr:grpSpPr>
        <a:xfrm rot="19552252">
          <a:off x="4643548" y="11970307"/>
          <a:ext cx="180927" cy="193065"/>
          <a:chOff x="5171856" y="13329634"/>
          <a:chExt cx="180927" cy="195830"/>
        </a:xfrm>
      </xdr:grpSpPr>
      <xdr:cxnSp macro="">
        <xdr:nvCxnSpPr>
          <xdr:cNvPr id="1256" name="Straight Connector 1255">
            <a:extLst>
              <a:ext uri="{FF2B5EF4-FFF2-40B4-BE49-F238E27FC236}">
                <a16:creationId xmlns:a16="http://schemas.microsoft.com/office/drawing/2014/main" id="{7CB62300-572D-A1E8-5711-BCEFEE50AAF1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57" name="TextBox 1256">
            <a:extLst>
              <a:ext uri="{FF2B5EF4-FFF2-40B4-BE49-F238E27FC236}">
                <a16:creationId xmlns:a16="http://schemas.microsoft.com/office/drawing/2014/main" id="{D04744E3-E7D8-9C94-2B72-73BAAE7D87CB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19</xdr:col>
      <xdr:colOff>238125</xdr:colOff>
      <xdr:row>85</xdr:row>
      <xdr:rowOff>11907</xdr:rowOff>
    </xdr:from>
    <xdr:to>
      <xdr:col>20</xdr:col>
      <xdr:colOff>38052</xdr:colOff>
      <xdr:row>86</xdr:row>
      <xdr:rowOff>56646</xdr:rowOff>
    </xdr:to>
    <xdr:grpSp>
      <xdr:nvGrpSpPr>
        <xdr:cNvPr id="1258" name="Group 1257">
          <a:extLst>
            <a:ext uri="{FF2B5EF4-FFF2-40B4-BE49-F238E27FC236}">
              <a16:creationId xmlns:a16="http://schemas.microsoft.com/office/drawing/2014/main" id="{DD318CB7-72EC-4F72-93FE-64A37F9C6B4C}"/>
            </a:ext>
          </a:extLst>
        </xdr:cNvPr>
        <xdr:cNvGrpSpPr/>
      </xdr:nvGrpSpPr>
      <xdr:grpSpPr>
        <a:xfrm rot="19552252">
          <a:off x="7029864" y="12924494"/>
          <a:ext cx="180927" cy="193826"/>
          <a:chOff x="5171856" y="13329634"/>
          <a:chExt cx="180927" cy="195830"/>
        </a:xfrm>
      </xdr:grpSpPr>
      <xdr:cxnSp macro="">
        <xdr:nvCxnSpPr>
          <xdr:cNvPr id="1259" name="Straight Connector 1258">
            <a:extLst>
              <a:ext uri="{FF2B5EF4-FFF2-40B4-BE49-F238E27FC236}">
                <a16:creationId xmlns:a16="http://schemas.microsoft.com/office/drawing/2014/main" id="{EECA3824-FD88-223C-F393-674A0A18F687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0" name="TextBox 1259">
            <a:extLst>
              <a:ext uri="{FF2B5EF4-FFF2-40B4-BE49-F238E27FC236}">
                <a16:creationId xmlns:a16="http://schemas.microsoft.com/office/drawing/2014/main" id="{4CBBE77D-842B-454C-3DB1-456EA6871A09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9</xdr:col>
      <xdr:colOff>243521</xdr:colOff>
      <xdr:row>89</xdr:row>
      <xdr:rowOff>139191</xdr:rowOff>
    </xdr:from>
    <xdr:to>
      <xdr:col>10</xdr:col>
      <xdr:colOff>25343</xdr:colOff>
      <xdr:row>91</xdr:row>
      <xdr:rowOff>106885</xdr:rowOff>
    </xdr:to>
    <xdr:grpSp>
      <xdr:nvGrpSpPr>
        <xdr:cNvPr id="1261" name="Group 1260">
          <a:extLst>
            <a:ext uri="{FF2B5EF4-FFF2-40B4-BE49-F238E27FC236}">
              <a16:creationId xmlns:a16="http://schemas.microsoft.com/office/drawing/2014/main" id="{6695C6E4-085C-40CB-B3B8-F35B7C16ABBD}"/>
            </a:ext>
          </a:extLst>
        </xdr:cNvPr>
        <xdr:cNvGrpSpPr/>
      </xdr:nvGrpSpPr>
      <xdr:grpSpPr>
        <a:xfrm rot="19552252">
          <a:off x="3225260" y="13648126"/>
          <a:ext cx="162822" cy="265868"/>
          <a:chOff x="5171856" y="13329634"/>
          <a:chExt cx="180927" cy="195830"/>
        </a:xfrm>
      </xdr:grpSpPr>
      <xdr:cxnSp macro="">
        <xdr:nvCxnSpPr>
          <xdr:cNvPr id="1262" name="Straight Connector 1261">
            <a:extLst>
              <a:ext uri="{FF2B5EF4-FFF2-40B4-BE49-F238E27FC236}">
                <a16:creationId xmlns:a16="http://schemas.microsoft.com/office/drawing/2014/main" id="{07F5DF25-6F4F-748F-CCC3-BD047FAC66F2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3" name="TextBox 1262">
            <a:extLst>
              <a:ext uri="{FF2B5EF4-FFF2-40B4-BE49-F238E27FC236}">
                <a16:creationId xmlns:a16="http://schemas.microsoft.com/office/drawing/2014/main" id="{AF10FC15-72FE-BF8A-48BD-862F717EA841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6</xdr:col>
      <xdr:colOff>161192</xdr:colOff>
      <xdr:row>87</xdr:row>
      <xdr:rowOff>21980</xdr:rowOff>
    </xdr:from>
    <xdr:to>
      <xdr:col>6</xdr:col>
      <xdr:colOff>342119</xdr:colOff>
      <xdr:row>88</xdr:row>
      <xdr:rowOff>65802</xdr:rowOff>
    </xdr:to>
    <xdr:grpSp>
      <xdr:nvGrpSpPr>
        <xdr:cNvPr id="1264" name="Group 1263">
          <a:extLst>
            <a:ext uri="{FF2B5EF4-FFF2-40B4-BE49-F238E27FC236}">
              <a16:creationId xmlns:a16="http://schemas.microsoft.com/office/drawing/2014/main" id="{D9270C08-925C-4635-A620-A72B54F702BC}"/>
            </a:ext>
          </a:extLst>
        </xdr:cNvPr>
        <xdr:cNvGrpSpPr/>
      </xdr:nvGrpSpPr>
      <xdr:grpSpPr>
        <a:xfrm rot="19552252">
          <a:off x="1999931" y="13232741"/>
          <a:ext cx="180927" cy="192909"/>
          <a:chOff x="5171856" y="13329634"/>
          <a:chExt cx="180927" cy="195830"/>
        </a:xfrm>
      </xdr:grpSpPr>
      <xdr:cxnSp macro="">
        <xdr:nvCxnSpPr>
          <xdr:cNvPr id="1265" name="Straight Connector 1264">
            <a:extLst>
              <a:ext uri="{FF2B5EF4-FFF2-40B4-BE49-F238E27FC236}">
                <a16:creationId xmlns:a16="http://schemas.microsoft.com/office/drawing/2014/main" id="{A19B34CD-9F1A-E43C-8B9D-C7A2FBAC523F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6" name="TextBox 1265">
            <a:extLst>
              <a:ext uri="{FF2B5EF4-FFF2-40B4-BE49-F238E27FC236}">
                <a16:creationId xmlns:a16="http://schemas.microsoft.com/office/drawing/2014/main" id="{C979AE0D-3A3C-A3E1-345E-C33B65D95B75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11</xdr:col>
      <xdr:colOff>145676</xdr:colOff>
      <xdr:row>137</xdr:row>
      <xdr:rowOff>11205</xdr:rowOff>
    </xdr:from>
    <xdr:to>
      <xdr:col>11</xdr:col>
      <xdr:colOff>270904</xdr:colOff>
      <xdr:row>138</xdr:row>
      <xdr:rowOff>8194</xdr:rowOff>
    </xdr:to>
    <xdr:grpSp>
      <xdr:nvGrpSpPr>
        <xdr:cNvPr id="1267" name="Group 1266">
          <a:extLst>
            <a:ext uri="{FF2B5EF4-FFF2-40B4-BE49-F238E27FC236}">
              <a16:creationId xmlns:a16="http://schemas.microsoft.com/office/drawing/2014/main" id="{D4416C10-0A4F-4A58-AD33-43AAC6CC5350}"/>
            </a:ext>
          </a:extLst>
        </xdr:cNvPr>
        <xdr:cNvGrpSpPr/>
      </xdr:nvGrpSpPr>
      <xdr:grpSpPr>
        <a:xfrm rot="19846558">
          <a:off x="3889415" y="20726009"/>
          <a:ext cx="125228" cy="14607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68" name="Oval 1267">
            <a:extLst>
              <a:ext uri="{FF2B5EF4-FFF2-40B4-BE49-F238E27FC236}">
                <a16:creationId xmlns:a16="http://schemas.microsoft.com/office/drawing/2014/main" id="{EE5A37BD-6878-1E71-6A07-F72FF45FB9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9" name="Straight Connector 1268">
            <a:extLst>
              <a:ext uri="{FF2B5EF4-FFF2-40B4-BE49-F238E27FC236}">
                <a16:creationId xmlns:a16="http://schemas.microsoft.com/office/drawing/2014/main" id="{5B88C67D-5079-2630-2F72-BBD8073C3C8E}"/>
              </a:ext>
            </a:extLst>
          </xdr:cNvPr>
          <xdr:cNvCxnSpPr>
            <a:stCxn id="1268" idx="1"/>
            <a:endCxn id="12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0" name="Straight Connector 1269">
            <a:extLst>
              <a:ext uri="{FF2B5EF4-FFF2-40B4-BE49-F238E27FC236}">
                <a16:creationId xmlns:a16="http://schemas.microsoft.com/office/drawing/2014/main" id="{6B033E4A-098A-4989-C794-B370D10AA60F}"/>
              </a:ext>
            </a:extLst>
          </xdr:cNvPr>
          <xdr:cNvCxnSpPr>
            <a:stCxn id="1268" idx="3"/>
            <a:endCxn id="12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331304</xdr:colOff>
      <xdr:row>137</xdr:row>
      <xdr:rowOff>107674</xdr:rowOff>
    </xdr:from>
    <xdr:to>
      <xdr:col>13</xdr:col>
      <xdr:colOff>255104</xdr:colOff>
      <xdr:row>142</xdr:row>
      <xdr:rowOff>1784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37B2F56D-502F-462D-BAB2-19F31F80B367}"/>
            </a:ext>
          </a:extLst>
        </xdr:cNvPr>
        <xdr:cNvSpPr txBox="1"/>
      </xdr:nvSpPr>
      <xdr:spPr>
        <a:xfrm>
          <a:off x="4075043" y="20822478"/>
          <a:ext cx="685800" cy="6395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</a:rPr>
            <a:t>KDS</a:t>
          </a:r>
          <a:r>
            <a:rPr lang="en-US" sz="700" b="1" u="sng" baseline="0">
              <a:solidFill>
                <a:srgbClr val="FF0000"/>
              </a:solidFill>
            </a:rPr>
            <a:t> 16</a:t>
          </a:r>
        </a:p>
        <a:p>
          <a:pPr algn="ctr"/>
          <a:endParaRPr lang="en-US" sz="700" b="1" u="sng" baseline="0">
            <a:solidFill>
              <a:srgbClr val="FF0000"/>
            </a:solidFill>
          </a:endParaRPr>
        </a:p>
        <a:p>
          <a:pPr algn="l"/>
          <a:r>
            <a:rPr lang="en-US" sz="700">
              <a:solidFill>
                <a:srgbClr val="FF0000"/>
              </a:solidFill>
            </a:rPr>
            <a:t>C12</a:t>
          </a:r>
          <a:r>
            <a:rPr lang="en-US" sz="7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8</xdr:row>
      <xdr:rowOff>95251</xdr:rowOff>
    </xdr:from>
    <xdr:to>
      <xdr:col>19</xdr:col>
      <xdr:colOff>544286</xdr:colOff>
      <xdr:row>48</xdr:row>
      <xdr:rowOff>84018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601D80-445C-4F54-A1CD-205F6F40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607" y="1551215"/>
          <a:ext cx="10572750" cy="65201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1" t="s">
        <v>1134</v>
      </c>
      <c r="C4" s="501"/>
      <c r="D4" s="501"/>
      <c r="E4" s="501"/>
      <c r="F4" s="501"/>
      <c r="G4" s="501"/>
      <c r="H4" s="50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2" t="s">
        <v>0</v>
      </c>
      <c r="C7" s="502" t="s">
        <v>1</v>
      </c>
      <c r="D7" s="503" t="s">
        <v>42</v>
      </c>
      <c r="E7" s="503" t="s">
        <v>43</v>
      </c>
      <c r="F7" s="503" t="s">
        <v>1135</v>
      </c>
      <c r="G7" s="504" t="s">
        <v>41</v>
      </c>
      <c r="H7" s="500" t="s">
        <v>1042</v>
      </c>
      <c r="I7" s="500" t="s">
        <v>1137</v>
      </c>
      <c r="J7" s="500" t="s">
        <v>1026</v>
      </c>
      <c r="K7" s="494" t="s">
        <v>1024</v>
      </c>
      <c r="L7" s="495"/>
    </row>
    <row r="8" spans="1:12" ht="15" customHeight="1">
      <c r="B8" s="502"/>
      <c r="C8" s="502"/>
      <c r="D8" s="503"/>
      <c r="E8" s="503"/>
      <c r="F8" s="503"/>
      <c r="G8" s="504"/>
      <c r="H8" s="500"/>
      <c r="I8" s="500"/>
      <c r="J8" s="500"/>
      <c r="K8" s="496"/>
      <c r="L8" s="497"/>
    </row>
    <row r="9" spans="1:12" ht="15" customHeight="1">
      <c r="B9" s="502"/>
      <c r="C9" s="502"/>
      <c r="D9" s="503"/>
      <c r="E9" s="503"/>
      <c r="F9" s="503"/>
      <c r="G9" s="504"/>
      <c r="H9" s="500"/>
      <c r="I9" s="500"/>
      <c r="J9" s="500"/>
      <c r="K9" s="498"/>
      <c r="L9" s="49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147 kVA MCCB 225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8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96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36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150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5100</v>
      </c>
      <c r="G20" s="41">
        <f ca="1">IF(ISERROR(OFFSET('HARGA SATUAN'!$I$6,MATCH(C20,'HARGA SATUAN'!$C$7:$C$1492,0),0)),"",OFFSET('HARGA SATUAN'!$I$6,MATCH(C20,'HARGA SATUAN'!$C$7:$C$1492,0),0))</f>
        <v>25300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AAAC 240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12</v>
      </c>
      <c r="G21" s="41">
        <f ca="1">IF(ISERROR(OFFSET('HARGA SATUAN'!$I$6,MATCH(C21,'HARGA SATUAN'!$C$7:$C$1492,0),0)),"",OFFSET('HARGA SATUAN'!$I$6,MATCH(C21,'HARGA SATUAN'!$C$7:$C$1492,0),0))</f>
        <v>36900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Kabel NYY 1 x 95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38">
        <f t="shared" ca="1" si="2"/>
        <v>44</v>
      </c>
      <c r="G23" s="41">
        <f ca="1">IF(ISERROR(OFFSET('HARGA SATUAN'!$I$6,MATCH(C23,'HARGA SATUAN'!$C$7:$C$1492,0),0)),"",OFFSET('HARGA SATUAN'!$I$6,MATCH(C23,'HARGA SATUAN'!$C$7:$C$1492,0),0))</f>
        <v>140200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Modem 3G/4G</v>
      </c>
      <c r="D24" s="101" t="str">
        <f ca="1">IF(ISERROR(OFFSET('HARGA SATUAN'!$D$6,MATCH(C24,'HARGA SATUAN'!$C$7:$C$1492,0),0)),"",OFFSET('HARGA SATUAN'!$D$6,MATCH(C24,'HARGA SATUAN'!$C$7:$C$1492,0),0))</f>
        <v>HDW</v>
      </c>
      <c r="E24" s="101" t="str">
        <f ca="1">IF(B24="+","Unit",IF(ISERROR(OFFSET('HARGA SATUAN'!$E$6,MATCH(C24,'HARGA SATUAN'!$C$7:$C$1492,0),0)),"",OFFSET('HARGA SATUAN'!$E$6,MATCH(C24,'HARGA SATUAN'!$C$7:$C$1492,0),0)))</f>
        <v>Unit</v>
      </c>
      <c r="F24" s="138">
        <f t="shared" ca="1" si="2"/>
        <v>1</v>
      </c>
      <c r="G24" s="41">
        <f ca="1">IF(ISERROR(OFFSET('HARGA SATUAN'!$I$6,MATCH(C24,'HARGA SATUAN'!$C$7:$C$1492,0),0)),"",OFFSET('HARGA SATUAN'!$I$6,MATCH(C24,'HARGA SATUAN'!$C$7:$C$1492,0),0))</f>
        <v>1113900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SUMIFS(RAB!$F$14:$F$453,RAB!$C$14:$C$453,C714)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SUMIFS(RAB!$F$14:$F$453,RAB!$C$14:$C$453,C715)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SUMIFS(RAB!$F$14:$F$453,RAB!$C$14:$C$453,C716)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SUMIFS(RAB!$F$14:$F$453,RAB!$C$14:$C$453,C717)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SUMIFS(RAB!$F$14:$F$453,RAB!$C$14:$C$453,C718)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SUMIFS(RAB!$F$14:$F$453,RAB!$C$14:$C$453,C719)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SUMIFS(RAB!$F$14:$F$453,RAB!$C$14:$C$453,C720)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SUMIFS(RAB!$F$14:$F$453,RAB!$C$14:$C$453,C721)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SUMIFS(RAB!$F$14:$F$453,RAB!$C$14:$C$453,C722)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SUMIFS(RAB!$F$14:$F$453,RAB!$C$14:$C$453,C723)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SUMIFS(RAB!$F$14:$F$453,RAB!$C$14:$C$453,C724)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SUMIFS(RAB!$F$14:$F$453,RAB!$C$14:$C$453,C725)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SUMIFS(RAB!$F$14:$F$453,RAB!$C$14:$C$453,C726)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SUMIFS(RAB!$F$14:$F$453,RAB!$C$14:$C$453,C727)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SUMIFS(RAB!$F$14:$F$453,RAB!$C$14:$C$453,C728)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SUMIFS(RAB!$F$14:$F$453,RAB!$C$14:$C$453,C729)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SUMIFS(RAB!$F$14:$F$453,RAB!$C$14:$C$453,C730)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SUMIFS(RAB!$F$14:$F$453,RAB!$C$14:$C$453,C731)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SUMIFS(RAB!$F$14:$F$453,RAB!$C$14:$C$453,C732)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SUMIFS(RAB!$F$14:$F$453,RAB!$C$14:$C$453,C733)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SUMIFS(RAB!$F$14:$F$453,RAB!$C$14:$C$453,C734)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SUMIFS(RAB!$F$14:$F$453,RAB!$C$14:$C$453,C735)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SUMIFS(RAB!$F$14:$F$453,RAB!$C$14:$C$453,C736)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SUMIFS(RAB!$F$14:$F$453,RAB!$C$14:$C$453,C737)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SUMIFS(RAB!$F$14:$F$453,RAB!$C$14:$C$453,C738)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SUMIFS(RAB!$F$14:$F$453,RAB!$C$14:$C$453,C739)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SUMIFS(RAB!$F$14:$F$453,RAB!$C$14:$C$453,C740)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SUMIFS(RAB!$F$14:$F$453,RAB!$C$14:$C$453,C741)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SUMIFS(RAB!$F$14:$F$453,RAB!$C$14:$C$453,C742)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SUMIFS(RAB!$F$14:$F$453,RAB!$C$14:$C$453,C743)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SUMIFS(RAB!$F$14:$F$453,RAB!$C$14:$C$453,C744)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SUMIFS(RAB!$F$14:$F$453,RAB!$C$14:$C$453,C745)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SUMIFS(RAB!$F$14:$F$453,RAB!$C$14:$C$453,C746)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SUMIFS(RAB!$F$14:$F$453,RAB!$C$14:$C$453,C747)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SUMIFS(RAB!$F$14:$F$453,RAB!$C$14:$C$453,C748)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SUMIFS(RAB!$F$14:$F$453,RAB!$C$14:$C$453,C749)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SUMIFS(RAB!$F$14:$F$453,RAB!$C$14:$C$453,C750)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SUMIFS(RAB!$F$14:$F$453,RAB!$C$14:$C$453,C751)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SUMIFS(RAB!$F$14:$F$453,RAB!$C$14:$C$453,C752)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SUMIFS(RAB!$F$14:$F$453,RAB!$C$14:$C$453,C753)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SUMIFS(RAB!$F$14:$F$453,RAB!$C$14:$C$453,C754)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SUMIFS(RAB!$F$14:$F$453,RAB!$C$14:$C$453,C755)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SUMIFS(RAB!$F$14:$F$453,RAB!$C$14:$C$453,C756)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SUMIFS(RAB!$F$14:$F$453,RAB!$C$14:$C$453,C757)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SUMIFS(RAB!$F$14:$F$453,RAB!$C$14:$C$453,C758)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SUMIFS(RAB!$F$14:$F$453,RAB!$C$14:$C$453,C759)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SUMIFS(RAB!$F$14:$F$453,RAB!$C$14:$C$453,C760)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SUMIFS(RAB!$F$14:$F$453,RAB!$C$14:$C$453,C761)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SUMIFS(RAB!$F$14:$F$453,RAB!$C$14:$C$453,C762)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SUMIFS(RAB!$F$14:$F$453,RAB!$C$14:$C$453,C763)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SUMIFS(RAB!$F$14:$F$453,RAB!$C$14:$C$453,C764)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SUMIFS(RAB!$F$14:$F$453,RAB!$C$14:$C$453,C765)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SUMIFS(RAB!$F$14:$F$453,RAB!$C$14:$C$453,C766)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SUMIFS(RAB!$F$14:$F$453,RAB!$C$14:$C$453,C767)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SUMIFS(RAB!$F$14:$F$453,RAB!$C$14:$C$453,C768)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SUMIFS(RAB!$F$14:$F$453,RAB!$C$14:$C$453,C769)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SUMIFS(RAB!$F$14:$F$453,RAB!$C$14:$C$453,C770)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SUMIFS(RAB!$F$14:$F$453,RAB!$C$14:$C$453,C771)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SUMIFS(RAB!$F$14:$F$453,RAB!$C$14:$C$453,C772)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SUMIFS(RAB!$F$14:$F$453,RAB!$C$14:$C$453,C773)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SUMIFS(RAB!$F$14:$F$453,RAB!$C$14:$C$453,C774)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SUMIFS(RAB!$F$14:$F$453,RAB!$C$14:$C$453,C775)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SUMIFS(RAB!$F$14:$F$453,RAB!$C$14:$C$453,C776)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SUMIFS(RAB!$F$14:$F$453,RAB!$C$14:$C$453,C777)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SUMIFS(RAB!$F$14:$F$453,RAB!$C$14:$C$453,C778)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SUMIFS(RAB!$F$14:$F$453,RAB!$C$14:$C$453,C779)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SUMIFS(RAB!$F$14:$F$453,RAB!$C$14:$C$453,C780)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SUMIFS(RAB!$F$14:$F$453,RAB!$C$14:$C$453,C781)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SUMIFS(RAB!$F$14:$F$453,RAB!$C$14:$C$453,C782)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SUMIFS(RAB!$F$14:$F$453,RAB!$C$14:$C$453,C783)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SUMIFS(RAB!$F$14:$F$453,RAB!$C$14:$C$453,C784)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SUMIFS(RAB!$F$14:$F$453,RAB!$C$14:$C$453,C785)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SUMIFS(RAB!$F$14:$F$453,RAB!$C$14:$C$453,C786)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SUMIFS(RAB!$F$14:$F$453,RAB!$C$14:$C$453,C787)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SUMIFS(RAB!$F$14:$F$453,RAB!$C$14:$C$453,C788)</f>
        <v>1</v>
      </c>
      <c r="E788" s="26">
        <f t="shared" ca="1" si="34"/>
        <v>1</v>
      </c>
      <c r="F788" s="26">
        <f ca="1">IF(D788=0,0,SUM($E$713:E788))</f>
        <v>2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SUMIFS(RAB!$F$14:$F$453,RAB!$C$14:$C$453,C789)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SUMIFS(RAB!$F$14:$F$453,RAB!$C$14:$C$453,C790)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SUMIFS(RAB!$F$14:$F$453,RAB!$C$14:$C$453,C791)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SUMIFS(RAB!$F$14:$F$453,RAB!$C$14:$C$453,C792)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SUMIFS(RAB!$F$14:$F$453,RAB!$C$14:$C$453,C793)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SUMIFS(RAB!$F$14:$F$453,RAB!$C$14:$C$453,C794)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SUMIFS(RAB!$F$14:$F$453,RAB!$C$14:$C$453,C795)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SUMIFS(RAB!$F$14:$F$453,RAB!$C$14:$C$453,C796)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SUMIFS(RAB!$F$14:$F$453,RAB!$C$14:$C$453,C797)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SUMIFS(RAB!$F$14:$F$453,RAB!$C$14:$C$453,C798)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SUMIFS(RAB!$F$14:$F$453,RAB!$C$14:$C$453,C799)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SUMIFS(RAB!$F$14:$F$453,RAB!$C$14:$C$453,C800)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SUMIFS(RAB!$F$14:$F$453,RAB!$C$14:$C$453,C801)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SUMIFS(RAB!$F$14:$F$453,RAB!$C$14:$C$453,C802)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SUMIFS(RAB!$F$14:$F$453,RAB!$C$14:$C$453,C803)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SUMIFS(RAB!$F$14:$F$453,RAB!$C$14:$C$453,C804)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SUMIFS(RAB!$F$14:$F$453,RAB!$C$14:$C$453,C805)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SUMIFS(RAB!$F$14:$F$453,RAB!$C$14:$C$453,C806)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SUMIFS(RAB!$F$14:$F$453,RAB!$C$14:$C$453,C807)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SUMIFS(RAB!$F$14:$F$453,RAB!$C$14:$C$453,C808)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SUMIFS(RAB!$F$14:$F$453,RAB!$C$14:$C$453,C809)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SUMIFS(RAB!$F$14:$F$453,RAB!$C$14:$C$453,C810)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SUMIFS(RAB!$F$14:$F$453,RAB!$C$14:$C$453,C811)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SUMIFS(RAB!$F$14:$F$453,RAB!$C$14:$C$453,C812)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SUMIFS(RAB!$F$14:$F$453,RAB!$C$14:$C$453,C813)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SUMIFS(RAB!$F$14:$F$453,RAB!$C$14:$C$453,C814)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SUMIFS(RAB!$F$14:$F$453,RAB!$C$14:$C$453,C815)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SUMIFS(RAB!$F$14:$F$453,RAB!$C$14:$C$453,C816)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SUMIFS(RAB!$F$14:$F$453,RAB!$C$14:$C$453,C817)</f>
        <v>8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SUMIFS(RAB!$F$14:$F$453,RAB!$C$14:$C$453,C818)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SUMIFS(RAB!$F$14:$F$453,RAB!$C$14:$C$453,C819)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SUMIFS(RAB!$F$14:$F$453,RAB!$C$14:$C$453,C820)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SUMIFS(RAB!$F$14:$F$453,RAB!$C$14:$C$453,C821)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SUMIFS(RAB!$F$14:$F$453,RAB!$C$14:$C$453,C822)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SUMIFS(RAB!$F$14:$F$453,RAB!$C$14:$C$453,C823)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SUMIFS(RAB!$F$14:$F$453,RAB!$C$14:$C$453,C824)</f>
        <v>96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SUMIFS(RAB!$F$14:$F$453,RAB!$C$14:$C$453,C825)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SUMIFS(RAB!$F$14:$F$453,RAB!$C$14:$C$453,C826)</f>
        <v>36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SUMIFS(RAB!$F$14:$F$453,RAB!$C$14:$C$453,C827)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SUMIFS(RAB!$F$14:$F$453,RAB!$C$14:$C$453,C828)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SUMIFS(RAB!$F$14:$F$453,RAB!$C$14:$C$453,C829)</f>
        <v>5100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SUMIFS(RAB!$F$14:$F$453,RAB!$C$14:$C$453,C830)</f>
        <v>12</v>
      </c>
      <c r="E830" s="26">
        <f t="shared" ca="1" si="34"/>
        <v>1</v>
      </c>
      <c r="F830" s="26">
        <f ca="1">IF(D830=0,0,SUM($E$713:E830))</f>
        <v>10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SUMIFS(RAB!$F$14:$F$453,RAB!$C$14:$C$453,C831)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SUMIFS(RAB!$F$14:$F$453,RAB!$C$14:$C$453,C832)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SUMIFS(RAB!$F$14:$F$453,RAB!$C$14:$C$453,C833)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SUMIFS(RAB!$F$14:$F$453,RAB!$C$14:$C$453,C834)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SUMIFS(RAB!$F$14:$F$453,RAB!$C$14:$C$453,C835)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SUMIFS(RAB!$F$14:$F$453,RAB!$C$14:$C$453,C836)</f>
        <v>3</v>
      </c>
      <c r="E836" s="26">
        <f t="shared" ca="1" si="34"/>
        <v>1</v>
      </c>
      <c r="F836" s="26">
        <f ca="1">IF(D836=0,0,SUM($E$713:E836))</f>
        <v>11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SUMIFS(RAB!$F$14:$F$453,RAB!$C$14:$C$453,C837)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SUMIFS(RAB!$F$14:$F$453,RAB!$C$14:$C$453,C838)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SUMIFS(RAB!$F$14:$F$453,RAB!$C$14:$C$453,C839)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SUMIFS(RAB!$F$14:$F$453,RAB!$C$14:$C$453,C840)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SUMIFS(RAB!$F$14:$F$453,RAB!$C$14:$C$453,C841)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SUMIFS(RAB!$F$14:$F$453,RAB!$C$14:$C$453,C842)</f>
        <v>44</v>
      </c>
      <c r="E842" s="26">
        <f t="shared" ca="1" si="34"/>
        <v>1</v>
      </c>
      <c r="F842" s="26">
        <f ca="1">IF(D842=0,0,SUM($E$713:E842))</f>
        <v>12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SUMIFS(RAB!$F$14:$F$453,RAB!$C$14:$C$453,C843)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SUMIFS(RAB!$F$14:$F$453,RAB!$C$14:$C$453,C844)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SUMIFS(RAB!$F$14:$F$453,RAB!$C$14:$C$453,C845)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SUMIFS(RAB!$F$14:$F$453,RAB!$C$14:$C$453,C846)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SUMIFS(RAB!$F$14:$F$453,RAB!$C$14:$C$453,C847)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SUMIFS(RAB!$F$14:$F$453,RAB!$C$14:$C$453,C848)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SUMIFS(RAB!$F$14:$F$453,RAB!$C$14:$C$453,C849)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SUMIFS(RAB!$F$14:$F$453,RAB!$C$14:$C$453,C850)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SUMIFS(RAB!$F$14:$F$453,RAB!$C$14:$C$453,C851)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SUMIFS(RAB!$F$14:$F$453,RAB!$C$14:$C$453,C852)</f>
        <v>1</v>
      </c>
      <c r="E852" s="26">
        <f t="shared" ca="1" si="35"/>
        <v>1</v>
      </c>
      <c r="F852" s="26">
        <f ca="1">IF(D852=0,0,SUM($E$713:E852))</f>
        <v>13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SUMIFS(RAB!$F$14:$F$453,RAB!$C$14:$C$453,C853)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SUMIFS(RAB!$F$14:$F$453,RAB!$C$14:$C$453,C854)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SUMIFS(RAB!$F$14:$F$453,RAB!$C$14:$C$453,C855)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SUMIFS(RAB!$F$14:$F$453,RAB!$C$14:$C$453,C856)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SUMIFS(RAB!$F$14:$F$453,RAB!$C$14:$C$453,C857)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SUMIFS(RAB!$F$14:$F$453,RAB!$C$14:$C$453,C858)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SUMIFS(RAB!$F$14:$F$453,RAB!$C$14:$C$453,C859)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SUMIFS(RAB!$F$14:$F$453,RAB!$C$14:$C$453,C860)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SUMIFS(RAB!$F$14:$F$453,RAB!$C$14:$C$453,C861)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SUMIFS(RAB!$F$14:$F$453,RAB!$C$14:$C$453,C862)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SUMIFS(RAB!$F$14:$F$453,RAB!$C$14:$C$453,C863)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SUMIFS(RAB!$F$14:$F$453,RAB!$C$14:$C$453,C864)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SUMIFS(RAB!$F$14:$F$453,RAB!$C$14:$C$453,C865)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SUMIFS(RAB!$F$14:$F$453,RAB!$C$14:$C$453,C866)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SUMIFS(RAB!$F$14:$F$453,RAB!$C$14:$C$453,C867)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SUMIFS(RAB!$F$14:$F$453,RAB!$C$14:$C$453,C868)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SUMIFS(RAB!$F$14:$F$453,RAB!$C$14:$C$453,C869)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SUMIFS(RAB!$F$14:$F$453,RAB!$C$14:$C$453,C870)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SUMIFS(RAB!$F$14:$F$453,RAB!$C$14:$C$453,C871)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SUMIFS(RAB!$F$14:$F$453,RAB!$C$14:$C$453,C872)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SUMIFS(RAB!$F$14:$F$453,RAB!$C$14:$C$453,C873)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SUMIFS(RAB!$F$14:$F$453,RAB!$C$14:$C$453,C874)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SUMIFS(RAB!$F$14:$F$453,RAB!$C$14:$C$453,C875)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SUMIFS(RAB!$F$14:$F$453,RAB!$C$14:$C$453,C876)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SUMIFS(RAB!$F$14:$F$453,RAB!$C$14:$C$453,C877)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SUMIFS(RAB!$F$14:$F$453,RAB!$C$14:$C$453,C878)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SUMIFS(RAB!$F$14:$F$453,RAB!$C$14:$C$453,C879)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SUMIFS(RAB!$F$14:$F$453,RAB!$C$14:$C$453,C880)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SUMIFS(RAB!$F$14:$F$453,RAB!$C$14:$C$453,C881)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SUMIFS(RAB!$F$14:$F$453,RAB!$C$14:$C$453,C882)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SUMIFS(RAB!$F$14:$F$453,RAB!$C$14:$C$453,C883)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SUMIFS(RAB!$F$14:$F$453,RAB!$C$14:$C$453,C884)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SUMIFS(RAB!$F$14:$F$453,RAB!$C$14:$C$453,C885)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SUMIFS(RAB!$F$14:$F$453,RAB!$C$14:$C$453,C886)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SUMIFS(RAB!$F$14:$F$453,RAB!$C$14:$C$453,C887)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SUMIFS(RAB!$F$14:$F$453,RAB!$C$14:$C$453,C888)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SUMIFS(RAB!$F$14:$F$453,RAB!$C$14:$C$453,C889)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SUMIFS(RAB!$F$14:$F$453,RAB!$C$14:$C$453,C890)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SUMIFS(RAB!$F$14:$F$453,RAB!$C$14:$C$453,C891)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SUMIFS(RAB!$F$14:$F$453,RAB!$C$14:$C$453,C892)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SUMIFS(RAB!$F$14:$F$453,RAB!$C$14:$C$453,C893)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SUMIFS(RAB!$F$14:$F$453,RAB!$C$14:$C$453,C894)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SUMIFS(RAB!$F$14:$F$453,RAB!$C$14:$C$453,C895)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SUMIFS(RAB!$F$14:$F$453,RAB!$C$14:$C$453,C896)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SUMIFS(RAB!$F$14:$F$453,RAB!$C$14:$C$453,C897)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SUMIFS(RAB!$F$14:$F$453,RAB!$C$14:$C$453,C898)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SUMIFS(RAB!$F$14:$F$453,RAB!$C$14:$C$453,C899)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SUMIFS(RAB!$F$14:$F$453,RAB!$C$14:$C$453,C900)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SUMIFS(RAB!$F$14:$F$453,RAB!$C$14:$C$453,C901)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SUMIFS(RAB!$F$14:$F$453,RAB!$C$14:$C$453,C902)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SUMIFS(RAB!$F$14:$F$453,RAB!$C$14:$C$453,C903)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SUMIFS(RAB!$F$14:$F$453,RAB!$C$14:$C$453,C904)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SUMIFS(RAB!$F$14:$F$453,RAB!$C$14:$C$453,C905)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SUMIFS(RAB!$F$14:$F$453,RAB!$C$14:$C$453,C906)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SUMIFS(RAB!$F$14:$F$453,RAB!$C$14:$C$453,C907)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SUMIFS(RAB!$F$14:$F$453,RAB!$C$14:$C$453,C908)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SUMIFS(RAB!$F$14:$F$453,RAB!$C$14:$C$453,C909)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SUMIFS(RAB!$F$14:$F$453,RAB!$C$14:$C$453,C910)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SUMIFS(RAB!$F$14:$F$453,RAB!$C$14:$C$453,C911)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SUMIFS(RAB!$F$14:$F$453,RAB!$C$14:$C$453,C912)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SUMIFS(RAB!$F$14:$F$453,RAB!$C$14:$C$453,C913)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SUMIFS(RAB!$F$14:$F$453,RAB!$C$14:$C$453,C914)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SUMIFS(RAB!$F$14:$F$453,RAB!$C$14:$C$453,C915)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SUMIFS(RAB!$F$14:$F$453,RAB!$C$14:$C$453,C916)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SUMIFS(RAB!$F$14:$F$453,RAB!$C$14:$C$453,C917)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SUMIFS(RAB!$F$14:$F$453,RAB!$C$14:$C$453,C918)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SUMIFS(RAB!$F$14:$F$453,RAB!$C$14:$C$453,C919)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SUMIFS(RAB!$F$14:$F$453,RAB!$C$14:$C$453,C920)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SUMIFS(RAB!$F$14:$F$453,RAB!$C$14:$C$453,C921)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SUMIFS(RAB!$F$14:$F$453,RAB!$C$14:$C$453,C922)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SUMIFS(RAB!$F$14:$F$453,RAB!$C$14:$C$453,C923)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SUMIFS(RAB!$F$14:$F$453,RAB!$C$14:$C$453,C924)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SUMIFS(RAB!$F$14:$F$453,RAB!$C$14:$C$453,C925)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SUMIFS(RAB!$F$14:$F$453,RAB!$C$14:$C$453,C926)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SUMIFS(RAB!$F$14:$F$453,RAB!$C$14:$C$453,C927)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SUMIFS(RAB!$F$14:$F$453,RAB!$C$14:$C$453,C928)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SUMIFS(RAB!$F$14:$F$453,RAB!$C$14:$C$453,C929)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SUMIFS(RAB!$F$14:$F$453,RAB!$C$14:$C$453,C930)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SUMIFS(RAB!$F$14:$F$453,RAB!$C$14:$C$453,C931)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SUMIFS(RAB!$F$14:$F$453,RAB!$C$14:$C$453,C932)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SUMIFS(RAB!$F$14:$F$453,RAB!$C$14:$C$453,C933)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SUMIFS(RAB!$F$14:$F$453,RAB!$C$14:$C$453,C934)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SUMIFS(RAB!$F$14:$F$453,RAB!$C$14:$C$453,C935)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SUMIFS(RAB!$F$14:$F$453,RAB!$C$14:$C$453,C936)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SUMIFS(RAB!$F$14:$F$453,RAB!$C$14:$C$453,C937)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SUMIFS(RAB!$F$14:$F$453,RAB!$C$14:$C$453,C938)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SUMIFS(RAB!$F$14:$F$453,RAB!$C$14:$C$453,C939)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SUMIFS(RAB!$F$14:$F$453,RAB!$C$14:$C$453,C940)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SUMIFS(RAB!$F$14:$F$453,RAB!$C$14:$C$453,C941)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SUMIFS(RAB!$F$14:$F$453,RAB!$C$14:$C$453,C942)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SUMIFS(RAB!$F$14:$F$453,RAB!$C$14:$C$453,C943)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SUMIFS(RAB!$F$14:$F$453,RAB!$C$14:$C$453,C944)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SUMIFS(RAB!$F$14:$F$453,RAB!$C$14:$C$453,C945)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SUMIFS(RAB!$F$14:$F$453,RAB!$C$14:$C$453,C946)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SUMIFS(RAB!$F$14:$F$453,RAB!$C$14:$C$453,C947)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SUMIFS(RAB!$F$14:$F$453,RAB!$C$14:$C$453,C948)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SUMIFS(RAB!$F$14:$F$453,RAB!$C$14:$C$453,C949)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SUMIFS(RAB!$F$14:$F$453,RAB!$C$14:$C$453,C950)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SUMIFS(RAB!$F$14:$F$453,RAB!$C$14:$C$453,C951)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SUMIFS(RAB!$F$14:$F$453,RAB!$C$14:$C$453,C952)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SUMIFS(RAB!$F$14:$F$453,RAB!$C$14:$C$453,C953)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SUMIFS(RAB!$F$14:$F$453,RAB!$C$14:$C$453,C954)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SUMIFS(RAB!$F$14:$F$453,RAB!$C$14:$C$453,C955)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SUMIFS(RAB!$F$14:$F$453,RAB!$C$14:$C$453,C956)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SUMIFS(RAB!$F$14:$F$453,RAB!$C$14:$C$453,C957)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SUMIFS(RAB!$F$14:$F$453,RAB!$C$14:$C$453,C958)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SUMIFS(RAB!$F$14:$F$453,RAB!$C$14:$C$453,C959)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SUMIFS(RAB!$F$14:$F$453,RAB!$C$14:$C$453,C960)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SUMIFS(RAB!$F$14:$F$453,RAB!$C$14:$C$453,C961)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SUMIFS(RAB!$F$14:$F$453,RAB!$C$14:$C$453,C962)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SUMIFS(RAB!$F$14:$F$453,RAB!$C$14:$C$453,C963)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SUMIFS(RAB!$F$14:$F$453,RAB!$C$14:$C$453,C964)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SUMIFS(RAB!$F$14:$F$453,RAB!$C$14:$C$453,C965)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SUMIFS(RAB!$F$14:$F$453,RAB!$C$14:$C$453,C966)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SUMIFS(RAB!$F$14:$F$453,RAB!$C$14:$C$453,C967)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SUMIFS(RAB!$F$14:$F$453,RAB!$C$14:$C$453,C968)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SUMIFS(RAB!$F$14:$F$453,RAB!$C$14:$C$453,C969)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SUMIFS(RAB!$F$14:$F$453,RAB!$C$14:$C$453,C970)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SUMIFS(RAB!$F$14:$F$453,RAB!$C$14:$C$453,C971)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SUMIFS(RAB!$F$14:$F$453,RAB!$C$14:$C$453,C972)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SUMIFS(RAB!$F$14:$F$453,RAB!$C$14:$C$453,C973)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SUMIFS(RAB!$F$14:$F$453,RAB!$C$14:$C$453,C974)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SUMIFS(RAB!$F$14:$F$453,RAB!$C$14:$C$453,C975)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SUMIFS(RAB!$F$14:$F$453,RAB!$C$14:$C$453,C976)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SUMIFS(RAB!$F$14:$F$453,RAB!$C$14:$C$453,C977)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SUMIFS(RAB!$F$14:$F$453,RAB!$C$14:$C$453,C978)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SUMIFS(RAB!$F$14:$F$453,RAB!$C$14:$C$453,C979)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SUMIFS(RAB!$F$14:$F$453,RAB!$C$14:$C$453,C980)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SUMIFS(RAB!$F$14:$F$453,RAB!$C$14:$C$453,C981)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SUMIFS(RAB!$F$14:$F$453,RAB!$C$14:$C$453,C982)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SUMIFS(RAB!$F$14:$F$453,RAB!$C$14:$C$453,C983)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SUMIFS(RAB!$F$14:$F$453,RAB!$C$14:$C$453,C984)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SUMIFS(RAB!$F$14:$F$453,RAB!$C$14:$C$453,C985)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SUMIFS(RAB!$F$14:$F$453,RAB!$C$14:$C$453,C986)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SUMIFS(RAB!$F$14:$F$453,RAB!$C$14:$C$453,C987)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SUMIFS(RAB!$F$14:$F$453,RAB!$C$14:$C$453,C988)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SUMIFS(RAB!$F$14:$F$453,RAB!$C$14:$C$453,C989)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SUMIFS(RAB!$F$14:$F$453,RAB!$C$14:$C$453,C990)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SUMIFS(RAB!$F$14:$F$453,RAB!$C$14:$C$453,C991)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SUMIFS(RAB!$F$14:$F$453,RAB!$C$14:$C$453,C992)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SUMIFS(RAB!$F$14:$F$453,RAB!$C$14:$C$453,C993)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SUMIFS(RAB!$F$14:$F$453,RAB!$C$14:$C$453,C994)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SUMIFS(RAB!$F$14:$F$453,RAB!$C$14:$C$453,C995)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SUMIFS(RAB!$F$14:$F$453,RAB!$C$14:$C$453,C996)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SUMIFS(RAB!$F$14:$F$453,RAB!$C$14:$C$453,C997)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SUMIFS(RAB!$F$14:$F$453,RAB!$C$14:$C$453,C998)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SUMIFS(RAB!$F$14:$F$453,RAB!$C$14:$C$453,C999)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SUMIFS(RAB!$F$14:$F$453,RAB!$C$14:$C$453,C1000)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SUMIFS(RAB!$F$14:$F$453,RAB!$C$14:$C$453,C1001)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SUMIFS(RAB!$F$14:$F$453,RAB!$C$14:$C$453,C1002)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SUMIFS(RAB!$F$14:$F$453,RAB!$C$14:$C$453,C1003)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SUMIFS(RAB!$F$14:$F$453,RAB!$C$14:$C$453,C1004)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SUMIFS(RAB!$F$14:$F$453,RAB!$C$14:$C$453,C1005)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SUMIFS(RAB!$F$14:$F$453,RAB!$C$14:$C$453,C1006)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SUMIFS(RAB!$F$14:$F$453,RAB!$C$14:$C$453,C1007)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SUMIFS(RAB!$F$14:$F$453,RAB!$C$14:$C$453,C1008)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SUMIFS(RAB!$F$14:$F$453,RAB!$C$14:$C$453,C1009)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SUMIFS(RAB!$F$14:$F$453,RAB!$C$14:$C$453,C1010)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SUMIFS(RAB!$F$14:$F$453,RAB!$C$14:$C$453,C1011)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SUMIFS(RAB!$F$14:$F$453,RAB!$C$14:$C$453,C1012)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SUMIFS(RAB!$F$14:$F$453,RAB!$C$14:$C$453,C1013)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SUMIFS(RAB!$F$14:$F$453,RAB!$C$14:$C$453,C1014)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SUMIFS(RAB!$F$14:$F$453,RAB!$C$14:$C$453,C1015)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SUMIFS(RAB!$F$14:$F$453,RAB!$C$14:$C$453,C1016)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SUMIFS(RAB!$F$14:$F$453,RAB!$C$14:$C$453,C1017)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SUMIFS(RAB!$F$14:$F$453,RAB!$C$14:$C$453,C1018)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SUMIFS(RAB!$F$14:$F$453,RAB!$C$14:$C$453,C1019)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SUMIFS(RAB!$F$14:$F$453,RAB!$C$14:$C$453,C1020)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SUMIFS(RAB!$F$14:$F$453,RAB!$C$14:$C$453,C1021)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SUMIFS(RAB!$F$14:$F$453,RAB!$C$14:$C$453,C1022)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SUMIFS(RAB!$F$14:$F$453,RAB!$C$14:$C$453,C1023)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SUMIFS(RAB!$F$14:$F$453,RAB!$C$14:$C$453,C1024)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SUMIFS(RAB!$F$14:$F$453,RAB!$C$14:$C$453,C1025)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SUMIFS(RAB!$F$14:$F$453,RAB!$C$14:$C$453,C1026)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SUMIFS(RAB!$F$14:$F$453,RAB!$C$14:$C$453,C1027)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SUMIFS(RAB!$F$14:$F$453,RAB!$C$14:$C$453,C1028)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SUMIFS(RAB!$F$14:$F$453,RAB!$C$14:$C$453,C1029)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SUMIFS(RAB!$F$14:$F$453,RAB!$C$14:$C$453,C1030)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SUMIFS(RAB!$F$14:$F$453,RAB!$C$14:$C$453,C1031)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SUMIFS(RAB!$F$14:$F$453,RAB!$C$14:$C$453,C1032)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SUMIFS(RAB!$F$14:$F$453,RAB!$C$14:$C$453,C1033)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SUMIFS(RAB!$F$14:$F$453,RAB!$C$14:$C$453,C1034)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SUMIFS(RAB!$F$14:$F$453,RAB!$C$14:$C$453,C1035)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SUMIFS(RAB!$F$14:$F$453,RAB!$C$14:$C$453,C1036)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SUMIFS(RAB!$F$14:$F$453,RAB!$C$14:$C$453,C1037)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SUMIFS(RAB!$F$14:$F$453,RAB!$C$14:$C$453,C1038)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SUMIFS(RAB!$F$14:$F$453,RAB!$C$14:$C$453,C1039)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SUMIFS(RAB!$F$14:$F$453,RAB!$C$14:$C$453,C1040)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SUMIFS(RAB!$F$14:$F$453,RAB!$C$14:$C$453,C1041)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SUMIFS(RAB!$F$14:$F$453,RAB!$C$14:$C$453,C1042)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SUMIFS(RAB!$F$14:$F$453,RAB!$C$14:$C$453,C1043)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SUMIFS(RAB!$F$14:$F$453,RAB!$C$14:$C$453,C1044)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SUMIFS(RAB!$F$14:$F$453,RAB!$C$14:$C$453,C1045)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SUMIFS(RAB!$F$14:$F$453,RAB!$C$14:$C$453,C1046)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SUMIFS(RAB!$F$14:$F$453,RAB!$C$14:$C$453,C1047)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SUMIFS(RAB!$F$14:$F$453,RAB!$C$14:$C$453,C1048)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SUMIFS(RAB!$F$14:$F$453,RAB!$C$14:$C$453,C1049)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SUMIFS(RAB!$F$14:$F$453,RAB!$C$14:$C$453,C1050)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SUMIFS(RAB!$F$14:$F$453,RAB!$C$14:$C$453,C1051)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SUMIFS(RAB!$F$14:$F$453,RAB!$C$14:$C$453,C1052)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SUMIFS(RAB!$F$14:$F$453,RAB!$C$14:$C$453,C1053)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SUMIFS(RAB!$F$14:$F$453,RAB!$C$14:$C$453,C1054)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SUMIFS(RAB!$F$14:$F$453,RAB!$C$14:$C$453,C1055)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SUMIFS(RAB!$F$14:$F$453,RAB!$C$14:$C$453,C1056)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SUMIFS(RAB!$F$14:$F$453,RAB!$C$14:$C$453,C1057)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SUMIFS(RAB!$F$14:$F$453,RAB!$C$14:$C$453,C1058)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SUMIFS(RAB!$F$14:$F$453,RAB!$C$14:$C$453,C1059)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SUMIFS(RAB!$F$14:$F$453,RAB!$C$14:$C$453,C1060)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SUMIFS(RAB!$F$14:$F$453,RAB!$C$14:$C$453,C1061)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SUMIFS(RAB!$F$14:$F$453,RAB!$C$14:$C$453,C1062)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SUMIFS(RAB!$F$14:$F$453,RAB!$C$14:$C$453,C1063)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SUMIFS(RAB!$F$14:$F$453,RAB!$C$14:$C$453,C1064)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SUMIFS(RAB!$F$14:$F$453,RAB!$C$14:$C$453,C1065)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SUMIFS(RAB!$F$14:$F$453,RAB!$C$14:$C$453,C1066)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SUMIFS(RAB!$F$14:$F$453,RAB!$C$14:$C$453,C1067)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SUMIFS(RAB!$F$14:$F$453,RAB!$C$14:$C$453,C1068)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SUMIFS(RAB!$F$14:$F$453,RAB!$C$14:$C$453,C1069)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SUMIFS(RAB!$F$14:$F$453,RAB!$C$14:$C$453,C1070)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SUMIFS(RAB!$F$14:$F$453,RAB!$C$14:$C$453,C1071)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SUMIFS(RAB!$F$14:$F$453,RAB!$C$14:$C$453,C1072)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SUMIFS(RAB!$F$14:$F$453,RAB!$C$14:$C$453,C1073)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SUMIFS(RAB!$F$14:$F$453,RAB!$C$14:$C$453,C1074)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SUMIFS(RAB!$F$14:$F$453,RAB!$C$14:$C$453,C1075)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SUMIFS(RAB!$F$14:$F$453,RAB!$C$14:$C$453,C1076)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SUMIFS(RAB!$F$14:$F$453,RAB!$C$14:$C$453,C1077)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SUMIFS(RAB!$F$14:$F$453,RAB!$C$14:$C$453,C1078)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SUMIFS(RAB!$F$14:$F$453,RAB!$C$14:$C$453,C1079)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SUMIFS(RAB!$F$14:$F$453,RAB!$C$14:$C$453,C1080)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SUMIFS(RAB!$F$14:$F$453,RAB!$C$14:$C$453,C1081)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SUMIFS(RAB!$F$14:$F$453,RAB!$C$14:$C$453,C1082)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SUMIFS(RAB!$F$14:$F$453,RAB!$C$14:$C$453,C1083)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SUMIFS(RAB!$F$14:$F$453,RAB!$C$14:$C$453,C1084)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SUMIFS(RAB!$F$14:$F$453,RAB!$C$14:$C$453,C1085)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SUMIFS(RAB!$F$14:$F$453,RAB!$C$14:$C$453,C1086)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SUMIFS(RAB!$F$14:$F$453,RAB!$C$14:$C$453,C1087)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SUMIFS(RAB!$F$14:$F$453,RAB!$C$14:$C$453,C1088)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SUMIFS(RAB!$F$14:$F$453,RAB!$C$14:$C$453,C1089)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SUMIFS(RAB!$F$14:$F$453,RAB!$C$14:$C$453,C1090)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SUMIFS(RAB!$F$14:$F$453,RAB!$C$14:$C$453,C1091)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SUMIFS(RAB!$F$14:$F$453,RAB!$C$14:$C$453,C1092)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SUMIFS(RAB!$F$14:$F$453,RAB!$C$14:$C$453,C1093)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SUMIFS(RAB!$F$14:$F$453,RAB!$C$14:$C$453,C1094)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SUMIFS(RAB!$F$14:$F$453,RAB!$C$14:$C$453,C1095)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SUMIFS(RAB!$F$14:$F$453,RAB!$C$14:$C$453,C1096)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SUMIFS(RAB!$F$14:$F$453,RAB!$C$14:$C$453,C1097)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SUMIFS(RAB!$F$14:$F$453,RAB!$C$14:$C$453,C1098)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SUMIFS(RAB!$F$14:$F$453,RAB!$C$14:$C$453,C1099)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SUMIFS(RAB!$F$14:$F$453,RAB!$C$14:$C$453,C1100)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SUMIFS(RAB!$F$14:$F$453,RAB!$C$14:$C$453,C1101)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SUMIFS(RAB!$F$14:$F$453,RAB!$C$14:$C$453,C1102)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SUMIFS(RAB!$F$14:$F$453,RAB!$C$14:$C$453,C1103)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SUMIFS(RAB!$F$14:$F$453,RAB!$C$14:$C$453,C1104)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SUMIFS(RAB!$F$14:$F$453,RAB!$C$14:$C$453,C1105)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SUMIFS(RAB!$F$14:$F$453,RAB!$C$14:$C$453,C1106)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SUMIFS(RAB!$F$14:$F$453,RAB!$C$14:$C$453,C1107)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SUMIFS(RAB!$F$14:$F$453,RAB!$C$14:$C$453,C1108)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SUMIFS(RAB!$F$14:$F$453,RAB!$C$14:$C$453,C1109)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SUMIFS(RAB!$F$14:$F$453,RAB!$C$14:$C$453,C1110)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SUMIFS(RAB!$F$14:$F$453,RAB!$C$14:$C$453,C1111)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SUMIFS(RAB!$F$14:$F$453,RAB!$C$14:$C$453,C1112)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SUMIFS(RAB!$F$14:$F$453,RAB!$C$14:$C$453,C1113)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SUMIFS(RAB!$F$14:$F$453,RAB!$C$14:$C$453,C1114)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SUMIFS(RAB!$F$14:$F$453,RAB!$C$14:$C$453,C1115)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SUMIFS(RAB!$F$14:$F$453,RAB!$C$14:$C$453,C1116)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SUMIFS(RAB!$F$14:$F$453,RAB!$C$14:$C$453,C1117)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SUMIFS(RAB!$F$14:$F$453,RAB!$C$14:$C$453,C1118)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SUMIFS(RAB!$F$14:$F$453,RAB!$C$14:$C$453,C1119)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SUMIFS(RAB!$F$14:$F$453,RAB!$C$14:$C$453,C1120)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SUMIFS(RAB!$F$14:$F$453,RAB!$C$14:$C$453,C1121)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SUMIFS(RAB!$F$14:$F$453,RAB!$C$14:$C$453,C1122)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SUMIFS(RAB!$F$14:$F$453,RAB!$C$14:$C$453,C1123)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SUMIFS(RAB!$F$14:$F$453,RAB!$C$14:$C$453,C1124)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SUMIFS(RAB!$F$14:$F$453,RAB!$C$14:$C$453,C1125)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SUMIFS(RAB!$F$14:$F$453,RAB!$C$14:$C$453,C1126)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SUMIFS(RAB!$F$14:$F$453,RAB!$C$14:$C$453,C1127)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SUMIFS(RAB!$F$14:$F$453,RAB!$C$14:$C$453,C1128)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SUMIFS(RAB!$F$14:$F$453,RAB!$C$14:$C$453,C1129)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SUMIFS(RAB!$F$14:$F$453,RAB!$C$14:$C$453,C1130)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SUMIFS(RAB!$F$14:$F$453,RAB!$C$14:$C$453,C1131)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SUMIFS(RAB!$F$14:$F$453,RAB!$C$14:$C$453,C1132)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SUMIFS(RAB!$F$14:$F$453,RAB!$C$14:$C$453,C1133)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SUMIFS(RAB!$F$14:$F$453,RAB!$C$14:$C$453,C1134)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SUMIFS(RAB!$F$14:$F$453,RAB!$C$14:$C$453,C1135)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SUMIFS(RAB!$F$14:$F$453,RAB!$C$14:$C$453,C1136)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SUMIFS(RAB!$F$14:$F$453,RAB!$C$14:$C$453,C1137)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SUMIFS(RAB!$F$14:$F$453,RAB!$C$14:$C$453,C1138)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SUMIFS(RAB!$F$14:$F$453,RAB!$C$14:$C$453,C1139)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SUMIFS(RAB!$F$14:$F$453,RAB!$C$14:$C$453,C1140)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SUMIFS(RAB!$F$14:$F$453,RAB!$C$14:$C$453,C1141)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SUMIFS(RAB!$F$14:$F$453,RAB!$C$14:$C$453,C1142)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SUMIFS(RAB!$F$14:$F$453,RAB!$C$14:$C$453,C1143)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SUMIFS(RAB!$F$14:$F$453,RAB!$C$14:$C$453,C1144)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SUMIFS(RAB!$F$14:$F$453,RAB!$C$14:$C$453,C1145)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SUMIFS(RAB!$F$14:$F$453,RAB!$C$14:$C$453,C1146)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SUMIFS(RAB!$F$14:$F$453,RAB!$C$14:$C$453,C1147)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SUMIFS(RAB!$F$14:$F$453,RAB!$C$14:$C$453,C1148)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SUMIFS(RAB!$F$14:$F$453,RAB!$C$14:$C$453,C1149)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SUMIFS(RAB!$F$14:$F$453,RAB!$C$14:$C$453,C1150)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SUMIFS(RAB!$F$14:$F$453,RAB!$C$14:$C$453,C1151)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SUMIFS(RAB!$F$14:$F$453,RAB!$C$14:$C$453,C1152)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SUMIFS(RAB!$F$14:$F$453,RAB!$C$14:$C$453,C1153)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SUMIFS(RAB!$F$14:$F$453,RAB!$C$14:$C$453,C1154)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SUMIFS(RAB!$F$14:$F$453,RAB!$C$14:$C$453,C1155)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SUMIFS(RAB!$F$14:$F$453,RAB!$C$14:$C$453,C1156)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SUMIFS(RAB!$F$14:$F$453,RAB!$C$14:$C$453,C1157)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SUMIFS(RAB!$F$14:$F$453,RAB!$C$14:$C$453,C1158)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SUMIFS(RAB!$F$14:$F$453,RAB!$C$14:$C$453,C1159)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SUMIFS(RAB!$F$14:$F$453,RAB!$C$14:$C$453,C1160)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SUMIFS(RAB!$F$14:$F$453,RAB!$C$14:$C$453,C1161)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SUMIFS(RAB!$F$14:$F$453,RAB!$C$14:$C$453,C1162)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SUMIFS(RAB!$F$14:$F$453,RAB!$C$14:$C$453,C1163)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SUMIFS(RAB!$F$14:$F$453,RAB!$C$14:$C$453,C1164)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SUMIFS(RAB!$F$14:$F$453,RAB!$C$14:$C$453,C1165)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SUMIFS(RAB!$F$14:$F$453,RAB!$C$14:$C$453,C1166)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SUMIFS(RAB!$F$14:$F$453,RAB!$C$14:$C$453,C1167)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SUMIFS(RAB!$F$14:$F$453,RAB!$C$14:$C$453,C1168)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SUMIFS(RAB!$F$14:$F$453,RAB!$C$14:$C$453,C1169)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SUMIFS(RAB!$F$14:$F$453,RAB!$C$14:$C$453,C1170)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SUMIFS(RAB!$F$14:$F$453,RAB!$C$14:$C$453,C1171)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SUMIFS(RAB!$F$14:$F$453,RAB!$C$14:$C$453,C1172)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SUMIFS(RAB!$F$14:$F$453,RAB!$C$14:$C$453,C1173)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SUMIFS(RAB!$F$14:$F$453,RAB!$C$14:$C$453,C1174)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SUMIFS(RAB!$F$14:$F$453,RAB!$C$14:$C$453,C1175)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SUMIFS(RAB!$F$14:$F$453,RAB!$C$14:$C$453,C1176)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SUMIFS(RAB!$F$14:$F$453,RAB!$C$14:$C$453,C1177)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SUMIFS(RAB!$F$14:$F$453,RAB!$C$14:$C$453,C1178)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SUMIFS(RAB!$F$14:$F$453,RAB!$C$14:$C$453,C1179)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SUMIFS(RAB!$F$14:$F$453,RAB!$C$14:$C$453,C1180)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SUMIFS(RAB!$F$14:$F$453,RAB!$C$14:$C$453,C1181)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SUMIFS(RAB!$F$14:$F$453,RAB!$C$14:$C$453,C1182)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SUMIFS(RAB!$F$14:$F$453,RAB!$C$14:$C$453,C1183)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SUMIFS(RAB!$F$14:$F$453,RAB!$C$14:$C$453,C1184)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SUMIFS(RAB!$F$14:$F$453,RAB!$C$14:$C$453,C1185)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SUMIFS(RAB!$F$14:$F$453,RAB!$C$14:$C$453,C1186)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SUMIFS(RAB!$F$14:$F$453,RAB!$C$14:$C$453,C1187)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SUMIFS(RAB!$F$14:$F$453,RAB!$C$14:$C$453,C1188)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SUMIFS(RAB!$F$14:$F$453,RAB!$C$14:$C$453,C1189)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SUMIFS(RAB!$F$14:$F$453,RAB!$C$14:$C$453,C1190)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SUMIFS(RAB!$F$14:$F$453,RAB!$C$14:$C$453,C1191)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SUMIFS(RAB!$F$14:$F$453,RAB!$C$14:$C$453,C1192)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SUMIFS(RAB!$F$14:$F$453,RAB!$C$14:$C$453,C1193)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SUMIFS(RAB!$F$14:$F$453,RAB!$C$14:$C$453,C1194)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SUMIFS(RAB!$F$14:$F$453,RAB!$C$14:$C$453,C1195)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SUMIFS(RAB!$F$14:$F$453,RAB!$C$14:$C$453,C1196)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SUMIFS(RAB!$F$14:$F$453,RAB!$C$14:$C$453,C1197)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SUMIFS(RAB!$F$14:$F$453,RAB!$C$14:$C$453,C1198)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SUMIFS(RAB!$F$14:$F$453,RAB!$C$14:$C$453,C1199)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SUMIFS(RAB!$F$14:$F$453,RAB!$C$14:$C$453,C1200)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SUMIFS(RAB!$F$14:$F$453,RAB!$C$14:$C$453,C1201)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SUMIFS(RAB!$F$14:$F$453,RAB!$C$14:$C$453,C1202)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SUMIFS(RAB!$F$14:$F$453,RAB!$C$14:$C$453,C1203)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SUMIFS(RAB!$F$14:$F$453,RAB!$C$14:$C$453,C1204)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SUMIFS(RAB!$F$14:$F$453,RAB!$C$14:$C$453,C1205)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SUMIFS(RAB!$F$14:$F$453,RAB!$C$14:$C$453,C1206)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SUMIFS(RAB!$F$14:$F$453,RAB!$C$14:$C$453,C1207)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SUMIFS(RAB!$F$14:$F$453,RAB!$C$14:$C$453,C1208)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SUMIFS(RAB!$F$14:$F$453,RAB!$C$14:$C$453,C1209)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SUMIFS(RAB!$F$14:$F$453,RAB!$C$14:$C$453,C1210)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SUMIFS(RAB!$F$14:$F$453,RAB!$C$14:$C$453,C1211)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SUMIFS(RAB!$F$14:$F$453,RAB!$C$14:$C$453,C1212)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SUMIFS(RAB!$F$14:$F$453,RAB!$C$14:$C$453,C1213)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SUMIFS(RAB!$F$14:$F$453,RAB!$C$14:$C$453,C1214)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SUMIFS(RAB!$F$14:$F$453,RAB!$C$14:$C$453,C1215)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SUMIFS(RAB!$F$14:$F$453,RAB!$C$14:$C$453,C1216)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SUMIFS(RAB!$F$14:$F$453,RAB!$C$14:$C$453,C1217)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SUMIFS(RAB!$F$14:$F$453,RAB!$C$14:$C$453,C1218)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SUMIFS(RAB!$F$14:$F$453,RAB!$C$14:$C$453,C1219)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SUMIFS(RAB!$F$14:$F$453,RAB!$C$14:$C$453,C1220)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SUMIFS(RAB!$F$14:$F$453,RAB!$C$14:$C$453,C1221)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SUMIFS(RAB!$F$14:$F$453,RAB!$C$14:$C$453,C1222)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SUMIFS(RAB!$F$14:$F$453,RAB!$C$14:$C$453,C1223)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SUMIFS(RAB!$F$14:$F$453,RAB!$C$14:$C$453,C1224)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SUMIFS(RAB!$F$14:$F$453,RAB!$C$14:$C$453,C1225)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SUMIFS(RAB!$F$14:$F$453,RAB!$C$14:$C$453,C1226)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SUMIFS(RAB!$F$14:$F$453,RAB!$C$14:$C$453,C1227)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SUMIFS(RAB!$F$14:$F$453,RAB!$C$14:$C$453,C1228)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SUMIFS(RAB!$F$14:$F$453,RAB!$C$14:$C$453,C1229)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SUMIFS(RAB!$F$14:$F$453,RAB!$C$14:$C$453,C1230)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SUMIFS(RAB!$F$14:$F$453,RAB!$C$14:$C$453,C1231)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SUMIFS(RAB!$F$14:$F$453,RAB!$C$14:$C$453,C1232)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SUMIFS(RAB!$F$14:$F$453,RAB!$C$14:$C$453,C1233)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SUMIFS(RAB!$F$14:$F$453,RAB!$C$14:$C$453,C1234)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SUMIFS(RAB!$F$14:$F$453,RAB!$C$14:$C$453,C1235)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SUMIFS(RAB!$F$14:$F$453,RAB!$C$14:$C$453,C1236)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SUMIFS(RAB!$F$14:$F$453,RAB!$C$14:$C$453,C1237)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SUMIFS(RAB!$F$14:$F$453,RAB!$C$14:$C$453,C1238)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SUMIFS(RAB!$F$14:$F$453,RAB!$C$14:$C$453,C1239)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SUMIFS(RAB!$F$14:$F$453,RAB!$C$14:$C$453,C1240)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SUMIFS(RAB!$F$14:$F$453,RAB!$C$14:$C$453,C1241)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SUMIFS(RAB!$F$14:$F$453,RAB!$C$14:$C$453,C1242)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SUMIFS(RAB!$F$14:$F$453,RAB!$C$14:$C$453,C1243)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SUMIFS(RAB!$F$14:$F$453,RAB!$C$14:$C$453,C1244)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SUMIFS(RAB!$F$14:$F$453,RAB!$C$14:$C$453,C1245)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SUMIFS(RAB!$F$14:$F$453,RAB!$C$14:$C$453,C1246)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SUMIFS(RAB!$F$14:$F$453,RAB!$C$14:$C$453,C1247)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SUMIFS(RAB!$F$14:$F$453,RAB!$C$14:$C$453,C1248)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SUMIFS(RAB!$F$14:$F$453,RAB!$C$14:$C$453,C1249)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SUMIFS(RAB!$F$14:$F$453,RAB!$C$14:$C$453,C1250)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SUMIFS(RAB!$F$14:$F$453,RAB!$C$14:$C$453,C1251)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SUMIFS(RAB!$F$14:$F$453,RAB!$C$14:$C$453,C1252)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SUMIFS(RAB!$F$14:$F$453,RAB!$C$14:$C$453,C1253)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SUMIFS(RAB!$F$14:$F$453,RAB!$C$14:$C$453,C1254)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SUMIFS(RAB!$F$14:$F$453,RAB!$C$14:$C$453,C1255)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SUMIFS(RAB!$F$14:$F$453,RAB!$C$14:$C$453,C1256)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SUMIFS(RAB!$F$14:$F$453,RAB!$C$14:$C$453,C1257)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SUMIFS(RAB!$F$14:$F$453,RAB!$C$14:$C$453,C1258)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SUMIFS(RAB!$F$14:$F$453,RAB!$C$14:$C$453,C1259)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SUMIFS(RAB!$F$14:$F$453,RAB!$C$14:$C$453,C1260)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SUMIFS(RAB!$F$14:$F$453,RAB!$C$14:$C$453,C1261)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SUMIFS(RAB!$F$14:$F$453,RAB!$C$14:$C$453,C1262)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SUMIFS(RAB!$F$14:$F$453,RAB!$C$14:$C$453,C1263)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SUMIFS(RAB!$F$14:$F$453,RAB!$C$14:$C$453,C1264)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SUMIFS(RAB!$F$14:$F$453,RAB!$C$14:$C$453,C1265)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SUMIFS(RAB!$F$14:$F$453,RAB!$C$14:$C$453,C1266)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SUMIFS(RAB!$F$14:$F$453,RAB!$C$14:$C$453,C1267)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SUMIFS(RAB!$F$14:$F$453,RAB!$C$14:$C$453,C1268)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SUMIFS(RAB!$F$14:$F$453,RAB!$C$14:$C$453,C1269)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SUMIFS(RAB!$F$14:$F$453,RAB!$C$14:$C$453,C1270)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SUMIFS(RAB!$F$14:$F$453,RAB!$C$14:$C$453,C1271)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SUMIFS(RAB!$F$14:$F$453,RAB!$C$14:$C$453,C1272)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SUMIFS(RAB!$F$14:$F$453,RAB!$C$14:$C$453,C1273)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SUMIFS(RAB!$F$14:$F$453,RAB!$C$14:$C$453,C1274)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SUMIFS(RAB!$F$14:$F$453,RAB!$C$14:$C$453,C1275)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SUMIFS(RAB!$F$14:$F$453,RAB!$C$14:$C$453,C1276)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SUMIFS(RAB!$F$14:$F$453,RAB!$C$14:$C$453,C1277)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SUMIFS(RAB!$F$14:$F$453,RAB!$C$14:$C$453,C1278)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SUMIFS(RAB!$F$14:$F$453,RAB!$C$14:$C$453,C1279)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SUMIFS(RAB!$F$14:$F$453,RAB!$C$14:$C$453,C1280)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SUMIFS(RAB!$F$14:$F$453,RAB!$C$14:$C$453,C1281)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SUMIFS(RAB!$F$14:$F$453,RAB!$C$14:$C$453,C1282)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SUMIFS(RAB!$F$14:$F$453,RAB!$C$14:$C$453,C1283)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SUMIFS(RAB!$F$14:$F$453,RAB!$C$14:$C$453,C1284)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SUMIFS(RAB!$F$14:$F$453,RAB!$C$14:$C$453,C1285)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SUMIFS(RAB!$F$14:$F$453,RAB!$C$14:$C$453,C1286)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SUMIFS(RAB!$F$14:$F$453,RAB!$C$14:$C$453,C1287)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SUMIFS(RAB!$F$14:$F$453,RAB!$C$14:$C$453,C1288)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SUMIFS(RAB!$F$14:$F$453,RAB!$C$14:$C$453,C1289)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SUMIFS(RAB!$F$14:$F$453,RAB!$C$14:$C$453,C1290)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SUMIFS(RAB!$F$14:$F$453,RAB!$C$14:$C$453,C1291)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SUMIFS(RAB!$F$14:$F$453,RAB!$C$14:$C$453,C1292)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SUMIFS(RAB!$F$14:$F$453,RAB!$C$14:$C$453,C1293)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SUMIFS(RAB!$F$14:$F$453,RAB!$C$14:$C$453,C1294)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SUMIFS(RAB!$F$14:$F$453,RAB!$C$14:$C$453,C1295)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SUMIFS(RAB!$F$14:$F$453,RAB!$C$14:$C$453,C1296)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SUMIFS(RAB!$F$14:$F$453,RAB!$C$14:$C$453,C1297)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SUMIFS(RAB!$F$14:$F$453,RAB!$C$14:$C$453,C1298)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SUMIFS(RAB!$F$14:$F$453,RAB!$C$14:$C$453,C1299)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SUMIFS(RAB!$F$14:$F$453,RAB!$C$14:$C$453,C1300)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SUMIFS(RAB!$F$14:$F$453,RAB!$C$14:$C$453,C1301)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SUMIFS(RAB!$F$14:$F$453,RAB!$C$14:$C$453,C1302)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SUMIFS(RAB!$F$14:$F$453,RAB!$C$14:$C$453,C1303)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SUMIFS(RAB!$F$14:$F$453,RAB!$C$14:$C$453,C1304)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SUMIFS(RAB!$F$14:$F$453,RAB!$C$14:$C$453,C1305)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SUMIFS(RAB!$F$14:$F$453,RAB!$C$14:$C$453,C1306)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SUMIFS(RAB!$F$14:$F$453,RAB!$C$14:$C$453,C1307)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SUMIFS(RAB!$F$14:$F$453,RAB!$C$14:$C$453,C1308)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SUMIFS(RAB!$F$14:$F$453,RAB!$C$14:$C$453,C1309)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SUMIFS(RAB!$F$14:$F$453,RAB!$C$14:$C$453,C1310)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SUMIFS(RAB!$F$14:$F$453,RAB!$C$14:$C$453,C1311)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SUMIFS(RAB!$F$14:$F$453,RAB!$C$14:$C$453,C1312)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SUMIFS(RAB!$F$14:$F$453,RAB!$C$14:$C$453,C1313)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SUMIFS(RAB!$F$14:$F$453,RAB!$C$14:$C$453,C1314)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SUMIFS(RAB!$F$14:$F$453,RAB!$C$14:$C$453,C1315)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SUMIFS(RAB!$F$14:$F$453,RAB!$C$14:$C$453,C1316)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SUMIFS(RAB!$F$14:$F$453,RAB!$C$14:$C$453,C1317)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SUMIFS(RAB!$F$14:$F$453,RAB!$C$14:$C$453,C1318)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SUMIFS(RAB!$F$14:$F$453,RAB!$C$14:$C$453,C1319)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SUMIFS(RAB!$F$14:$F$453,RAB!$C$14:$C$453,C1320)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114" priority="5" operator="equal">
      <formula>0</formula>
    </cfRule>
  </conditionalFormatting>
  <conditionalFormatting sqref="A10:L65536">
    <cfRule type="cellIs" dxfId="113" priority="1" operator="equal">
      <formula>0</formula>
    </cfRule>
  </conditionalFormatting>
  <conditionalFormatting sqref="C12:C711">
    <cfRule type="cellIs" dxfId="112" priority="66" stopIfTrue="1" operator="equal">
      <formula>0</formula>
    </cfRule>
  </conditionalFormatting>
  <conditionalFormatting sqref="E712:E65536">
    <cfRule type="cellIs" dxfId="111" priority="16" stopIfTrue="1" operator="equal">
      <formula>0</formula>
    </cfRule>
  </conditionalFormatting>
  <conditionalFormatting sqref="G1:G11 E6:E11 E1:E3 H7 H10:H11 F10:F711 G712:G65536">
    <cfRule type="cellIs" dxfId="110" priority="69" stopIfTrue="1" operator="equal">
      <formula>0</formula>
    </cfRule>
  </conditionalFormatting>
  <conditionalFormatting sqref="G12:H711">
    <cfRule type="cellIs" dxfId="109" priority="12" stopIfTrue="1" operator="equal">
      <formula>0</formula>
    </cfRule>
  </conditionalFormatting>
  <conditionalFormatting sqref="I7:K7">
    <cfRule type="cellIs" dxfId="108" priority="4" stopIfTrue="1" operator="equal">
      <formula>0</formula>
    </cfRule>
  </conditionalFormatting>
  <conditionalFormatting sqref="I10:L711">
    <cfRule type="cellIs" dxfId="107" priority="2" stopIfTrue="1" operator="equal">
      <formula>0</formula>
    </cfRule>
  </conditionalFormatting>
  <conditionalFormatting sqref="L1:L6">
    <cfRule type="cellIs" dxfId="106" priority="10" operator="equal">
      <formula>0</formula>
    </cfRule>
  </conditionalFormatting>
  <conditionalFormatting sqref="M1:IV1048576 A8:G9">
    <cfRule type="cellIs" dxfId="10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5" t="s">
        <v>1127</v>
      </c>
      <c r="C4" s="505"/>
      <c r="D4" s="505"/>
      <c r="E4" s="505"/>
      <c r="F4" s="505"/>
      <c r="G4" s="505"/>
      <c r="H4" s="505"/>
      <c r="I4" s="505"/>
      <c r="J4" s="505"/>
      <c r="K4" s="50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AGR SITI MUKAROMAH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SAMBIROTO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06" t="s">
        <v>0</v>
      </c>
      <c r="C11" s="508" t="s">
        <v>1</v>
      </c>
      <c r="D11" s="511" t="s">
        <v>42</v>
      </c>
      <c r="E11" s="511" t="s">
        <v>43</v>
      </c>
      <c r="F11" s="511" t="s">
        <v>2</v>
      </c>
      <c r="G11" s="513" t="s">
        <v>41</v>
      </c>
      <c r="H11" s="511" t="s">
        <v>3</v>
      </c>
      <c r="I11" s="511"/>
      <c r="J11" s="511"/>
      <c r="K11" s="516"/>
      <c r="M11" s="33"/>
      <c r="N11" s="33"/>
      <c r="O11" s="33"/>
      <c r="P11" s="33"/>
      <c r="R11" s="34"/>
      <c r="S11" s="74"/>
      <c r="T11" s="74"/>
    </row>
    <row r="12" spans="1:21" ht="15" customHeight="1">
      <c r="B12" s="507"/>
      <c r="C12" s="509"/>
      <c r="D12" s="512"/>
      <c r="E12" s="512"/>
      <c r="F12" s="512"/>
      <c r="G12" s="514"/>
      <c r="H12" s="520" t="s">
        <v>46</v>
      </c>
      <c r="I12" s="520" t="s">
        <v>5</v>
      </c>
      <c r="J12" s="512" t="s">
        <v>47</v>
      </c>
      <c r="K12" s="51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7"/>
      <c r="C13" s="510"/>
      <c r="D13" s="512"/>
      <c r="E13" s="512"/>
      <c r="F13" s="512"/>
      <c r="G13" s="515"/>
      <c r="H13" s="521"/>
      <c r="I13" s="521"/>
      <c r="J13" s="512"/>
      <c r="K13" s="51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11M-200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4609000</v>
      </c>
      <c r="H17" s="42">
        <f t="shared" ca="1" si="1"/>
        <v>0</v>
      </c>
      <c r="I17" s="42">
        <f t="shared" ca="1" si="2"/>
        <v>4609000</v>
      </c>
      <c r="J17" s="42">
        <f t="shared" ca="1" si="3"/>
        <v>0</v>
      </c>
      <c r="K17" s="43">
        <f t="shared" ca="1" si="0"/>
        <v>4609000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12M-200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13</v>
      </c>
      <c r="G18" s="41">
        <f ca="1">IF(ISERROR(OFFSET('HARGA SATUAN'!$I$6,MATCH(C18,'HARGA SATUAN'!$C$7:$C$1492,0),0)),"",OFFSET('HARGA SATUAN'!$I$6,MATCH(C18,'HARGA SATUAN'!$C$7:$C$1492,0),0))</f>
        <v>5800000</v>
      </c>
      <c r="H18" s="42">
        <f t="shared" ca="1" si="1"/>
        <v>0</v>
      </c>
      <c r="I18" s="42">
        <f t="shared" ca="1" si="2"/>
        <v>75400000</v>
      </c>
      <c r="J18" s="42">
        <f t="shared" ca="1" si="3"/>
        <v>0</v>
      </c>
      <c r="K18" s="43">
        <f t="shared" ca="1" si="0"/>
        <v>75400000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6"/>
        <v>4</v>
      </c>
      <c r="C19" s="109" t="str">
        <f t="shared" ca="1" si="4"/>
        <v>Tiang Beton 12M-350 daN+E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Btg</v>
      </c>
      <c r="F19" s="101">
        <f t="shared" ca="1" si="5"/>
        <v>3</v>
      </c>
      <c r="G19" s="41">
        <f ca="1">IF(ISERROR(OFFSET('HARGA SATUAN'!$I$6,MATCH(C19,'HARGA SATUAN'!$C$7:$C$1492,0),0)),"",OFFSET('HARGA SATUAN'!$I$6,MATCH(C19,'HARGA SATUAN'!$C$7:$C$1492,0),0))</f>
        <v>6074400</v>
      </c>
      <c r="H19" s="42">
        <f t="shared" ca="1" si="1"/>
        <v>0</v>
      </c>
      <c r="I19" s="42">
        <f t="shared" ca="1" si="2"/>
        <v>18223200</v>
      </c>
      <c r="J19" s="42">
        <f t="shared" ca="1" si="3"/>
        <v>0</v>
      </c>
      <c r="K19" s="43">
        <f t="shared" ca="1" si="0"/>
        <v>18223200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0" t="s">
        <v>1008</v>
      </c>
      <c r="D38" s="530"/>
      <c r="E38" s="530"/>
      <c r="F38" s="530"/>
      <c r="G38" s="77" t="s">
        <v>9</v>
      </c>
      <c r="H38" s="55">
        <f ca="1">SUM(H14:H37)</f>
        <v>0</v>
      </c>
      <c r="I38" s="55">
        <f ca="1">SUM(I14:I37)</f>
        <v>101614800</v>
      </c>
      <c r="J38" s="55">
        <f ca="1">SUM(J14:J37)</f>
        <v>0</v>
      </c>
      <c r="K38" s="55">
        <f ca="1">SUM(K14:K37)</f>
        <v>101614800</v>
      </c>
      <c r="L38" s="44"/>
      <c r="R38" s="99"/>
      <c r="S38" s="99"/>
      <c r="T38" s="99"/>
    </row>
    <row r="39" spans="1:20" s="36" customFormat="1">
      <c r="A39" s="30"/>
      <c r="B39" s="56"/>
      <c r="C39" s="531" t="s">
        <v>462</v>
      </c>
      <c r="D39" s="531"/>
      <c r="E39" s="531"/>
      <c r="F39" s="531"/>
      <c r="G39" s="59" t="s">
        <v>9</v>
      </c>
      <c r="H39" s="60">
        <f ca="1">H38*0.1</f>
        <v>0</v>
      </c>
      <c r="I39" s="60">
        <f ca="1">I38*0.1</f>
        <v>10161480</v>
      </c>
      <c r="J39" s="60">
        <f ca="1">J38*0.1</f>
        <v>0</v>
      </c>
      <c r="K39" s="60">
        <f ca="1">K38*0.1</f>
        <v>10161480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2" t="s">
        <v>463</v>
      </c>
      <c r="D40" s="522"/>
      <c r="E40" s="522"/>
      <c r="F40" s="522"/>
      <c r="G40" s="61" t="s">
        <v>9</v>
      </c>
      <c r="H40" s="78">
        <f ca="1">SUM(H38:H39)</f>
        <v>0</v>
      </c>
      <c r="I40" s="78">
        <f ca="1">SUM(I38:I39)</f>
        <v>111776280</v>
      </c>
      <c r="J40" s="61">
        <f ca="1">SUM(J38:J39)</f>
        <v>0</v>
      </c>
      <c r="K40" s="61">
        <f ca="1">SUM(K38:K39)</f>
        <v>111776280</v>
      </c>
      <c r="L40" s="44"/>
      <c r="R40" s="99"/>
      <c r="S40" s="99"/>
      <c r="T40" s="99"/>
    </row>
    <row r="41" spans="1:20" s="36" customFormat="1">
      <c r="A41" s="30"/>
      <c r="B41" s="523" t="e">
        <f ca="1">"Terbilang : ( "&amp;L42&amp;" Rupiah )"</f>
        <v>#NAME?</v>
      </c>
      <c r="C41" s="524"/>
      <c r="D41" s="524"/>
      <c r="E41" s="524"/>
      <c r="F41" s="524"/>
      <c r="G41" s="524"/>
      <c r="H41" s="524"/>
      <c r="I41" s="524"/>
      <c r="J41" s="524"/>
      <c r="K41" s="525"/>
      <c r="L41" s="44"/>
      <c r="R41" s="58"/>
      <c r="S41" s="58"/>
      <c r="T41" s="58"/>
    </row>
    <row r="42" spans="1:20" s="36" customFormat="1">
      <c r="A42" s="30"/>
      <c r="B42" s="526"/>
      <c r="C42" s="527"/>
      <c r="D42" s="527"/>
      <c r="E42" s="527"/>
      <c r="F42" s="527"/>
      <c r="G42" s="527"/>
      <c r="H42" s="527"/>
      <c r="I42" s="527"/>
      <c r="J42" s="527"/>
      <c r="K42" s="52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7"/>
      <c r="I45" s="517"/>
      <c r="J45" s="518"/>
      <c r="K45" s="51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7"/>
      <c r="I46" s="517"/>
      <c r="J46" s="518"/>
      <c r="K46" s="51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7"/>
      <c r="I47" s="517"/>
      <c r="J47" s="518"/>
      <c r="K47" s="51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7"/>
      <c r="I52" s="517"/>
      <c r="J52" s="518"/>
      <c r="K52" s="51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SUMIFS(RAB!$F$14:$F$453,RAB!$C$14:$C$453,'REKAP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SUMIFS(RAB!$F$14:$F$453,RAB!$C$14:$C$453,'REKAP TIANG'!C58)</f>
        <v>1</v>
      </c>
      <c r="E58" s="24">
        <f t="shared" ca="1" si="12"/>
        <v>1</v>
      </c>
      <c r="F58" s="24">
        <f ca="1">IF(D58=0,0,SUM($E$56:E58))</f>
        <v>2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SUMIFS(RAB!$F$14:$F$453,RAB!$C$14:$C$453,'REKAP TIANG'!C59)</f>
        <v>13</v>
      </c>
      <c r="E59" s="24">
        <f t="shared" ca="1" si="12"/>
        <v>1</v>
      </c>
      <c r="F59" s="24">
        <f ca="1">IF(D59=0,0,SUM($E$56:E59))</f>
        <v>3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SUMIFS(RAB!$F$14:$F$453,RAB!$C$14:$C$453,'REKAP TIANG'!C60)</f>
        <v>3</v>
      </c>
      <c r="E60" s="24">
        <f t="shared" ca="1" si="12"/>
        <v>1</v>
      </c>
      <c r="F60" s="24">
        <f ca="1">IF(D60=0,0,SUM($E$56:E60))</f>
        <v>4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SUMIFS(RAB!$F$14:$F$453,RAB!$C$14:$C$453,'REKAP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SUMIFS(RAB!$F$14:$F$453,RAB!$C$14:$C$453,'REKAP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SUMIFS(RAB!$F$14:$F$453,RAB!$C$14:$C$453,'REKAP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SUMIFS(RAB!$F$14:$F$453,RAB!$C$14:$C$453,'REKAP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SUMIFS(RAB!$F$14:$F$453,RAB!$C$14:$C$453,'REKAP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SUMIFS(RAB!$F$14:$F$453,RAB!$C$14:$C$453,'REKAP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SUMIFS(RAB!$F$14:$F$453,RAB!$C$14:$C$453,'REKAP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SUMIFS(RAB!$F$14:$F$453,RAB!$C$14:$C$453,'REKAP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SUMIFS(RAB!$F$14:$F$453,RAB!$C$14:$C$453,'REKAP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SUMIFS(RAB!$F$14:$F$453,RAB!$C$14:$C$453,'REKAP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SUMIFS(RAB!$F$14:$F$453,RAB!$C$14:$C$453,'REKAP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SUMIFS(RAB!$F$14:$F$453,RAB!$C$14:$C$453,'REKAP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SUMIFS(RAB!$F$14:$F$453,RAB!$C$14:$C$453,'REKAP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SUMIFS(RAB!$F$14:$F$453,RAB!$C$14:$C$453,'REKAP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SUMIFS(RAB!$F$14:$F$453,RAB!$C$14:$C$453,'REKAP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SUMIFS(RAB!$F$14:$F$453,RAB!$C$14:$C$453,'REKAP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10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10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05" t="s">
        <v>1034</v>
      </c>
      <c r="C4" s="505"/>
      <c r="D4" s="505"/>
      <c r="E4" s="505"/>
      <c r="F4" s="505"/>
      <c r="G4" s="505"/>
      <c r="H4" s="505"/>
      <c r="I4" s="505"/>
      <c r="J4" s="505"/>
      <c r="K4" s="50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9" t="str">
        <f>RAB!G6</f>
        <v>AGR SITI MUKAROMAH</v>
      </c>
      <c r="H6" s="529"/>
      <c r="I6" s="529"/>
      <c r="J6" s="529"/>
      <c r="K6" s="52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SAMBIROTO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06" t="s">
        <v>0</v>
      </c>
      <c r="C11" s="508" t="s">
        <v>1</v>
      </c>
      <c r="D11" s="511" t="s">
        <v>42</v>
      </c>
      <c r="E11" s="511" t="s">
        <v>43</v>
      </c>
      <c r="F11" s="511" t="s">
        <v>2</v>
      </c>
      <c r="G11" s="513" t="s">
        <v>41</v>
      </c>
      <c r="H11" s="511" t="s">
        <v>3</v>
      </c>
      <c r="I11" s="511"/>
      <c r="J11" s="511"/>
      <c r="K11" s="516"/>
      <c r="M11" s="33"/>
      <c r="N11" s="33"/>
      <c r="O11" s="33"/>
      <c r="P11" s="33"/>
      <c r="R11" s="34"/>
      <c r="S11" s="74"/>
      <c r="T11" s="74"/>
    </row>
    <row r="12" spans="1:21" ht="15" customHeight="1">
      <c r="B12" s="507"/>
      <c r="C12" s="509"/>
      <c r="D12" s="512"/>
      <c r="E12" s="512"/>
      <c r="F12" s="512"/>
      <c r="G12" s="514"/>
      <c r="H12" s="520" t="s">
        <v>46</v>
      </c>
      <c r="I12" s="520" t="s">
        <v>5</v>
      </c>
      <c r="J12" s="512" t="s">
        <v>47</v>
      </c>
      <c r="K12" s="51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07"/>
      <c r="C13" s="510"/>
      <c r="D13" s="512"/>
      <c r="E13" s="512"/>
      <c r="F13" s="512"/>
      <c r="G13" s="515"/>
      <c r="H13" s="521"/>
      <c r="I13" s="521"/>
      <c r="J13" s="512"/>
      <c r="K13" s="51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147 kVA MCCB 225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8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6786000</v>
      </c>
      <c r="I19" s="42">
        <f t="shared" ca="1" si="2"/>
        <v>0</v>
      </c>
      <c r="J19" s="42">
        <f t="shared" ca="1" si="3"/>
        <v>0</v>
      </c>
      <c r="K19" s="43">
        <f t="shared" ca="1" si="0"/>
        <v>6786000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96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22646400</v>
      </c>
      <c r="I21" s="42">
        <f t="shared" ca="1" si="2"/>
        <v>0</v>
      </c>
      <c r="J21" s="42">
        <f t="shared" ca="1" si="3"/>
        <v>0</v>
      </c>
      <c r="K21" s="43">
        <f t="shared" ca="1" si="0"/>
        <v>22646400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36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15480000</v>
      </c>
      <c r="I22" s="42">
        <f t="shared" ca="1" si="2"/>
        <v>0</v>
      </c>
      <c r="J22" s="42">
        <f t="shared" ca="1" si="3"/>
        <v>0</v>
      </c>
      <c r="K22" s="43">
        <f t="shared" ca="1" si="0"/>
        <v>15480000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150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5100</v>
      </c>
      <c r="G24" s="41">
        <f ca="1">IF(ISERROR(OFFSET('HARGA SATUAN'!$I$6,MATCH(C24,'HARGA SATUAN'!$C$7:$C$1492,0),0)),"",OFFSET('HARGA SATUAN'!$I$6,MATCH(C24,'HARGA SATUAN'!$C$7:$C$1492,0),0))</f>
        <v>25300</v>
      </c>
      <c r="H24" s="42">
        <f t="shared" ca="1" si="1"/>
        <v>129030000</v>
      </c>
      <c r="I24" s="42">
        <f t="shared" ca="1" si="2"/>
        <v>0</v>
      </c>
      <c r="J24" s="42">
        <f t="shared" ca="1" si="3"/>
        <v>0</v>
      </c>
      <c r="K24" s="43">
        <f t="shared" ca="1" si="0"/>
        <v>129030000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AAAC 240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12</v>
      </c>
      <c r="G25" s="41">
        <f ca="1">IF(ISERROR(OFFSET('HARGA SATUAN'!$I$6,MATCH(C25,'HARGA SATUAN'!$C$7:$C$1492,0),0)),"",OFFSET('HARGA SATUAN'!$I$6,MATCH(C25,'HARGA SATUAN'!$C$7:$C$1492,0),0))</f>
        <v>36900</v>
      </c>
      <c r="H25" s="42">
        <f t="shared" ca="1" si="1"/>
        <v>442800</v>
      </c>
      <c r="I25" s="42">
        <f t="shared" ca="1" si="2"/>
        <v>0</v>
      </c>
      <c r="J25" s="42">
        <f t="shared" ca="1" si="3"/>
        <v>0</v>
      </c>
      <c r="K25" s="43">
        <f t="shared" ca="1" si="0"/>
        <v>442800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NFA2X-T 3x70+1x70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3</v>
      </c>
      <c r="G26" s="41">
        <f ca="1">IF(ISERROR(OFFSET('HARGA SATUAN'!$I$6,MATCH(C26,'HARGA SATUAN'!$C$7:$C$1492,0),0)),"",OFFSET('HARGA SATUAN'!$I$6,MATCH(C26,'HARGA SATUAN'!$C$7:$C$1492,0),0))</f>
        <v>54500</v>
      </c>
      <c r="H26" s="42">
        <f t="shared" ca="1" si="1"/>
        <v>163500</v>
      </c>
      <c r="I26" s="42">
        <f t="shared" ca="1" si="2"/>
        <v>0</v>
      </c>
      <c r="J26" s="42">
        <f t="shared" ca="1" si="3"/>
        <v>0</v>
      </c>
      <c r="K26" s="43">
        <f t="shared" ca="1" si="0"/>
        <v>163500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Kabel NYY 1 x 95 mm²</v>
      </c>
      <c r="D27" s="101" t="str">
        <f ca="1">IF(ISERROR(OFFSET('HARGA SATUAN'!$D$6,MATCH(C27,'HARGA SATUAN'!$C$7:$C$1492,0),0)),"",OFFSET('HARGA SATUAN'!$D$6,MATCH(C27,'HARGA SATUAN'!$C$7:$C$1492,0),0))</f>
        <v>MDU-KD</v>
      </c>
      <c r="E27" s="101" t="str">
        <f ca="1">IF(B27="+","Unit",IF(ISERROR(OFFSET('HARGA SATUAN'!$E$6,MATCH(C27,'HARGA SATUAN'!$C$7:$C$1492,0),0)),"",OFFSET('HARGA SATUAN'!$E$6,MATCH(C27,'HARGA SATUAN'!$C$7:$C$1492,0),0)))</f>
        <v>Mtr</v>
      </c>
      <c r="F27" s="101">
        <f t="shared" ca="1" si="6"/>
        <v>44</v>
      </c>
      <c r="G27" s="41">
        <f ca="1">IF(ISERROR(OFFSET('HARGA SATUAN'!$I$6,MATCH(C27,'HARGA SATUAN'!$C$7:$C$1492,0),0)),"",OFFSET('HARGA SATUAN'!$I$6,MATCH(C27,'HARGA SATUAN'!$C$7:$C$1492,0),0))</f>
        <v>140200</v>
      </c>
      <c r="H27" s="42">
        <f t="shared" ca="1" si="1"/>
        <v>6168800</v>
      </c>
      <c r="I27" s="42">
        <f t="shared" ca="1" si="2"/>
        <v>0</v>
      </c>
      <c r="J27" s="42">
        <f t="shared" ca="1" si="3"/>
        <v>0</v>
      </c>
      <c r="K27" s="43">
        <f t="shared" ca="1" si="0"/>
        <v>6168800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0" t="s">
        <v>1008</v>
      </c>
      <c r="D168" s="530"/>
      <c r="E168" s="530"/>
      <c r="F168" s="530"/>
      <c r="G168" s="77" t="s">
        <v>9</v>
      </c>
      <c r="H168" s="55">
        <f ca="1">SUM(H14:H167)</f>
        <v>277177500</v>
      </c>
      <c r="I168" s="55">
        <f ca="1">SUM(I14:I167)</f>
        <v>0</v>
      </c>
      <c r="J168" s="55">
        <f ca="1">SUM(J14:J167)</f>
        <v>0</v>
      </c>
      <c r="K168" s="55">
        <f ca="1">SUM(K14:K167)</f>
        <v>277177500</v>
      </c>
      <c r="L168" s="44"/>
      <c r="R168" s="99"/>
      <c r="S168" s="99"/>
      <c r="T168" s="99"/>
    </row>
    <row r="169" spans="1:20" s="36" customFormat="1">
      <c r="A169" s="30"/>
      <c r="B169" s="56"/>
      <c r="C169" s="531" t="s">
        <v>462</v>
      </c>
      <c r="D169" s="531"/>
      <c r="E169" s="531"/>
      <c r="F169" s="531"/>
      <c r="G169" s="59" t="s">
        <v>9</v>
      </c>
      <c r="H169" s="60">
        <f ca="1">H168*0.1</f>
        <v>27717750</v>
      </c>
      <c r="I169" s="60">
        <f ca="1">I168*0.1</f>
        <v>0</v>
      </c>
      <c r="J169" s="60">
        <f ca="1">J168*0.1</f>
        <v>0</v>
      </c>
      <c r="K169" s="60">
        <f ca="1">K168*0.1</f>
        <v>27717750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2" t="s">
        <v>463</v>
      </c>
      <c r="D170" s="522"/>
      <c r="E170" s="522"/>
      <c r="F170" s="522"/>
      <c r="G170" s="61" t="s">
        <v>9</v>
      </c>
      <c r="H170" s="78">
        <f ca="1">SUM(H168:H169)</f>
        <v>304895250</v>
      </c>
      <c r="I170" s="78">
        <f ca="1">SUM(I168:I169)</f>
        <v>0</v>
      </c>
      <c r="J170" s="61">
        <f ca="1">SUM(J168:J169)</f>
        <v>0</v>
      </c>
      <c r="K170" s="61">
        <f ca="1">SUM(K168:K169)</f>
        <v>304895250</v>
      </c>
      <c r="L170" s="44"/>
      <c r="R170" s="99"/>
      <c r="S170" s="99"/>
      <c r="T170" s="99"/>
    </row>
    <row r="171" spans="1:20" s="36" customFormat="1">
      <c r="A171" s="30"/>
      <c r="B171" s="523" t="e">
        <f ca="1">"Terbilang : ( "&amp;L172&amp;" Rupiah )"</f>
        <v>#NAME?</v>
      </c>
      <c r="C171" s="524"/>
      <c r="D171" s="524"/>
      <c r="E171" s="524"/>
      <c r="F171" s="524"/>
      <c r="G171" s="524"/>
      <c r="H171" s="524"/>
      <c r="I171" s="524"/>
      <c r="J171" s="524"/>
      <c r="K171" s="525"/>
      <c r="L171" s="44"/>
      <c r="R171" s="58"/>
      <c r="S171" s="58"/>
      <c r="T171" s="58"/>
    </row>
    <row r="172" spans="1:20" s="36" customFormat="1">
      <c r="A172" s="30"/>
      <c r="B172" s="526"/>
      <c r="C172" s="527"/>
      <c r="D172" s="527"/>
      <c r="E172" s="527"/>
      <c r="F172" s="527"/>
      <c r="G172" s="527"/>
      <c r="H172" s="527"/>
      <c r="I172" s="527"/>
      <c r="J172" s="527"/>
      <c r="K172" s="52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7"/>
      <c r="I175" s="517"/>
      <c r="J175" s="518"/>
      <c r="K175" s="51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7"/>
      <c r="I176" s="517"/>
      <c r="J176" s="518"/>
      <c r="K176" s="51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7"/>
      <c r="I177" s="517"/>
      <c r="J177" s="518"/>
      <c r="K177" s="51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7"/>
      <c r="I182" s="517"/>
      <c r="J182" s="518"/>
      <c r="K182" s="51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SUMIFS(RAB!$F$14:$F$453,RAB!$C$14:$C$453,C224)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SUMIFS(RAB!$F$14:$F$453,RAB!$C$14:$C$453,C225)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SUMIFS(RAB!$F$14:$F$453,RAB!$C$14:$C$453,C226)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SUMIFS(RAB!$F$14:$F$453,RAB!$C$14:$C$453,C227)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SUMIFS(RAB!$F$14:$F$453,RAB!$C$14:$C$453,C228)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SUMIFS(RAB!$F$14:$F$453,RAB!$C$14:$C$453,C229)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SUMIFS(RAB!$F$14:$F$453,RAB!$C$14:$C$453,C230)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SUMIFS(RAB!$F$14:$F$453,RAB!$C$14:$C$453,C231)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SUMIFS(RAB!$F$14:$F$453,RAB!$C$14:$C$453,C232)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SUMIFS(RAB!$F$14:$F$453,RAB!$C$14:$C$453,C233)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SUMIFS(RAB!$F$14:$F$453,RAB!$C$14:$C$453,C234)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SUMIFS(RAB!$F$14:$F$453,RAB!$C$14:$C$453,C235)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SUMIFS(RAB!$F$14:$F$453,RAB!$C$14:$C$453,C236)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SUMIFS(RAB!$F$14:$F$453,RAB!$C$14:$C$453,C237)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SUMIFS(RAB!$F$14:$F$453,RAB!$C$14:$C$453,C238)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SUMIFS(RAB!$F$14:$F$453,RAB!$C$14:$C$453,C239)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SUMIFS(RAB!$F$14:$F$453,RAB!$C$14:$C$453,C240)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SUMIFS(RAB!$F$14:$F$453,RAB!$C$14:$C$453,C241)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SUMIFS(RAB!$F$14:$F$453,RAB!$C$14:$C$453,C242)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SUMIFS(RAB!$F$14:$F$453,RAB!$C$14:$C$453,C243)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SUMIFS(RAB!$F$14:$F$453,RAB!$C$14:$C$453,C244)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SUMIFS(RAB!$F$14:$F$453,RAB!$C$14:$C$453,C245)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SUMIFS(RAB!$F$14:$F$453,RAB!$C$14:$C$453,C246)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SUMIFS(RAB!$F$14:$F$453,RAB!$C$14:$C$453,C247)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SUMIFS(RAB!$F$14:$F$453,RAB!$C$14:$C$453,C248)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SUMIFS(RAB!$F$14:$F$453,RAB!$C$14:$C$453,C249)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SUMIFS(RAB!$F$14:$F$453,RAB!$C$14:$C$453,C250)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SUMIFS(RAB!$F$14:$F$453,RAB!$C$14:$C$453,C251)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SUMIFS(RAB!$F$14:$F$453,RAB!$C$14:$C$453,C252)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SUMIFS(RAB!$F$14:$F$453,RAB!$C$14:$C$453,C253)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SUMIFS(RAB!$F$14:$F$453,RAB!$C$14:$C$453,C254)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SUMIFS(RAB!$F$14:$F$453,RAB!$C$14:$C$453,C255)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SUMIFS(RAB!$F$14:$F$453,RAB!$C$14:$C$453,C256)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SUMIFS(RAB!$F$14:$F$453,RAB!$C$14:$C$453,C257)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SUMIFS(RAB!$F$14:$F$453,RAB!$C$14:$C$453,C258)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SUMIFS(RAB!$F$14:$F$453,RAB!$C$14:$C$453,C259)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SUMIFS(RAB!$F$14:$F$453,RAB!$C$14:$C$453,C260)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SUMIFS(RAB!$F$14:$F$453,RAB!$C$14:$C$453,C261)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SUMIFS(RAB!$F$14:$F$453,RAB!$C$14:$C$453,C262)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SUMIFS(RAB!$F$14:$F$453,RAB!$C$14:$C$453,C263)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SUMIFS(RAB!$F$14:$F$453,RAB!$C$14:$C$453,C264)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SUMIFS(RAB!$F$14:$F$453,RAB!$C$14:$C$453,C265)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SUMIFS(RAB!$F$14:$F$453,RAB!$C$14:$C$453,C266)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SUMIFS(RAB!$F$14:$F$453,RAB!$C$14:$C$453,C267)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SUMIFS(RAB!$F$14:$F$453,RAB!$C$14:$C$453,C268)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SUMIFS(RAB!$F$14:$F$453,RAB!$C$14:$C$453,C269)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SUMIFS(RAB!$F$14:$F$453,RAB!$C$14:$C$453,C270)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SUMIFS(RAB!$F$14:$F$453,RAB!$C$14:$C$453,C271)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SUMIFS(RAB!$F$14:$F$453,RAB!$C$14:$C$453,C272)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SUMIFS(RAB!$F$14:$F$453,RAB!$C$14:$C$453,C273)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SUMIFS(RAB!$F$14:$F$453,RAB!$C$14:$C$453,C274)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SUMIFS(RAB!$F$14:$F$453,RAB!$C$14:$C$453,C275)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SUMIFS(RAB!$F$14:$F$453,RAB!$C$14:$C$453,C276)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SUMIFS(RAB!$F$14:$F$453,RAB!$C$14:$C$453,C277)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SUMIFS(RAB!$F$14:$F$453,RAB!$C$14:$C$453,C278)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SUMIFS(RAB!$F$14:$F$453,RAB!$C$14:$C$453,C279)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SUMIFS(RAB!$F$14:$F$453,RAB!$C$14:$C$453,C280)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SUMIFS(RAB!$F$14:$F$453,RAB!$C$14:$C$453,C281)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SUMIFS(RAB!$F$14:$F$453,RAB!$C$14:$C$453,C282)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SUMIFS(RAB!$F$14:$F$453,RAB!$C$14:$C$453,C283)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SUMIFS(RAB!$F$14:$F$453,RAB!$C$14:$C$453,C284)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SUMIFS(RAB!$F$14:$F$453,RAB!$C$14:$C$453,C285)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SUMIFS(RAB!$F$14:$F$453,RAB!$C$14:$C$453,C286)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SUMIFS(RAB!$F$14:$F$453,RAB!$C$14:$C$453,C287)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SUMIFS(RAB!$F$14:$F$453,RAB!$C$14:$C$453,C288)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SUMIFS(RAB!$F$14:$F$453,RAB!$C$14:$C$453,C289)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SUMIFS(RAB!$F$14:$F$453,RAB!$C$14:$C$453,C290)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SUMIFS(RAB!$F$14:$F$453,RAB!$C$14:$C$453,C291)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SUMIFS(RAB!$F$14:$F$453,RAB!$C$14:$C$453,C292)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SUMIFS(RAB!$F$14:$F$453,RAB!$C$14:$C$453,C293)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SUMIFS(RAB!$F$14:$F$453,RAB!$C$14:$C$453,C294)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SUMIFS(RAB!$F$14:$F$453,RAB!$C$14:$C$453,C295)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SUMIFS(RAB!$F$14:$F$453,RAB!$C$14:$C$453,C296)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SUMIFS(RAB!$F$14:$F$453,RAB!$C$14:$C$453,C297)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SUMIFS(RAB!$F$14:$F$453,RAB!$C$14:$C$453,C298)</f>
        <v>1</v>
      </c>
      <c r="E298" s="24">
        <f t="shared" ca="1" si="22"/>
        <v>1</v>
      </c>
      <c r="F298" s="24">
        <f ca="1">IF(D298=0,0,SUM($E$223:E298))</f>
        <v>2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SUMIFS(RAB!$F$14:$F$453,RAB!$C$14:$C$453,C299)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SUMIFS(RAB!$F$14:$F$453,RAB!$C$14:$C$453,C300)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SUMIFS(RAB!$F$14:$F$453,RAB!$C$14:$C$453,C301)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SUMIFS(RAB!$F$14:$F$453,RAB!$C$14:$C$453,C302)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SUMIFS(RAB!$F$14:$F$453,RAB!$C$14:$C$453,C303)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SUMIFS(RAB!$F$14:$F$453,RAB!$C$14:$C$453,C304)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SUMIFS(RAB!$F$14:$F$453,RAB!$C$14:$C$453,C305)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SUMIFS(RAB!$F$14:$F$453,RAB!$C$14:$C$453,C306)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SUMIFS(RAB!$F$14:$F$453,RAB!$C$14:$C$453,C307)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SUMIFS(RAB!$F$14:$F$453,RAB!$C$14:$C$453,C308)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SUMIFS(RAB!$F$14:$F$453,RAB!$C$14:$C$453,C309)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SUMIFS(RAB!$F$14:$F$453,RAB!$C$14:$C$453,C310)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SUMIFS(RAB!$F$14:$F$453,RAB!$C$14:$C$453,C311)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SUMIFS(RAB!$F$14:$F$453,RAB!$C$14:$C$453,C312)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SUMIFS(RAB!$F$14:$F$453,RAB!$C$14:$C$453,C313)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SUMIFS(RAB!$F$14:$F$453,RAB!$C$14:$C$453,C314)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SUMIFS(RAB!$F$14:$F$453,RAB!$C$14:$C$453,C315)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SUMIFS(RAB!$F$14:$F$453,RAB!$C$14:$C$453,C316)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SUMIFS(RAB!$F$14:$F$453,RAB!$C$14:$C$453,C317)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SUMIFS(RAB!$F$14:$F$453,RAB!$C$14:$C$453,C318)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SUMIFS(RAB!$F$14:$F$453,RAB!$C$14:$C$453,C319)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SUMIFS(RAB!$F$14:$F$453,RAB!$C$14:$C$453,C320)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SUMIFS(RAB!$F$14:$F$453,RAB!$C$14:$C$453,C321)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SUMIFS(RAB!$F$14:$F$453,RAB!$C$14:$C$453,C322)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SUMIFS(RAB!$F$14:$F$453,RAB!$C$14:$C$453,C323)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SUMIFS(RAB!$F$14:$F$453,RAB!$C$14:$C$453,C324)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SUMIFS(RAB!$F$14:$F$453,RAB!$C$14:$C$453,C325)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SUMIFS(RAB!$F$14:$F$453,RAB!$C$14:$C$453,C326)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SUMIFS(RAB!$F$14:$F$453,RAB!$C$14:$C$453,C327)</f>
        <v>8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SUMIFS(RAB!$F$14:$F$453,RAB!$C$14:$C$453,C328)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SUMIFS(RAB!$F$14:$F$453,RAB!$C$14:$C$453,C329)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SUMIFS(RAB!$F$14:$F$453,RAB!$C$14:$C$453,C330)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SUMIFS(RAB!$F$14:$F$453,RAB!$C$14:$C$453,C331)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SUMIFS(RAB!$F$14:$F$453,RAB!$C$14:$C$453,C332)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SUMIFS(RAB!$F$14:$F$453,RAB!$C$14:$C$453,C333)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SUMIFS(RAB!$F$14:$F$453,RAB!$C$14:$C$453,C334)</f>
        <v>96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SUMIFS(RAB!$F$14:$F$453,RAB!$C$14:$C$453,C335)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SUMIFS(RAB!$F$14:$F$453,RAB!$C$14:$C$453,C336)</f>
        <v>36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SUMIFS(RAB!$F$14:$F$453,RAB!$C$14:$C$453,C337)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SUMIFS(RAB!$F$14:$F$453,RAB!$C$14:$C$453,C338)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SUMIFS(RAB!$F$14:$F$453,RAB!$C$14:$C$453,C339)</f>
        <v>5100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SUMIFS(RAB!$F$14:$F$453,RAB!$C$14:$C$453,C340)</f>
        <v>12</v>
      </c>
      <c r="E340" s="24">
        <f t="shared" ca="1" si="22"/>
        <v>1</v>
      </c>
      <c r="F340" s="24">
        <f ca="1">IF(D340=0,0,SUM($E$223:E340))</f>
        <v>10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SUMIFS(RAB!$F$14:$F$453,RAB!$C$14:$C$453,C341)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SUMIFS(RAB!$F$14:$F$453,RAB!$C$14:$C$453,C342)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SUMIFS(RAB!$F$14:$F$453,RAB!$C$14:$C$453,C343)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SUMIFS(RAB!$F$14:$F$453,RAB!$C$14:$C$453,C344)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SUMIFS(RAB!$F$14:$F$453,RAB!$C$14:$C$453,C345)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SUMIFS(RAB!$F$14:$F$453,RAB!$C$14:$C$453,C346)</f>
        <v>3</v>
      </c>
      <c r="E346" s="24">
        <f t="shared" ca="1" si="22"/>
        <v>1</v>
      </c>
      <c r="F346" s="24">
        <f ca="1">IF(D346=0,0,SUM($E$223:E346))</f>
        <v>11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SUMIFS(RAB!$F$14:$F$453,RAB!$C$14:$C$453,C347)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SUMIFS(RAB!$F$14:$F$453,RAB!$C$14:$C$453,C348)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SUMIFS(RAB!$F$14:$F$453,RAB!$C$14:$C$453,C349)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SUMIFS(RAB!$F$14:$F$453,RAB!$C$14:$C$453,C350)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SUMIFS(RAB!$F$14:$F$453,RAB!$C$14:$C$453,C351)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SUMIFS(RAB!$F$14:$F$453,RAB!$C$14:$C$453,C352)</f>
        <v>44</v>
      </c>
      <c r="E352" s="24">
        <f t="shared" ca="1" si="22"/>
        <v>1</v>
      </c>
      <c r="F352" s="24">
        <f ca="1">IF(D352=0,0,SUM($E$223:E352))</f>
        <v>12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SUMIFS(RAB!$F$14:$F$453,RAB!$C$14:$C$453,C353)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SUMIFS(RAB!$F$14:$F$453,RAB!$C$14:$C$453,C354)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SUMIFS(RAB!$F$14:$F$453,RAB!$C$14:$C$453,C355)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SUMIFS(RAB!$F$14:$F$453,RAB!$C$14:$C$453,C356)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SUMIFS(RAB!$F$14:$F$453,RAB!$C$14:$C$453,C357)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SUMIFS(RAB!$F$14:$F$453,RAB!$C$14:$C$453,C358)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SUMIFS(RAB!$F$14:$F$453,RAB!$C$14:$C$453,C359)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SUMIFS(RAB!$F$14:$F$453,RAB!$C$14:$C$453,C360)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SUMIFS(RAB!$F$14:$F$453,RAB!$C$14:$C$453,C361)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SUMIFS(RAB!$F$14:$F$453,RAB!$C$14:$C$453,C362)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SUMIFS(RAB!$F$14:$F$453,RAB!$C$14:$C$453,C363)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SUMIFS(RAB!$F$14:$F$453,RAB!$C$14:$C$453,C364)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SUMIFS(RAB!$F$14:$F$453,RAB!$C$14:$C$453,C365)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SUMIFS(RAB!$F$14:$F$453,RAB!$C$14:$C$453,C366)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SUMIFS(RAB!$F$14:$F$453,RAB!$C$14:$C$453,C367)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SUMIFS(RAB!$F$14:$F$453,RAB!$C$14:$C$453,C368)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SUMIFS(RAB!$F$14:$F$453,RAB!$C$14:$C$453,C369)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SUMIFS(RAB!$F$14:$F$453,RAB!$C$14:$C$453,C370)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SUMIFS(RAB!$F$14:$F$453,RAB!$C$14:$C$453,C371)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SUMIFS(RAB!$F$14:$F$453,RAB!$C$14:$C$453,C372)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SUMIFS(RAB!$F$14:$F$453,RAB!$C$14:$C$453,C373)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102" priority="5" operator="equal">
      <formula>0</formula>
    </cfRule>
  </conditionalFormatting>
  <conditionalFormatting sqref="C16:C165">
    <cfRule type="cellIs" dxfId="101" priority="4" stopIfTrue="1" operator="equal">
      <formula>0</formula>
    </cfRule>
  </conditionalFormatting>
  <conditionalFormatting sqref="C16:E165">
    <cfRule type="cellIs" dxfId="100" priority="1" operator="equal">
      <formula>0</formula>
    </cfRule>
  </conditionalFormatting>
  <conditionalFormatting sqref="D224:F373">
    <cfRule type="cellIs" dxfId="99" priority="8" operator="equal">
      <formula>0</formula>
    </cfRule>
  </conditionalFormatting>
  <conditionalFormatting sqref="E1:E3 G1:G115 E6:E15 H12:I12 N13 F14:F15 H14:K115 E166:K166 G166:G223 E167:F167 H167:K167">
    <cfRule type="cellIs" dxfId="98" priority="43" stopIfTrue="1" operator="equal">
      <formula>0</formula>
    </cfRule>
  </conditionalFormatting>
  <conditionalFormatting sqref="E171:E65536">
    <cfRule type="cellIs" dxfId="97" priority="9" stopIfTrue="1" operator="equal">
      <formula>0</formula>
    </cfRule>
  </conditionalFormatting>
  <conditionalFormatting sqref="G224">
    <cfRule type="cellIs" dxfId="96" priority="10" operator="equal">
      <formula>0</formula>
    </cfRule>
  </conditionalFormatting>
  <conditionalFormatting sqref="G225:G65536">
    <cfRule type="cellIs" dxfId="95" priority="14" stopIfTrue="1" operator="equal">
      <formula>0</formula>
    </cfRule>
  </conditionalFormatting>
  <conditionalFormatting sqref="R14:T166 G116:K165">
    <cfRule type="cellIs" dxfId="9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5"/>
    </row>
    <row r="4" spans="4:4" ht="57" customHeight="1">
      <c r="D4" s="455">
        <v>3</v>
      </c>
    </row>
    <row r="5" spans="4:4" ht="57" customHeight="1">
      <c r="D5" s="45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71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4" sqref="C139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3" t="s">
        <v>41</v>
      </c>
      <c r="C2" s="53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4" t="s">
        <v>23</v>
      </c>
      <c r="C4" s="535" t="s">
        <v>1012</v>
      </c>
      <c r="D4" s="535" t="s">
        <v>42</v>
      </c>
      <c r="E4" s="534" t="s">
        <v>43</v>
      </c>
      <c r="F4" s="108" t="s">
        <v>1609</v>
      </c>
      <c r="G4" s="108" t="s">
        <v>1608</v>
      </c>
      <c r="H4" s="53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4"/>
      <c r="C5" s="535"/>
      <c r="D5" s="535"/>
      <c r="E5" s="534"/>
      <c r="F5" s="93"/>
      <c r="G5" s="93"/>
      <c r="H5" s="53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2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2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3">
        <v>2740</v>
      </c>
      <c r="G1433" s="48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4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4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4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4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4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93" priority="138" operator="equal">
      <formula>0</formula>
    </cfRule>
  </conditionalFormatting>
  <conditionalFormatting sqref="B8:C135">
    <cfRule type="cellIs" dxfId="92" priority="51" operator="equal">
      <formula>0</formula>
    </cfRule>
  </conditionalFormatting>
  <conditionalFormatting sqref="B150:G1493">
    <cfRule type="cellIs" dxfId="91" priority="1" operator="equal">
      <formula>0</formula>
    </cfRule>
  </conditionalFormatting>
  <conditionalFormatting sqref="C143:G149">
    <cfRule type="cellIs" dxfId="90" priority="5" operator="equal">
      <formula>0</formula>
    </cfRule>
  </conditionalFormatting>
  <conditionalFormatting sqref="D9:G142">
    <cfRule type="cellIs" dxfId="89" priority="11" operator="equal">
      <formula>0</formula>
    </cfRule>
  </conditionalFormatting>
  <conditionalFormatting sqref="D1:IV5 A1:C7 D6:K6 H1455:IV1457 H1458:XFD1485 H1486:H1493 I1486:XFD1494 A1494:H1494 A1495:XFD65536">
    <cfRule type="cellIs" dxfId="88" priority="163" operator="equal">
      <formula>0</formula>
    </cfRule>
  </conditionalFormatting>
  <conditionalFormatting sqref="D7:IV8 C136:C142 B136:B149">
    <cfRule type="cellIs" dxfId="87" priority="62" operator="equal">
      <formula>0</formula>
    </cfRule>
  </conditionalFormatting>
  <conditionalFormatting sqref="H9:H1418">
    <cfRule type="cellIs" dxfId="86" priority="129" operator="equal">
      <formula>0</formula>
    </cfRule>
  </conditionalFormatting>
  <conditionalFormatting sqref="H1419:I1454">
    <cfRule type="cellIs" dxfId="85" priority="128" operator="equal">
      <formula>0</formula>
    </cfRule>
  </conditionalFormatting>
  <conditionalFormatting sqref="I108:I1418">
    <cfRule type="cellIs" dxfId="84" priority="125" operator="equal">
      <formula>0</formula>
    </cfRule>
  </conditionalFormatting>
  <conditionalFormatting sqref="J108:IV1454">
    <cfRule type="cellIs" dxfId="83" priority="139" operator="equal">
      <formula>0</formula>
    </cfRule>
  </conditionalFormatting>
  <conditionalFormatting sqref="M6:IV6">
    <cfRule type="cellIs" dxfId="82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7" t="s">
        <v>1454</v>
      </c>
      <c r="C2" s="567"/>
      <c r="D2" s="567"/>
      <c r="E2" s="56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2" t="s">
        <v>1532</v>
      </c>
      <c r="C4" s="573"/>
      <c r="D4" s="573"/>
      <c r="E4" s="574"/>
      <c r="F4" s="437"/>
      <c r="G4" s="437"/>
      <c r="H4" s="438"/>
      <c r="I4" s="536" t="s">
        <v>1533</v>
      </c>
      <c r="J4" s="537"/>
      <c r="K4" s="537"/>
      <c r="L4" s="538"/>
    </row>
    <row r="5" spans="1:12" ht="34.5" customHeight="1">
      <c r="A5" s="204"/>
      <c r="B5" s="440" t="s">
        <v>1379</v>
      </c>
      <c r="C5" s="277" t="s">
        <v>9</v>
      </c>
      <c r="D5" s="568" t="str">
        <f>DATA!D14</f>
        <v>AGR SITI MUKAROMAH</v>
      </c>
      <c r="E5" s="569"/>
      <c r="F5" s="208"/>
      <c r="G5" s="208"/>
      <c r="I5" s="441" t="s">
        <v>1379</v>
      </c>
      <c r="J5" s="277" t="s">
        <v>9</v>
      </c>
      <c r="K5" s="539" t="str">
        <f>D5</f>
        <v>AGR SITI MUKAROMAH</v>
      </c>
      <c r="L5" s="540"/>
    </row>
    <row r="6" spans="1:12" ht="31.5" customHeight="1">
      <c r="A6" s="204"/>
      <c r="B6" s="440" t="s">
        <v>1529</v>
      </c>
      <c r="C6" s="277" t="s">
        <v>9</v>
      </c>
      <c r="D6" s="577">
        <f>DATA!D17*1000</f>
        <v>0</v>
      </c>
      <c r="E6" s="578"/>
      <c r="F6" s="208"/>
      <c r="G6" s="208"/>
      <c r="I6" s="441" t="s">
        <v>1530</v>
      </c>
      <c r="J6" s="277" t="s">
        <v>9</v>
      </c>
      <c r="K6" s="541">
        <f>DATA!D20*1000</f>
        <v>147000</v>
      </c>
      <c r="L6" s="542"/>
    </row>
    <row r="7" spans="1:12" ht="30.75" customHeight="1">
      <c r="A7" s="204"/>
      <c r="B7" s="440" t="s">
        <v>1441</v>
      </c>
      <c r="C7" s="277" t="s">
        <v>9</v>
      </c>
      <c r="D7" s="575">
        <f>DATA!D18</f>
        <v>1</v>
      </c>
      <c r="E7" s="576"/>
      <c r="F7" s="439" t="s">
        <v>1453</v>
      </c>
      <c r="I7" s="441" t="s">
        <v>1441</v>
      </c>
      <c r="J7" s="277" t="s">
        <v>9</v>
      </c>
      <c r="K7" s="543">
        <f>DATA!D21</f>
        <v>3</v>
      </c>
      <c r="L7" s="544"/>
    </row>
    <row r="8" spans="1:12" ht="51" customHeight="1">
      <c r="A8" s="204"/>
      <c r="B8" s="440" t="s">
        <v>1442</v>
      </c>
      <c r="C8" s="277" t="s">
        <v>9</v>
      </c>
      <c r="D8" s="575">
        <f>DATA!D19</f>
        <v>220</v>
      </c>
      <c r="E8" s="576"/>
      <c r="F8" s="439" t="s">
        <v>1453</v>
      </c>
      <c r="G8" s="434">
        <v>220</v>
      </c>
      <c r="I8" s="441" t="s">
        <v>1442</v>
      </c>
      <c r="J8" s="277" t="s">
        <v>9</v>
      </c>
      <c r="K8" s="543">
        <f>DATA!D22</f>
        <v>380</v>
      </c>
      <c r="L8" s="544"/>
    </row>
    <row r="9" spans="1:12" ht="30" customHeight="1" thickBot="1">
      <c r="A9" s="204"/>
      <c r="B9" s="446" t="s">
        <v>1541</v>
      </c>
      <c r="C9" s="436" t="s">
        <v>9</v>
      </c>
      <c r="D9" s="570">
        <f>IF(D7=1,D6/(380/3^0.5),(D6/(380*3^0.5)))</f>
        <v>0</v>
      </c>
      <c r="E9" s="571"/>
      <c r="F9" s="207"/>
      <c r="G9" s="435">
        <v>380</v>
      </c>
      <c r="I9" s="447" t="s">
        <v>1541</v>
      </c>
      <c r="J9" s="436" t="s">
        <v>9</v>
      </c>
      <c r="K9" s="547">
        <f>IF(K7=1,K6/(380/3^0.5),(K6/(380*3^0.5)))</f>
        <v>223.34339360756579</v>
      </c>
      <c r="L9" s="548"/>
    </row>
    <row r="10" spans="1:12" ht="24.75" customHeight="1">
      <c r="B10" s="448"/>
      <c r="C10" s="445"/>
      <c r="D10" s="449"/>
      <c r="E10" s="449"/>
      <c r="F10" s="207"/>
      <c r="G10" s="435"/>
      <c r="I10" s="448"/>
      <c r="J10" s="445"/>
      <c r="K10" s="449"/>
      <c r="L10" s="449"/>
    </row>
    <row r="11" spans="1:12" ht="16.5" thickBot="1">
      <c r="B11" s="442" t="s">
        <v>1542</v>
      </c>
      <c r="I11" s="442" t="s">
        <v>1536</v>
      </c>
    </row>
    <row r="12" spans="1:12" ht="34.5" customHeight="1">
      <c r="A12" s="204"/>
      <c r="B12" s="470" t="s">
        <v>1534</v>
      </c>
      <c r="C12" s="464" t="s">
        <v>9</v>
      </c>
      <c r="D12" s="579"/>
      <c r="E12" s="580"/>
      <c r="F12" s="208"/>
      <c r="G12" s="208"/>
      <c r="I12" s="463" t="s">
        <v>1534</v>
      </c>
      <c r="J12" s="464" t="s">
        <v>9</v>
      </c>
      <c r="K12" s="579"/>
      <c r="L12" s="580"/>
    </row>
    <row r="13" spans="1:12" ht="31.5" customHeight="1">
      <c r="A13" s="204"/>
      <c r="B13" s="471" t="s">
        <v>1380</v>
      </c>
      <c r="C13" s="451" t="s">
        <v>9</v>
      </c>
      <c r="D13" s="545"/>
      <c r="E13" s="546"/>
      <c r="F13" s="208"/>
      <c r="G13" s="208"/>
      <c r="I13" s="465" t="s">
        <v>1380</v>
      </c>
      <c r="J13" s="451" t="s">
        <v>9</v>
      </c>
      <c r="K13" s="545"/>
      <c r="L13" s="546"/>
    </row>
    <row r="14" spans="1:12" ht="30.75" customHeight="1">
      <c r="A14" s="204"/>
      <c r="B14" s="471" t="s">
        <v>1535</v>
      </c>
      <c r="C14" s="451" t="s">
        <v>9</v>
      </c>
      <c r="D14" s="549"/>
      <c r="E14" s="550"/>
      <c r="F14" s="439" t="s">
        <v>1453</v>
      </c>
      <c r="G14" s="443">
        <v>50</v>
      </c>
      <c r="I14" s="465" t="s">
        <v>1535</v>
      </c>
      <c r="J14" s="451" t="s">
        <v>9</v>
      </c>
      <c r="K14" s="551"/>
      <c r="L14" s="552"/>
    </row>
    <row r="15" spans="1:12" ht="57" customHeight="1">
      <c r="A15" s="204"/>
      <c r="B15" s="471" t="s">
        <v>1441</v>
      </c>
      <c r="C15" s="451" t="s">
        <v>9</v>
      </c>
      <c r="D15" s="457"/>
      <c r="E15" s="466"/>
      <c r="F15" s="439" t="s">
        <v>1453</v>
      </c>
      <c r="G15" s="443">
        <v>100</v>
      </c>
      <c r="I15" s="465" t="s">
        <v>1441</v>
      </c>
      <c r="J15" s="451" t="s">
        <v>9</v>
      </c>
      <c r="K15" s="457">
        <v>3</v>
      </c>
      <c r="L15" s="466"/>
    </row>
    <row r="16" spans="1:12" ht="44.25" customHeight="1">
      <c r="A16" s="204"/>
      <c r="B16" s="471" t="s">
        <v>1545</v>
      </c>
      <c r="C16" s="451"/>
      <c r="D16" s="553">
        <v>0</v>
      </c>
      <c r="E16" s="554"/>
      <c r="F16" s="439"/>
      <c r="G16" s="443">
        <v>160</v>
      </c>
      <c r="I16" s="465" t="s">
        <v>1537</v>
      </c>
      <c r="J16" s="451" t="s">
        <v>9</v>
      </c>
      <c r="K16" s="557">
        <f>K9</f>
        <v>223.34339360756579</v>
      </c>
      <c r="L16" s="558"/>
    </row>
    <row r="17" spans="1:12" ht="34.5" customHeight="1">
      <c r="A17" s="204"/>
      <c r="B17" s="471" t="s">
        <v>1538</v>
      </c>
      <c r="C17" s="451" t="s">
        <v>9</v>
      </c>
      <c r="D17" s="555">
        <f>IF(D15=1,D14/(20/3^0.5),(D14/(20*3^0.5)))</f>
        <v>0</v>
      </c>
      <c r="E17" s="556"/>
      <c r="F17" s="439" t="s">
        <v>1453</v>
      </c>
      <c r="G17" s="444">
        <v>200</v>
      </c>
      <c r="I17" s="465" t="s">
        <v>1538</v>
      </c>
      <c r="J17" s="451" t="s">
        <v>9</v>
      </c>
      <c r="K17" s="561">
        <f>IF(K15=1,K14/(20/3^0.5),(K14/(20*3^0.5)))</f>
        <v>0</v>
      </c>
      <c r="L17" s="562"/>
    </row>
    <row r="18" spans="1:12" ht="34.5" customHeight="1">
      <c r="A18" s="204"/>
      <c r="B18" s="471" t="s">
        <v>1539</v>
      </c>
      <c r="C18" s="451" t="s">
        <v>9</v>
      </c>
      <c r="D18" s="555">
        <f>IF(D15=1,D14/(380/3^0.5),(D14/(380*3^0.5)))*1000</f>
        <v>0</v>
      </c>
      <c r="E18" s="556"/>
      <c r="F18" s="439" t="s">
        <v>1453</v>
      </c>
      <c r="G18" s="444">
        <v>250</v>
      </c>
      <c r="I18" s="465" t="s">
        <v>1539</v>
      </c>
      <c r="J18" s="451" t="s">
        <v>9</v>
      </c>
      <c r="K18" s="561">
        <f>IF(K15=1,K14/(380/3^0.5),(K14/(380*3^0.5)))*1000</f>
        <v>0</v>
      </c>
      <c r="L18" s="562"/>
    </row>
    <row r="19" spans="1:12" ht="30" customHeight="1">
      <c r="A19" s="204"/>
      <c r="B19" s="472" t="s">
        <v>1531</v>
      </c>
      <c r="C19" s="450" t="s">
        <v>9</v>
      </c>
      <c r="D19" s="555">
        <f>IF(D15=1,D14/(380/3^0.5),(D14/(380*3^0.5)))</f>
        <v>0</v>
      </c>
      <c r="E19" s="556"/>
      <c r="F19" s="207"/>
      <c r="G19" s="435"/>
      <c r="I19" s="467" t="s">
        <v>1531</v>
      </c>
      <c r="J19" s="450" t="s">
        <v>9</v>
      </c>
      <c r="K19" s="561">
        <f>IF(K15=1,K14/(380/3^0.5),(K14/(380*3^0.5)))</f>
        <v>0</v>
      </c>
      <c r="L19" s="562"/>
    </row>
    <row r="20" spans="1:12" ht="30" customHeight="1" thickBot="1">
      <c r="A20" s="204"/>
      <c r="B20" s="473" t="s">
        <v>1540</v>
      </c>
      <c r="C20" s="469" t="s">
        <v>9</v>
      </c>
      <c r="D20" s="581" t="e">
        <f>D16/D18</f>
        <v>#DIV/0!</v>
      </c>
      <c r="E20" s="582"/>
      <c r="F20" s="207"/>
      <c r="G20" s="435"/>
      <c r="I20" s="468" t="s">
        <v>1531</v>
      </c>
      <c r="J20" s="469" t="s">
        <v>9</v>
      </c>
      <c r="K20" s="559" t="e">
        <f>K16/K18</f>
        <v>#DIV/0!</v>
      </c>
      <c r="L20" s="560"/>
    </row>
    <row r="21" spans="1:12" ht="9.75" customHeight="1">
      <c r="A21" s="204"/>
      <c r="B21" s="458" t="s">
        <v>1540</v>
      </c>
      <c r="C21" s="459" t="s">
        <v>9</v>
      </c>
      <c r="D21" s="566">
        <v>1</v>
      </c>
      <c r="E21" s="566"/>
      <c r="F21" s="460"/>
      <c r="G21" s="461"/>
      <c r="H21" s="462"/>
      <c r="I21" s="458" t="s">
        <v>1531</v>
      </c>
      <c r="J21" s="459" t="s">
        <v>9</v>
      </c>
      <c r="K21" s="566">
        <v>1</v>
      </c>
      <c r="L21" s="566"/>
    </row>
    <row r="22" spans="1:12" ht="6.75" customHeight="1">
      <c r="B22" s="448"/>
      <c r="C22" s="445"/>
      <c r="D22" s="456"/>
      <c r="E22" s="456"/>
      <c r="F22" s="207"/>
      <c r="G22" s="435"/>
      <c r="J22" s="445"/>
      <c r="K22" s="456"/>
      <c r="L22" s="456"/>
    </row>
    <row r="23" spans="1:12" ht="15.75" thickBot="1"/>
    <row r="24" spans="1:12" ht="200.25" customHeight="1" thickBot="1">
      <c r="B24" s="563"/>
      <c r="C24" s="564"/>
      <c r="D24" s="564"/>
      <c r="E24" s="565"/>
      <c r="I24" s="563"/>
      <c r="J24" s="564"/>
      <c r="K24" s="564"/>
      <c r="L24" s="565"/>
    </row>
    <row r="26" spans="1:12">
      <c r="D26" s="453"/>
    </row>
    <row r="27" spans="1:12">
      <c r="D27" s="45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81" priority="5" stopIfTrue="1" operator="greaterThan">
      <formula>0.89</formula>
    </cfRule>
    <cfRule type="cellIs" dxfId="8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F25" sqref="F2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83"/>
      <c r="C1" s="583"/>
      <c r="D1" s="58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6">
        <v>1084.1250458865841</v>
      </c>
      <c r="F5" s="481" t="s">
        <v>1611</v>
      </c>
      <c r="K5" s="480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1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147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113925000</v>
      </c>
    </row>
    <row r="10" spans="2:11" ht="20.100000000000001" customHeight="1">
      <c r="B10" s="291" t="s">
        <v>1446</v>
      </c>
      <c r="C10" s="292" t="s">
        <v>9</v>
      </c>
      <c r="D10" s="298">
        <f ca="1">RAB!K459</f>
        <v>563185782.57855976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11263715.651571196</v>
      </c>
    </row>
    <row r="12" spans="2:11" ht="9" customHeight="1">
      <c r="B12" s="584"/>
      <c r="C12" s="584"/>
      <c r="D12" s="584"/>
    </row>
    <row r="13" spans="2:11" ht="15.75" customHeight="1">
      <c r="B13" s="299"/>
      <c r="C13" s="299"/>
      <c r="D13" s="299"/>
    </row>
    <row r="14" spans="2:11" ht="33.75" customHeight="1">
      <c r="B14" s="410" t="s">
        <v>1379</v>
      </c>
      <c r="C14" s="411" t="s">
        <v>9</v>
      </c>
      <c r="D14" s="416" t="s">
        <v>1614</v>
      </c>
      <c r="E14" s="300" t="s">
        <v>1453</v>
      </c>
    </row>
    <row r="15" spans="2:11" ht="20.100000000000001" customHeight="1">
      <c r="B15" s="412" t="s">
        <v>1447</v>
      </c>
      <c r="C15" s="413" t="s">
        <v>9</v>
      </c>
      <c r="D15" s="417" t="s">
        <v>1613</v>
      </c>
      <c r="E15" s="300" t="s">
        <v>1453</v>
      </c>
    </row>
    <row r="16" spans="2:11" ht="20.100000000000001" customHeight="1">
      <c r="B16" s="412" t="s">
        <v>1448</v>
      </c>
      <c r="C16" s="413" t="s">
        <v>9</v>
      </c>
      <c r="D16" s="417" t="s">
        <v>1451</v>
      </c>
      <c r="E16" s="300" t="s">
        <v>1453</v>
      </c>
    </row>
    <row r="17" spans="2:5" ht="20.100000000000001" customHeight="1">
      <c r="B17" s="412" t="s">
        <v>1449</v>
      </c>
      <c r="C17" s="413" t="s">
        <v>9</v>
      </c>
      <c r="D17" s="418">
        <v>0</v>
      </c>
      <c r="E17" s="300" t="s">
        <v>1453</v>
      </c>
    </row>
    <row r="18" spans="2:5" ht="20.100000000000001" hidden="1" customHeight="1">
      <c r="B18" s="412" t="s">
        <v>1543</v>
      </c>
      <c r="C18" s="413"/>
      <c r="D18" s="418">
        <f>IF((D17&lt;=11),1,3)</f>
        <v>1</v>
      </c>
      <c r="E18" s="300"/>
    </row>
    <row r="19" spans="2:5" ht="20.100000000000001" hidden="1" customHeight="1">
      <c r="B19" s="412" t="s">
        <v>1544</v>
      </c>
      <c r="C19" s="413"/>
      <c r="D19" s="418">
        <f>IF((D17&lt;=11),220,380)</f>
        <v>220</v>
      </c>
      <c r="E19" s="300"/>
    </row>
    <row r="20" spans="2:5" ht="20.100000000000001" customHeight="1">
      <c r="B20" s="412" t="s">
        <v>1450</v>
      </c>
      <c r="C20" s="413" t="s">
        <v>9</v>
      </c>
      <c r="D20" s="418">
        <v>147</v>
      </c>
      <c r="E20" s="300" t="s">
        <v>1453</v>
      </c>
    </row>
    <row r="21" spans="2:5" ht="20.100000000000001" hidden="1" customHeight="1">
      <c r="B21" s="412" t="s">
        <v>1543</v>
      </c>
      <c r="C21" s="413"/>
      <c r="D21" s="418">
        <f>IF((D20&lt;=11),1,3)</f>
        <v>3</v>
      </c>
      <c r="E21" s="300"/>
    </row>
    <row r="22" spans="2:5" ht="20.100000000000001" hidden="1" customHeight="1">
      <c r="B22" s="412" t="s">
        <v>1544</v>
      </c>
      <c r="C22" s="413"/>
      <c r="D22" s="418">
        <f>IF((D20&lt;=11),220,380)</f>
        <v>380</v>
      </c>
      <c r="E22" s="300"/>
    </row>
    <row r="23" spans="2:5" ht="20.100000000000001" customHeight="1">
      <c r="B23" s="412" t="s">
        <v>1353</v>
      </c>
      <c r="C23" s="413" t="s">
        <v>9</v>
      </c>
      <c r="D23" s="417">
        <v>1444.7</v>
      </c>
      <c r="E23" s="300" t="s">
        <v>1453</v>
      </c>
    </row>
    <row r="24" spans="2:5" ht="20.100000000000001" customHeight="1">
      <c r="B24" s="412" t="s">
        <v>1354</v>
      </c>
      <c r="C24" s="413" t="s">
        <v>9</v>
      </c>
      <c r="D24" s="417">
        <v>1444.7</v>
      </c>
      <c r="E24" s="300" t="s">
        <v>1453</v>
      </c>
    </row>
    <row r="25" spans="2:5" ht="20.100000000000001" customHeight="1">
      <c r="B25" s="412" t="s">
        <v>1452</v>
      </c>
      <c r="C25" s="413" t="s">
        <v>9</v>
      </c>
      <c r="D25" s="418">
        <v>775</v>
      </c>
      <c r="E25" s="300" t="s">
        <v>1453</v>
      </c>
    </row>
    <row r="26" spans="2:5" ht="20.100000000000001" customHeight="1">
      <c r="B26" s="414" t="s">
        <v>1355</v>
      </c>
      <c r="C26" s="415" t="s">
        <v>9</v>
      </c>
      <c r="D26" s="419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K16" sqref="K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1" t="s">
        <v>1357</v>
      </c>
      <c r="C3" s="591"/>
      <c r="D3" s="591"/>
      <c r="E3" s="591"/>
      <c r="F3" s="305" t="str">
        <f>DATA!D14</f>
        <v>AGR SITI MUKAROMAH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85" t="s">
        <v>1349</v>
      </c>
      <c r="C5" s="585" t="s">
        <v>1358</v>
      </c>
      <c r="D5" s="590" t="s">
        <v>1359</v>
      </c>
      <c r="E5" s="590" t="s">
        <v>1360</v>
      </c>
      <c r="F5" s="585" t="s">
        <v>1361</v>
      </c>
      <c r="G5" s="585"/>
      <c r="H5" s="585"/>
      <c r="I5" s="585"/>
      <c r="J5" s="585"/>
      <c r="K5" s="585" t="s">
        <v>1362</v>
      </c>
      <c r="L5" s="585"/>
      <c r="M5" s="307"/>
      <c r="N5" s="588" t="s">
        <v>1363</v>
      </c>
      <c r="O5" s="590" t="s">
        <v>1364</v>
      </c>
      <c r="P5" s="590" t="s">
        <v>1365</v>
      </c>
      <c r="Q5" s="590" t="s">
        <v>1366</v>
      </c>
      <c r="R5" s="308"/>
      <c r="S5" s="309"/>
      <c r="T5" s="586" t="s">
        <v>1367</v>
      </c>
      <c r="U5" s="310"/>
    </row>
    <row r="6" spans="1:21" ht="20.100000000000001" customHeight="1">
      <c r="B6" s="585"/>
      <c r="C6" s="585"/>
      <c r="D6" s="585"/>
      <c r="E6" s="58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589"/>
      <c r="O6" s="585"/>
      <c r="P6" s="585"/>
      <c r="Q6" s="585"/>
      <c r="R6" s="308"/>
      <c r="S6" s="309"/>
      <c r="T6" s="585"/>
      <c r="U6" s="312"/>
    </row>
    <row r="7" spans="1:21" ht="20.100000000000001" customHeight="1">
      <c r="A7" s="313">
        <v>0</v>
      </c>
      <c r="B7" s="314">
        <v>2023</v>
      </c>
      <c r="C7" s="474">
        <f>DATA!D8*DATA!D26*8</f>
        <v>47040</v>
      </c>
      <c r="D7" s="316">
        <f>C7*4/24</f>
        <v>7840</v>
      </c>
      <c r="E7" s="316">
        <f>C7-D7</f>
        <v>39200</v>
      </c>
      <c r="F7" s="317">
        <f ca="1">DATA!D10/1000000</f>
        <v>563.18578257855972</v>
      </c>
      <c r="G7" s="318">
        <f ca="1">DATA!$D$11/1000000</f>
        <v>11.263715651571195</v>
      </c>
      <c r="H7" s="318">
        <f>C7*DATA!$D$5/1000000</f>
        <v>50.997242158504918</v>
      </c>
      <c r="I7" s="318">
        <f>(C7*DATA!$D$5*DATA!$D$7)/1000000</f>
        <v>1.1474379485663606</v>
      </c>
      <c r="J7" s="316">
        <f ca="1">SUM(F7:I7)</f>
        <v>626.59417833720215</v>
      </c>
      <c r="K7" s="319">
        <f>DATA!D9/1000000</f>
        <v>113.925</v>
      </c>
      <c r="L7" s="316">
        <f>((D7*DATA!$D$23)/1000000)+((E7*DATA!$D$24)/1000000)</f>
        <v>67.958687999999995</v>
      </c>
      <c r="M7" s="316">
        <f>K7+L7</f>
        <v>181.88368800000001</v>
      </c>
      <c r="N7" s="316">
        <f ca="1">M7-J7</f>
        <v>-444.71049033720215</v>
      </c>
      <c r="O7" s="314">
        <v>1</v>
      </c>
      <c r="P7" s="316">
        <f ca="1">O7*N7</f>
        <v>-444.71049033720215</v>
      </c>
      <c r="Q7" s="316">
        <f ca="1">P7</f>
        <v>-444.71049033720215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70560</v>
      </c>
      <c r="D8" s="316">
        <f>C8*4/24</f>
        <v>11760</v>
      </c>
      <c r="E8" s="316">
        <f t="shared" ref="E8:E32" si="0">C8-D8</f>
        <v>58800</v>
      </c>
      <c r="F8" s="314"/>
      <c r="G8" s="318">
        <f ca="1">DATA!$D$11/1000000</f>
        <v>11.263715651571195</v>
      </c>
      <c r="H8" s="318">
        <f>C8*DATA!$D$5/1000000</f>
        <v>76.495863237757376</v>
      </c>
      <c r="I8" s="318">
        <f>(C8*DATA!$D$5*DATA!$D$7)/1000000</f>
        <v>1.7211569228495409</v>
      </c>
      <c r="J8" s="316">
        <f t="shared" ref="J8:J32" ca="1" si="1">SUM(F8:I8)</f>
        <v>89.480735812178111</v>
      </c>
      <c r="K8" s="321"/>
      <c r="L8" s="316">
        <f>((D8*DATA!$D$23)/1000000)+((E8*DATA!$D$24)/1000000)</f>
        <v>101.93803199999999</v>
      </c>
      <c r="M8" s="316">
        <f t="shared" ref="M8:M32" si="2">K8+L8</f>
        <v>101.93803199999999</v>
      </c>
      <c r="N8" s="316">
        <f ca="1">M8-J8</f>
        <v>12.457296187821882</v>
      </c>
      <c r="O8" s="315">
        <f>1/(1+'[93]Asumsi I'!$C$3)^(KKF!A8)</f>
        <v>0.89285714285714279</v>
      </c>
      <c r="P8" s="316">
        <f ca="1">O8*N8</f>
        <v>11.122585881983822</v>
      </c>
      <c r="Q8" s="316">
        <f ca="1">Q7+P8</f>
        <v>-433.58790445521834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70560</v>
      </c>
      <c r="D9" s="316">
        <f t="shared" ref="D9:D32" si="5">C9*4/24</f>
        <v>11760</v>
      </c>
      <c r="E9" s="316">
        <f t="shared" si="0"/>
        <v>58800</v>
      </c>
      <c r="F9" s="314"/>
      <c r="G9" s="318">
        <f ca="1">DATA!$D$11/1000000</f>
        <v>11.263715651571195</v>
      </c>
      <c r="H9" s="318">
        <f>C9*DATA!$D$5/1000000</f>
        <v>76.495863237757376</v>
      </c>
      <c r="I9" s="318">
        <f>(C9*DATA!$D$5*DATA!$D$7)/1000000</f>
        <v>1.7211569228495409</v>
      </c>
      <c r="J9" s="316">
        <f t="shared" ca="1" si="1"/>
        <v>89.480735812178111</v>
      </c>
      <c r="K9" s="316"/>
      <c r="L9" s="316">
        <f>((D9*DATA!$D$23)/1000000)+((E9*DATA!$D$24)/1000000)</f>
        <v>101.93803199999999</v>
      </c>
      <c r="M9" s="316">
        <f t="shared" si="2"/>
        <v>101.93803199999999</v>
      </c>
      <c r="N9" s="316">
        <f t="shared" ref="N9:N32" ca="1" si="6">M9-J9</f>
        <v>12.457296187821882</v>
      </c>
      <c r="O9" s="322">
        <f>1/(1+'[93]Asumsi I'!$C$3)^(KKF!A9)</f>
        <v>0.79719387755102034</v>
      </c>
      <c r="P9" s="316">
        <f t="shared" ref="P9:P32" ca="1" si="7">O9*N9</f>
        <v>9.9308802517712707</v>
      </c>
      <c r="Q9" s="316">
        <f ca="1">Q8+P9</f>
        <v>-423.65702420344707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70560</v>
      </c>
      <c r="D10" s="316">
        <f t="shared" si="5"/>
        <v>11760</v>
      </c>
      <c r="E10" s="316">
        <f t="shared" si="0"/>
        <v>58800</v>
      </c>
      <c r="F10" s="314"/>
      <c r="G10" s="318">
        <f ca="1">DATA!$D$11/1000000</f>
        <v>11.263715651571195</v>
      </c>
      <c r="H10" s="318">
        <f>C10*DATA!$D$5/1000000</f>
        <v>76.495863237757376</v>
      </c>
      <c r="I10" s="318">
        <f>(C10*DATA!$D$5*DATA!$D$7)/1000000</f>
        <v>1.7211569228495409</v>
      </c>
      <c r="J10" s="316">
        <f t="shared" ca="1" si="1"/>
        <v>89.480735812178111</v>
      </c>
      <c r="K10" s="314"/>
      <c r="L10" s="316">
        <f>((D10*DATA!$D$23)/1000000)+((E10*DATA!$D$24)/1000000)</f>
        <v>101.93803199999999</v>
      </c>
      <c r="M10" s="316">
        <f t="shared" si="2"/>
        <v>101.93803199999999</v>
      </c>
      <c r="N10" s="316">
        <f t="shared" ca="1" si="6"/>
        <v>12.457296187821882</v>
      </c>
      <c r="O10" s="315">
        <f>1/(1+'[93]Asumsi I'!$C$3)^(KKF!A10)</f>
        <v>0.71178024781341087</v>
      </c>
      <c r="P10" s="316">
        <f t="shared" ca="1" si="7"/>
        <v>8.8668573676529174</v>
      </c>
      <c r="Q10" s="316">
        <f t="shared" ref="Q10:Q30" ca="1" si="9">Q9+P10</f>
        <v>-414.79016683579414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70560</v>
      </c>
      <c r="D11" s="316">
        <f t="shared" si="5"/>
        <v>11760</v>
      </c>
      <c r="E11" s="316">
        <f t="shared" si="0"/>
        <v>58800</v>
      </c>
      <c r="F11" s="314"/>
      <c r="G11" s="318">
        <f ca="1">DATA!$D$11/1000000</f>
        <v>11.263715651571195</v>
      </c>
      <c r="H11" s="318">
        <f>C11*DATA!$D$5/1000000</f>
        <v>76.495863237757376</v>
      </c>
      <c r="I11" s="318">
        <f>(C11*DATA!$D$5*DATA!$D$7)/1000000</f>
        <v>1.7211569228495409</v>
      </c>
      <c r="J11" s="316">
        <f t="shared" ca="1" si="1"/>
        <v>89.480735812178111</v>
      </c>
      <c r="K11" s="314"/>
      <c r="L11" s="316">
        <f>((D11*DATA!$D$23)/1000000)+((E11*DATA!$D$24)/1000000)</f>
        <v>101.93803199999999</v>
      </c>
      <c r="M11" s="316">
        <f t="shared" si="2"/>
        <v>101.93803199999999</v>
      </c>
      <c r="N11" s="316">
        <f t="shared" ca="1" si="6"/>
        <v>12.457296187821882</v>
      </c>
      <c r="O11" s="315">
        <f>1/(1+'[93]Asumsi I'!$C$3)^(KKF!A11)</f>
        <v>0.63551807840483121</v>
      </c>
      <c r="P11" s="316">
        <f t="shared" ca="1" si="7"/>
        <v>7.9168369354043922</v>
      </c>
      <c r="Q11" s="316">
        <f t="shared" ca="1" si="9"/>
        <v>-406.87332990038976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70560</v>
      </c>
      <c r="D12" s="316">
        <f t="shared" si="5"/>
        <v>11760</v>
      </c>
      <c r="E12" s="316">
        <f t="shared" si="0"/>
        <v>58800</v>
      </c>
      <c r="F12" s="314"/>
      <c r="G12" s="318">
        <f ca="1">DATA!$D$11/1000000</f>
        <v>11.263715651571195</v>
      </c>
      <c r="H12" s="318">
        <f>C12*DATA!$D$5/1000000</f>
        <v>76.495863237757376</v>
      </c>
      <c r="I12" s="318">
        <f>(C12*DATA!$D$5*DATA!$D$7)/1000000</f>
        <v>1.7211569228495409</v>
      </c>
      <c r="J12" s="316">
        <f t="shared" ca="1" si="1"/>
        <v>89.480735812178111</v>
      </c>
      <c r="K12" s="314"/>
      <c r="L12" s="316">
        <f>((D12*DATA!$D$23)/1000000)+((E12*DATA!$D$24)/1000000)</f>
        <v>101.93803199999999</v>
      </c>
      <c r="M12" s="316">
        <f t="shared" si="2"/>
        <v>101.93803199999999</v>
      </c>
      <c r="N12" s="316">
        <f t="shared" ca="1" si="6"/>
        <v>12.457296187821882</v>
      </c>
      <c r="O12" s="315">
        <f>1/(1+'[93]Asumsi I'!$C$3)^(KKF!A12)</f>
        <v>0.56742685571859919</v>
      </c>
      <c r="P12" s="316">
        <f t="shared" ca="1" si="7"/>
        <v>7.0686044066110627</v>
      </c>
      <c r="Q12" s="316">
        <f t="shared" ca="1" si="9"/>
        <v>-399.80472549377868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70560</v>
      </c>
      <c r="D13" s="316">
        <f t="shared" si="5"/>
        <v>11760</v>
      </c>
      <c r="E13" s="316">
        <f t="shared" si="0"/>
        <v>58800</v>
      </c>
      <c r="F13" s="314"/>
      <c r="G13" s="318">
        <f ca="1">DATA!$D$11/1000000</f>
        <v>11.263715651571195</v>
      </c>
      <c r="H13" s="318">
        <f>C13*DATA!$D$5/1000000</f>
        <v>76.495863237757376</v>
      </c>
      <c r="I13" s="318">
        <f>(C13*DATA!$D$5*DATA!$D$7)/1000000</f>
        <v>1.7211569228495409</v>
      </c>
      <c r="J13" s="316">
        <f t="shared" ca="1" si="1"/>
        <v>89.480735812178111</v>
      </c>
      <c r="K13" s="314"/>
      <c r="L13" s="316">
        <f>((D13*DATA!$D$23)/1000000)+((E13*DATA!$D$24)/1000000)</f>
        <v>101.93803199999999</v>
      </c>
      <c r="M13" s="316">
        <f t="shared" si="2"/>
        <v>101.93803199999999</v>
      </c>
      <c r="N13" s="316">
        <f t="shared" ca="1" si="6"/>
        <v>12.457296187821882</v>
      </c>
      <c r="O13" s="315">
        <f>1/(1+'[93]Asumsi I'!$C$3)^(KKF!A13)</f>
        <v>0.50663112117732068</v>
      </c>
      <c r="P13" s="316">
        <f t="shared" ca="1" si="7"/>
        <v>6.3112539344741627</v>
      </c>
      <c r="Q13" s="316">
        <f t="shared" ca="1" si="9"/>
        <v>-393.49347155930451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70560</v>
      </c>
      <c r="D14" s="316">
        <f t="shared" si="5"/>
        <v>11760</v>
      </c>
      <c r="E14" s="316">
        <f t="shared" si="0"/>
        <v>58800</v>
      </c>
      <c r="F14" s="314"/>
      <c r="G14" s="318">
        <f ca="1">DATA!$D$11/1000000</f>
        <v>11.263715651571195</v>
      </c>
      <c r="H14" s="318">
        <f>C14*DATA!$D$5/1000000</f>
        <v>76.495863237757376</v>
      </c>
      <c r="I14" s="318">
        <f>(C14*DATA!$D$5*DATA!$D$7)/1000000</f>
        <v>1.7211569228495409</v>
      </c>
      <c r="J14" s="316">
        <f t="shared" ca="1" si="1"/>
        <v>89.480735812178111</v>
      </c>
      <c r="K14" s="314"/>
      <c r="L14" s="316">
        <f>((D14*DATA!$D$23)/1000000)+((E14*DATA!$D$24)/1000000)</f>
        <v>101.93803199999999</v>
      </c>
      <c r="M14" s="316">
        <f t="shared" si="2"/>
        <v>101.93803199999999</v>
      </c>
      <c r="N14" s="316">
        <f t="shared" ca="1" si="6"/>
        <v>12.457296187821882</v>
      </c>
      <c r="O14" s="315">
        <f>1/(1+'[93]Asumsi I'!$C$3)^(KKF!A14)</f>
        <v>0.45234921533689343</v>
      </c>
      <c r="P14" s="316">
        <f t="shared" ca="1" si="7"/>
        <v>5.6350481557805017</v>
      </c>
      <c r="Q14" s="316">
        <f t="shared" ca="1" si="9"/>
        <v>-387.858423403524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70560</v>
      </c>
      <c r="D15" s="316">
        <f t="shared" si="5"/>
        <v>11760</v>
      </c>
      <c r="E15" s="316">
        <f t="shared" si="0"/>
        <v>58800</v>
      </c>
      <c r="F15" s="314"/>
      <c r="G15" s="318">
        <f ca="1">DATA!$D$11/1000000</f>
        <v>11.263715651571195</v>
      </c>
      <c r="H15" s="318">
        <f>C15*DATA!$D$5/1000000</f>
        <v>76.495863237757376</v>
      </c>
      <c r="I15" s="318">
        <f>(C15*DATA!$D$5*DATA!$D$7)/1000000</f>
        <v>1.7211569228495409</v>
      </c>
      <c r="J15" s="316">
        <f t="shared" ca="1" si="1"/>
        <v>89.480735812178111</v>
      </c>
      <c r="K15" s="314"/>
      <c r="L15" s="316">
        <f>((D15*DATA!$D$23)/1000000)+((E15*DATA!$D$24)/1000000)</f>
        <v>101.93803199999999</v>
      </c>
      <c r="M15" s="316">
        <f t="shared" si="2"/>
        <v>101.93803199999999</v>
      </c>
      <c r="N15" s="316">
        <f t="shared" ca="1" si="6"/>
        <v>12.457296187821882</v>
      </c>
      <c r="O15" s="315">
        <f>1/(1+'[93]Asumsi I'!$C$3)^(KKF!A15)</f>
        <v>0.4038832279793691</v>
      </c>
      <c r="P15" s="316">
        <f t="shared" ca="1" si="7"/>
        <v>5.0312929962325903</v>
      </c>
      <c r="Q15" s="316">
        <f t="shared" ca="1" si="9"/>
        <v>-382.82713040729141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70560</v>
      </c>
      <c r="D16" s="316">
        <f t="shared" si="5"/>
        <v>11760</v>
      </c>
      <c r="E16" s="316">
        <f t="shared" si="0"/>
        <v>58800</v>
      </c>
      <c r="F16" s="314"/>
      <c r="G16" s="318">
        <f ca="1">DATA!$D$11/1000000</f>
        <v>11.263715651571195</v>
      </c>
      <c r="H16" s="318">
        <f>C16*DATA!$D$5/1000000</f>
        <v>76.495863237757376</v>
      </c>
      <c r="I16" s="318">
        <f>(C16*DATA!$D$5*DATA!$D$7)/1000000</f>
        <v>1.7211569228495409</v>
      </c>
      <c r="J16" s="316">
        <f t="shared" ca="1" si="1"/>
        <v>89.480735812178111</v>
      </c>
      <c r="K16" s="314"/>
      <c r="L16" s="316">
        <f>((D16*DATA!$D$23)/1000000)+((E16*DATA!$D$24)/1000000)</f>
        <v>101.93803199999999</v>
      </c>
      <c r="M16" s="316">
        <f t="shared" si="2"/>
        <v>101.93803199999999</v>
      </c>
      <c r="N16" s="316">
        <f t="shared" ca="1" si="6"/>
        <v>12.457296187821882</v>
      </c>
      <c r="O16" s="315">
        <f>1/(1+'[93]Asumsi I'!$C$3)^(KKF!A16)</f>
        <v>0.36061002498157957</v>
      </c>
      <c r="P16" s="316">
        <f t="shared" ca="1" si="7"/>
        <v>4.4922258894933851</v>
      </c>
      <c r="Q16" s="316">
        <f t="shared" ca="1" si="9"/>
        <v>-378.33490451779801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70560</v>
      </c>
      <c r="D17" s="316">
        <f t="shared" si="5"/>
        <v>11760</v>
      </c>
      <c r="E17" s="316">
        <f t="shared" si="0"/>
        <v>58800</v>
      </c>
      <c r="F17" s="314"/>
      <c r="G17" s="318">
        <f ca="1">DATA!$D$11/1000000</f>
        <v>11.263715651571195</v>
      </c>
      <c r="H17" s="318">
        <f>C17*DATA!$D$5/1000000</f>
        <v>76.495863237757376</v>
      </c>
      <c r="I17" s="318">
        <f>(C17*DATA!$D$5*DATA!$D$7)/1000000</f>
        <v>1.7211569228495409</v>
      </c>
      <c r="J17" s="316">
        <f t="shared" ca="1" si="1"/>
        <v>89.480735812178111</v>
      </c>
      <c r="K17" s="314"/>
      <c r="L17" s="316">
        <f>((D17*DATA!$D$23)/1000000)+((E17*DATA!$D$24)/1000000)</f>
        <v>101.93803199999999</v>
      </c>
      <c r="M17" s="316">
        <f t="shared" si="2"/>
        <v>101.93803199999999</v>
      </c>
      <c r="N17" s="316">
        <f t="shared" ca="1" si="6"/>
        <v>12.457296187821882</v>
      </c>
      <c r="O17" s="315">
        <f>1/(1+'[93]Asumsi I'!$C$3)^(KKF!A17)</f>
        <v>0.32197323659069599</v>
      </c>
      <c r="P17" s="316">
        <f t="shared" ca="1" si="7"/>
        <v>4.0109159727619499</v>
      </c>
      <c r="Q17" s="316">
        <f t="shared" ca="1" si="9"/>
        <v>-374.32398854503606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70560</v>
      </c>
      <c r="D18" s="316">
        <f t="shared" si="5"/>
        <v>11760</v>
      </c>
      <c r="E18" s="316">
        <f t="shared" si="0"/>
        <v>58800</v>
      </c>
      <c r="F18" s="314"/>
      <c r="G18" s="318">
        <f ca="1">DATA!$D$11/1000000</f>
        <v>11.263715651571195</v>
      </c>
      <c r="H18" s="318">
        <f>C18*DATA!$D$5/1000000</f>
        <v>76.495863237757376</v>
      </c>
      <c r="I18" s="318">
        <f>(C18*DATA!$D$5*DATA!$D$7)/1000000</f>
        <v>1.7211569228495409</v>
      </c>
      <c r="J18" s="316">
        <f t="shared" ca="1" si="1"/>
        <v>89.480735812178111</v>
      </c>
      <c r="K18" s="314"/>
      <c r="L18" s="316">
        <f>((D18*DATA!$D$23)/1000000)+((E18*DATA!$D$24)/1000000)</f>
        <v>101.93803199999999</v>
      </c>
      <c r="M18" s="316">
        <f t="shared" si="2"/>
        <v>101.93803199999999</v>
      </c>
      <c r="N18" s="316">
        <f t="shared" ca="1" si="6"/>
        <v>12.457296187821882</v>
      </c>
      <c r="O18" s="315">
        <f>1/(1+'[93]Asumsi I'!$C$3)^(KKF!A18)</f>
        <v>0.28747610409883567</v>
      </c>
      <c r="P18" s="316">
        <f t="shared" ca="1" si="7"/>
        <v>3.581174975680312</v>
      </c>
      <c r="Q18" s="316">
        <f t="shared" ca="1" si="9"/>
        <v>-370.74281356935575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70560</v>
      </c>
      <c r="D19" s="316">
        <f t="shared" si="5"/>
        <v>11760</v>
      </c>
      <c r="E19" s="316">
        <f t="shared" si="0"/>
        <v>58800</v>
      </c>
      <c r="F19" s="314"/>
      <c r="G19" s="318">
        <f ca="1">DATA!$D$11/1000000</f>
        <v>11.263715651571195</v>
      </c>
      <c r="H19" s="318">
        <f>C19*DATA!$D$5/1000000</f>
        <v>76.495863237757376</v>
      </c>
      <c r="I19" s="318">
        <f>(C19*DATA!$D$5*DATA!$D$7)/1000000</f>
        <v>1.7211569228495409</v>
      </c>
      <c r="J19" s="316">
        <f t="shared" ca="1" si="1"/>
        <v>89.480735812178111</v>
      </c>
      <c r="K19" s="314"/>
      <c r="L19" s="316">
        <f>((D19*DATA!$D$23)/1000000)+((E19*DATA!$D$24)/1000000)</f>
        <v>101.93803199999999</v>
      </c>
      <c r="M19" s="316">
        <f t="shared" si="2"/>
        <v>101.93803199999999</v>
      </c>
      <c r="N19" s="316">
        <f t="shared" ca="1" si="6"/>
        <v>12.457296187821882</v>
      </c>
      <c r="O19" s="315">
        <f>1/(1+'[93]Asumsi I'!$C$3)^(KKF!A19)</f>
        <v>0.25667509294538904</v>
      </c>
      <c r="P19" s="316">
        <f t="shared" ca="1" si="7"/>
        <v>3.1974776568574219</v>
      </c>
      <c r="Q19" s="316">
        <f t="shared" ca="1" si="9"/>
        <v>-367.54533591249833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70560</v>
      </c>
      <c r="D20" s="316">
        <f t="shared" si="5"/>
        <v>11760</v>
      </c>
      <c r="E20" s="316">
        <f t="shared" si="0"/>
        <v>58800</v>
      </c>
      <c r="F20" s="314"/>
      <c r="G20" s="318">
        <f ca="1">DATA!$D$11/1000000</f>
        <v>11.263715651571195</v>
      </c>
      <c r="H20" s="318">
        <f>C20*DATA!$D$5/1000000</f>
        <v>76.495863237757376</v>
      </c>
      <c r="I20" s="318">
        <f>(C20*DATA!$D$5*DATA!$D$7)/1000000</f>
        <v>1.7211569228495409</v>
      </c>
      <c r="J20" s="316">
        <f t="shared" ca="1" si="1"/>
        <v>89.480735812178111</v>
      </c>
      <c r="K20" s="314"/>
      <c r="L20" s="316">
        <f>((D20*DATA!$D$23)/1000000)+((E20*DATA!$D$24)/1000000)</f>
        <v>101.93803199999999</v>
      </c>
      <c r="M20" s="316">
        <f t="shared" si="2"/>
        <v>101.93803199999999</v>
      </c>
      <c r="N20" s="316">
        <f t="shared" ca="1" si="6"/>
        <v>12.457296187821882</v>
      </c>
      <c r="O20" s="315">
        <f>1/(1+'[93]Asumsi I'!$C$3)^(KKF!A20)</f>
        <v>0.22917419012981158</v>
      </c>
      <c r="P20" s="316">
        <f t="shared" ca="1" si="7"/>
        <v>2.8548907650512692</v>
      </c>
      <c r="Q20" s="316">
        <f t="shared" ca="1" si="9"/>
        <v>-364.69044514744706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70560</v>
      </c>
      <c r="D21" s="316">
        <f t="shared" si="5"/>
        <v>11760</v>
      </c>
      <c r="E21" s="316">
        <f t="shared" si="0"/>
        <v>58800</v>
      </c>
      <c r="F21" s="314"/>
      <c r="G21" s="318">
        <f ca="1">DATA!$D$11/1000000</f>
        <v>11.263715651571195</v>
      </c>
      <c r="H21" s="318">
        <f>C21*DATA!$D$5/1000000</f>
        <v>76.495863237757376</v>
      </c>
      <c r="I21" s="318">
        <f>(C21*DATA!$D$5*DATA!$D$7)/1000000</f>
        <v>1.7211569228495409</v>
      </c>
      <c r="J21" s="316">
        <f t="shared" ca="1" si="1"/>
        <v>89.480735812178111</v>
      </c>
      <c r="K21" s="314"/>
      <c r="L21" s="316">
        <f>((D21*DATA!$D$23)/1000000)+((E21*DATA!$D$24)/1000000)</f>
        <v>101.93803199999999</v>
      </c>
      <c r="M21" s="316">
        <f t="shared" si="2"/>
        <v>101.93803199999999</v>
      </c>
      <c r="N21" s="316">
        <f t="shared" ca="1" si="6"/>
        <v>12.457296187821882</v>
      </c>
      <c r="O21" s="315">
        <f>1/(1+'[93]Asumsi I'!$C$3)^(KKF!A21)</f>
        <v>0.20461981261590317</v>
      </c>
      <c r="P21" s="316">
        <f t="shared" ca="1" si="7"/>
        <v>2.5490096116529184</v>
      </c>
      <c r="Q21" s="316">
        <f t="shared" ca="1" si="9"/>
        <v>-362.14143553579413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70560</v>
      </c>
      <c r="D22" s="316">
        <f t="shared" si="5"/>
        <v>11760</v>
      </c>
      <c r="E22" s="316">
        <f t="shared" si="0"/>
        <v>58800</v>
      </c>
      <c r="F22" s="314"/>
      <c r="G22" s="318">
        <f ca="1">DATA!$D$11/1000000</f>
        <v>11.263715651571195</v>
      </c>
      <c r="H22" s="318">
        <f>C22*DATA!$D$5/1000000</f>
        <v>76.495863237757376</v>
      </c>
      <c r="I22" s="318">
        <f>(C22*DATA!$D$5*DATA!$D$7)/1000000</f>
        <v>1.7211569228495409</v>
      </c>
      <c r="J22" s="316">
        <f t="shared" ca="1" si="1"/>
        <v>89.480735812178111</v>
      </c>
      <c r="K22" s="314"/>
      <c r="L22" s="316">
        <f>((D22*DATA!$D$23)/1000000)+((E22*DATA!$D$24)/1000000)</f>
        <v>101.93803199999999</v>
      </c>
      <c r="M22" s="316">
        <f t="shared" si="2"/>
        <v>101.93803199999999</v>
      </c>
      <c r="N22" s="316">
        <f t="shared" ca="1" si="6"/>
        <v>12.457296187821882</v>
      </c>
      <c r="O22" s="315">
        <f>1/(1+'[93]Asumsi I'!$C$3)^(KKF!A22)</f>
        <v>0.18269626126419927</v>
      </c>
      <c r="P22" s="316">
        <f t="shared" ca="1" si="7"/>
        <v>2.2759014389758203</v>
      </c>
      <c r="Q22" s="316">
        <f t="shared" ca="1" si="9"/>
        <v>-359.86553409681829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70560</v>
      </c>
      <c r="D23" s="316">
        <f t="shared" si="5"/>
        <v>11760</v>
      </c>
      <c r="E23" s="316">
        <f t="shared" si="0"/>
        <v>58800</v>
      </c>
      <c r="F23" s="314"/>
      <c r="G23" s="318">
        <f ca="1">DATA!$D$11/1000000</f>
        <v>11.263715651571195</v>
      </c>
      <c r="H23" s="318">
        <f>C23*DATA!$D$5/1000000</f>
        <v>76.495863237757376</v>
      </c>
      <c r="I23" s="318">
        <f>(C23*DATA!$D$5*DATA!$D$7)/1000000</f>
        <v>1.7211569228495409</v>
      </c>
      <c r="J23" s="316">
        <f t="shared" ca="1" si="1"/>
        <v>89.480735812178111</v>
      </c>
      <c r="K23" s="314"/>
      <c r="L23" s="316">
        <f>((D23*DATA!$D$23)/1000000)+((E23*DATA!$D$24)/1000000)</f>
        <v>101.93803199999999</v>
      </c>
      <c r="M23" s="316">
        <f t="shared" si="2"/>
        <v>101.93803199999999</v>
      </c>
      <c r="N23" s="316">
        <f t="shared" ca="1" si="6"/>
        <v>12.457296187821882</v>
      </c>
      <c r="O23" s="315">
        <f>1/(1+'[93]Asumsi I'!$C$3)^(KKF!A23)</f>
        <v>0.16312166184303503</v>
      </c>
      <c r="P23" s="316">
        <f t="shared" ca="1" si="7"/>
        <v>2.0320548562284104</v>
      </c>
      <c r="Q23" s="316">
        <f t="shared" ca="1" si="9"/>
        <v>-357.8334792405899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70560</v>
      </c>
      <c r="D24" s="316">
        <f t="shared" si="5"/>
        <v>11760</v>
      </c>
      <c r="E24" s="316">
        <f t="shared" si="0"/>
        <v>58800</v>
      </c>
      <c r="F24" s="314"/>
      <c r="G24" s="318">
        <f ca="1">DATA!$D$11/1000000</f>
        <v>11.263715651571195</v>
      </c>
      <c r="H24" s="318">
        <f>C24*DATA!$D$5/1000000</f>
        <v>76.495863237757376</v>
      </c>
      <c r="I24" s="318">
        <f>(C24*DATA!$D$5*DATA!$D$7)/1000000</f>
        <v>1.7211569228495409</v>
      </c>
      <c r="J24" s="316">
        <f t="shared" ca="1" si="1"/>
        <v>89.480735812178111</v>
      </c>
      <c r="K24" s="314"/>
      <c r="L24" s="316">
        <f>((D24*DATA!$D$23)/1000000)+((E24*DATA!$D$24)/1000000)</f>
        <v>101.93803199999999</v>
      </c>
      <c r="M24" s="316">
        <f t="shared" si="2"/>
        <v>101.93803199999999</v>
      </c>
      <c r="N24" s="316">
        <f t="shared" ca="1" si="6"/>
        <v>12.457296187821882</v>
      </c>
      <c r="O24" s="315">
        <f>1/(1+'[93]Asumsi I'!$C$3)^(KKF!A24)</f>
        <v>0.14564434093128129</v>
      </c>
      <c r="P24" s="316">
        <f t="shared" ca="1" si="7"/>
        <v>1.8143346930610809</v>
      </c>
      <c r="Q24" s="316">
        <f t="shared" ca="1" si="9"/>
        <v>-356.01914454752881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70560</v>
      </c>
      <c r="D25" s="316">
        <f t="shared" si="5"/>
        <v>11760</v>
      </c>
      <c r="E25" s="316">
        <f t="shared" si="0"/>
        <v>58800</v>
      </c>
      <c r="F25" s="314"/>
      <c r="G25" s="318">
        <f ca="1">DATA!$D$11/1000000</f>
        <v>11.263715651571195</v>
      </c>
      <c r="H25" s="318">
        <f>C25*DATA!$D$5/1000000</f>
        <v>76.495863237757376</v>
      </c>
      <c r="I25" s="318">
        <f>(C25*DATA!$D$5*DATA!$D$7)/1000000</f>
        <v>1.7211569228495409</v>
      </c>
      <c r="J25" s="316">
        <f t="shared" ca="1" si="1"/>
        <v>89.480735812178111</v>
      </c>
      <c r="K25" s="314"/>
      <c r="L25" s="316">
        <f>((D25*DATA!$D$23)/1000000)+((E25*DATA!$D$24)/1000000)</f>
        <v>101.93803199999999</v>
      </c>
      <c r="M25" s="316">
        <f t="shared" si="2"/>
        <v>101.93803199999999</v>
      </c>
      <c r="N25" s="316">
        <f t="shared" ca="1" si="6"/>
        <v>12.457296187821882</v>
      </c>
      <c r="O25" s="315">
        <f>1/(1+'[93]Asumsi I'!$C$3)^(KKF!A25)</f>
        <v>0.13003959011721541</v>
      </c>
      <c r="P25" s="316">
        <f t="shared" ca="1" si="7"/>
        <v>1.6199416902331076</v>
      </c>
      <c r="Q25" s="316">
        <f t="shared" ca="1" si="9"/>
        <v>-354.39920285729568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70560</v>
      </c>
      <c r="D26" s="316">
        <f t="shared" si="5"/>
        <v>11760</v>
      </c>
      <c r="E26" s="316">
        <f t="shared" si="0"/>
        <v>58800</v>
      </c>
      <c r="F26" s="314"/>
      <c r="G26" s="318">
        <f ca="1">DATA!$D$11/1000000</f>
        <v>11.263715651571195</v>
      </c>
      <c r="H26" s="318">
        <f>C26*DATA!$D$5/1000000</f>
        <v>76.495863237757376</v>
      </c>
      <c r="I26" s="318">
        <f>(C26*DATA!$D$5*DATA!$D$7)/1000000</f>
        <v>1.7211569228495409</v>
      </c>
      <c r="J26" s="316">
        <f t="shared" ca="1" si="1"/>
        <v>89.480735812178111</v>
      </c>
      <c r="K26" s="314"/>
      <c r="L26" s="316">
        <f>((D26*DATA!$D$23)/1000000)+((E26*DATA!$D$24)/1000000)</f>
        <v>101.93803199999999</v>
      </c>
      <c r="M26" s="316">
        <f t="shared" si="2"/>
        <v>101.93803199999999</v>
      </c>
      <c r="N26" s="316">
        <f t="shared" ca="1" si="6"/>
        <v>12.457296187821882</v>
      </c>
      <c r="O26" s="315">
        <f>1/(1+'[93]Asumsi I'!$C$3)^(KKF!A26)</f>
        <v>0.1161067768903709</v>
      </c>
      <c r="P26" s="316">
        <f t="shared" ca="1" si="7"/>
        <v>1.4463765091367031</v>
      </c>
      <c r="Q26" s="316">
        <f t="shared" ca="1" si="9"/>
        <v>-352.95282634815896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70560</v>
      </c>
      <c r="D27" s="316">
        <f t="shared" si="5"/>
        <v>11760</v>
      </c>
      <c r="E27" s="316">
        <f t="shared" si="0"/>
        <v>58800</v>
      </c>
      <c r="F27" s="314"/>
      <c r="G27" s="318">
        <f ca="1">DATA!$D$11/1000000</f>
        <v>11.263715651571195</v>
      </c>
      <c r="H27" s="318">
        <f>C27*DATA!$D$5/1000000</f>
        <v>76.495863237757376</v>
      </c>
      <c r="I27" s="318">
        <f>(C27*DATA!$D$5*DATA!$D$7)/1000000</f>
        <v>1.7211569228495409</v>
      </c>
      <c r="J27" s="316">
        <f t="shared" ca="1" si="1"/>
        <v>89.480735812178111</v>
      </c>
      <c r="K27" s="314"/>
      <c r="L27" s="316">
        <f>((D27*DATA!$D$23)/1000000)+((E27*DATA!$D$24)/1000000)</f>
        <v>101.93803199999999</v>
      </c>
      <c r="M27" s="316">
        <f t="shared" si="2"/>
        <v>101.93803199999999</v>
      </c>
      <c r="N27" s="316">
        <f t="shared" ca="1" si="6"/>
        <v>12.457296187821882</v>
      </c>
      <c r="O27" s="315">
        <f>1/(1+'[93]Asumsi I'!$C$3)^(KKF!A27)</f>
        <v>0.1036667650806883</v>
      </c>
      <c r="P27" s="316">
        <f t="shared" ca="1" si="7"/>
        <v>1.2914075974434849</v>
      </c>
      <c r="Q27" s="316">
        <f t="shared" ca="1" si="9"/>
        <v>-351.66141875071548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70560</v>
      </c>
      <c r="D28" s="316">
        <f t="shared" si="5"/>
        <v>11760</v>
      </c>
      <c r="E28" s="316">
        <f t="shared" si="0"/>
        <v>58800</v>
      </c>
      <c r="F28" s="314"/>
      <c r="G28" s="318">
        <f ca="1">DATA!$D$11/1000000</f>
        <v>11.263715651571195</v>
      </c>
      <c r="H28" s="318">
        <f>C28*DATA!$D$5/1000000</f>
        <v>76.495863237757376</v>
      </c>
      <c r="I28" s="318">
        <f>(C28*DATA!$D$5*DATA!$D$7)/1000000</f>
        <v>1.7211569228495409</v>
      </c>
      <c r="J28" s="316">
        <f t="shared" ca="1" si="1"/>
        <v>89.480735812178111</v>
      </c>
      <c r="K28" s="314"/>
      <c r="L28" s="316">
        <f>((D28*DATA!$D$23)/1000000)+((E28*DATA!$D$24)/1000000)</f>
        <v>101.93803199999999</v>
      </c>
      <c r="M28" s="316">
        <f t="shared" si="2"/>
        <v>101.93803199999999</v>
      </c>
      <c r="N28" s="316">
        <f t="shared" ca="1" si="6"/>
        <v>12.457296187821882</v>
      </c>
      <c r="O28" s="315">
        <f>1/(1+'[93]Asumsi I'!$C$3)^(KKF!A28)</f>
        <v>9.2559611679185971E-2</v>
      </c>
      <c r="P28" s="316">
        <f t="shared" ca="1" si="7"/>
        <v>1.1530424977173972</v>
      </c>
      <c r="Q28" s="316">
        <f t="shared" ca="1" si="9"/>
        <v>-350.50837625299806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70560</v>
      </c>
      <c r="D29" s="316">
        <f t="shared" si="5"/>
        <v>11760</v>
      </c>
      <c r="E29" s="316">
        <f t="shared" si="0"/>
        <v>58800</v>
      </c>
      <c r="F29" s="314"/>
      <c r="G29" s="318">
        <f ca="1">DATA!$D$11/1000000</f>
        <v>11.263715651571195</v>
      </c>
      <c r="H29" s="318">
        <f>C29*DATA!$D$5/1000000</f>
        <v>76.495863237757376</v>
      </c>
      <c r="I29" s="318">
        <f>(C29*DATA!$D$5*DATA!$D$7)/1000000</f>
        <v>1.7211569228495409</v>
      </c>
      <c r="J29" s="316">
        <f t="shared" ca="1" si="1"/>
        <v>89.480735812178111</v>
      </c>
      <c r="K29" s="314"/>
      <c r="L29" s="316">
        <f>((D29*DATA!$D$23)/1000000)+((E29*DATA!$D$24)/1000000)</f>
        <v>101.93803199999999</v>
      </c>
      <c r="M29" s="316">
        <f t="shared" si="2"/>
        <v>101.93803199999999</v>
      </c>
      <c r="N29" s="316">
        <f t="shared" ca="1" si="6"/>
        <v>12.457296187821882</v>
      </c>
      <c r="O29" s="315">
        <f>1/(1+'[93]Asumsi I'!$C$3)^(KKF!A29)</f>
        <v>8.2642510427844609E-2</v>
      </c>
      <c r="P29" s="316">
        <f t="shared" ca="1" si="7"/>
        <v>1.0295022301048187</v>
      </c>
      <c r="Q29" s="316">
        <f t="shared" ca="1" si="9"/>
        <v>-349.47887402289325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70560</v>
      </c>
      <c r="D30" s="316">
        <f t="shared" si="5"/>
        <v>11760</v>
      </c>
      <c r="E30" s="316">
        <f t="shared" si="0"/>
        <v>58800</v>
      </c>
      <c r="F30" s="314"/>
      <c r="G30" s="318">
        <f ca="1">DATA!$D$11/1000000</f>
        <v>11.263715651571195</v>
      </c>
      <c r="H30" s="318">
        <f>C30*DATA!$D$5/1000000</f>
        <v>76.495863237757376</v>
      </c>
      <c r="I30" s="318">
        <f>(C30*DATA!$D$5*DATA!$D$7)/1000000</f>
        <v>1.7211569228495409</v>
      </c>
      <c r="J30" s="316">
        <f t="shared" ca="1" si="1"/>
        <v>89.480735812178111</v>
      </c>
      <c r="K30" s="314"/>
      <c r="L30" s="316">
        <f>((D30*DATA!$D$23)/1000000)+((E30*DATA!$D$24)/1000000)</f>
        <v>101.93803199999999</v>
      </c>
      <c r="M30" s="316">
        <f t="shared" si="2"/>
        <v>101.93803199999999</v>
      </c>
      <c r="N30" s="316">
        <f t="shared" ca="1" si="6"/>
        <v>12.457296187821882</v>
      </c>
      <c r="O30" s="315">
        <f>1/(1+'[93]Asumsi I'!$C$3)^(KKF!A30)</f>
        <v>7.3787955739146982E-2</v>
      </c>
      <c r="P30" s="316">
        <f t="shared" ca="1" si="7"/>
        <v>0.91919841973644545</v>
      </c>
      <c r="Q30" s="316">
        <f t="shared" ca="1" si="9"/>
        <v>-348.55967560315679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70560</v>
      </c>
      <c r="D31" s="316">
        <f t="shared" si="5"/>
        <v>11760</v>
      </c>
      <c r="E31" s="316">
        <f t="shared" si="0"/>
        <v>58800</v>
      </c>
      <c r="F31" s="314"/>
      <c r="G31" s="318">
        <f ca="1">DATA!$D$11/1000000</f>
        <v>11.263715651571195</v>
      </c>
      <c r="H31" s="318">
        <f>C31*DATA!$D$5/1000000</f>
        <v>76.495863237757376</v>
      </c>
      <c r="I31" s="318">
        <f>(C31*DATA!$D$5*DATA!$D$7)/1000000</f>
        <v>1.7211569228495409</v>
      </c>
      <c r="J31" s="316">
        <f t="shared" ca="1" si="1"/>
        <v>89.480735812178111</v>
      </c>
      <c r="K31" s="314"/>
      <c r="L31" s="316">
        <f>((D31*DATA!$D$23)/1000000)+((E31*DATA!$D$24)/1000000)</f>
        <v>101.93803199999999</v>
      </c>
      <c r="M31" s="316">
        <f t="shared" si="2"/>
        <v>101.93803199999999</v>
      </c>
      <c r="N31" s="316">
        <f t="shared" ca="1" si="6"/>
        <v>12.457296187821882</v>
      </c>
      <c r="O31" s="315">
        <f>1/(1+'[93]Asumsi I'!$C$3)^(KKF!A31)</f>
        <v>6.5882103338524081E-2</v>
      </c>
      <c r="P31" s="316">
        <f t="shared" ca="1" si="7"/>
        <v>0.82071287476468335</v>
      </c>
      <c r="Q31" s="316">
        <f ca="1">Q30+P31</f>
        <v>-347.7389627283921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70560</v>
      </c>
      <c r="D32" s="316">
        <f t="shared" si="5"/>
        <v>11760</v>
      </c>
      <c r="E32" s="316">
        <f t="shared" si="0"/>
        <v>58800</v>
      </c>
      <c r="F32" s="314"/>
      <c r="G32" s="318">
        <f ca="1">DATA!$D$11/1000000</f>
        <v>11.263715651571195</v>
      </c>
      <c r="H32" s="318">
        <f>C32*DATA!$D$5/1000000</f>
        <v>76.495863237757376</v>
      </c>
      <c r="I32" s="318">
        <f>(C32*DATA!$D$5*DATA!$D$7)/1000000</f>
        <v>1.7211569228495409</v>
      </c>
      <c r="J32" s="316">
        <f t="shared" ca="1" si="1"/>
        <v>89.480735812178111</v>
      </c>
      <c r="K32" s="314"/>
      <c r="L32" s="316">
        <f>((D32*DATA!$D$23)/1000000)+((E32*DATA!$D$24)/1000000)</f>
        <v>101.93803199999999</v>
      </c>
      <c r="M32" s="316">
        <f t="shared" si="2"/>
        <v>101.93803199999999</v>
      </c>
      <c r="N32" s="316">
        <f t="shared" ca="1" si="6"/>
        <v>12.457296187821882</v>
      </c>
      <c r="O32" s="315">
        <f>1/(1+'[93]Asumsi I'!$C$3)^(KKF!A32)</f>
        <v>5.8823306552253637E-2</v>
      </c>
      <c r="P32" s="316">
        <f t="shared" ca="1" si="7"/>
        <v>0.73277935246846715</v>
      </c>
      <c r="Q32" s="316">
        <f ca="1">Q31+P32</f>
        <v>-347.00618337592363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587" t="s">
        <v>1374</v>
      </c>
      <c r="G33" s="587"/>
      <c r="H33" s="587"/>
      <c r="I33" s="324"/>
      <c r="J33" s="325">
        <f ca="1">SUM(J7:J32)</f>
        <v>2863.6125736416539</v>
      </c>
      <c r="K33" s="587" t="s">
        <v>1375</v>
      </c>
      <c r="L33" s="587"/>
      <c r="M33" s="325">
        <f>SUM(M7:M32)</f>
        <v>2730.3344880000004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50.299372262638649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0.95345805963124275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-309.82694944278893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-2.5714274458368491E-2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79" priority="1" stopIfTrue="1" operator="greaterThanOrEqual">
      <formula>$F$7</formula>
    </cfRule>
    <cfRule type="cellIs" dxfId="78" priority="2" stopIfTrue="1" operator="lessThan">
      <formula>$F$7</formula>
    </cfRule>
  </conditionalFormatting>
  <conditionalFormatting sqref="Q7:Q32">
    <cfRule type="cellIs" dxfId="77" priority="3" operator="lessThan">
      <formula>0</formula>
    </cfRule>
    <cfRule type="cellIs" dxfId="76" priority="4" operator="lessThan">
      <formula>0</formula>
    </cfRule>
    <cfRule type="cellIs" dxfId="75" priority="5" operator="lessThan">
      <formula>-6395.81</formula>
    </cfRule>
    <cfRule type="cellIs" dxfId="74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474"/>
  <sheetViews>
    <sheetView showGridLines="0" zoomScale="70" zoomScaleNormal="70" zoomScaleSheetLayoutView="70" workbookViewId="0">
      <pane ySplit="13" topLeftCell="A428" activePane="bottomLeft" state="frozen"/>
      <selection activeCell="H1093" sqref="H1093"/>
      <selection pane="bottomLeft" activeCell="H448" sqref="H44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4" customWidth="1"/>
    <col min="4" max="4" width="13.7109375" style="404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0" t="s">
        <v>1036</v>
      </c>
      <c r="P3" s="610"/>
      <c r="Q3" s="346"/>
      <c r="T3" s="344"/>
      <c r="U3" s="345" t="s">
        <v>1041</v>
      </c>
      <c r="V3" s="344"/>
    </row>
    <row r="4" spans="1:22" ht="15.75" customHeight="1">
      <c r="B4" s="611" t="s">
        <v>1023</v>
      </c>
      <c r="C4" s="611"/>
      <c r="D4" s="611"/>
      <c r="E4" s="611"/>
      <c r="F4" s="611"/>
      <c r="G4" s="611"/>
      <c r="H4" s="611"/>
      <c r="I4" s="611"/>
      <c r="J4" s="611"/>
      <c r="K4" s="611"/>
      <c r="O4" s="610"/>
      <c r="P4" s="61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594" t="str">
        <f>DATA!D14</f>
        <v>AGR SITI MUKAROMAH</v>
      </c>
      <c r="H6" s="594"/>
      <c r="I6" s="594"/>
      <c r="J6" s="594"/>
      <c r="K6" s="59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1676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3" t="s">
        <v>0</v>
      </c>
      <c r="C11" s="615" t="s">
        <v>1</v>
      </c>
      <c r="D11" s="604" t="s">
        <v>42</v>
      </c>
      <c r="E11" s="604" t="s">
        <v>43</v>
      </c>
      <c r="F11" s="604" t="s">
        <v>2</v>
      </c>
      <c r="G11" s="618" t="s">
        <v>41</v>
      </c>
      <c r="H11" s="604" t="s">
        <v>3</v>
      </c>
      <c r="I11" s="604"/>
      <c r="J11" s="604"/>
      <c r="K11" s="60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4"/>
      <c r="C12" s="616"/>
      <c r="D12" s="608"/>
      <c r="E12" s="608"/>
      <c r="F12" s="608"/>
      <c r="G12" s="619"/>
      <c r="H12" s="606" t="s">
        <v>46</v>
      </c>
      <c r="I12" s="606" t="s">
        <v>5</v>
      </c>
      <c r="J12" s="608" t="s">
        <v>47</v>
      </c>
      <c r="K12" s="60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4"/>
      <c r="C13" s="617"/>
      <c r="D13" s="608"/>
      <c r="E13" s="608"/>
      <c r="F13" s="608"/>
      <c r="G13" s="620"/>
      <c r="H13" s="607"/>
      <c r="I13" s="607"/>
      <c r="J13" s="608"/>
      <c r="K13" s="609"/>
      <c r="O13" s="355"/>
      <c r="P13" s="355"/>
      <c r="Q13" s="355"/>
      <c r="S13" s="353"/>
      <c r="T13" s="353"/>
      <c r="U13" s="353"/>
      <c r="V13" s="353"/>
    </row>
    <row r="14" spans="1:22" s="363" customFormat="1" ht="15.75" customHeight="1">
      <c r="A14" s="336"/>
      <c r="B14" s="37"/>
      <c r="C14"/>
      <c r="D14" s="356" t="str">
        <f ca="1">IF(ISERROR(OFFSET('HARGA SATUAN'!$D$6,MATCH(RAB!C14,'HARGA SATUAN'!$C$7:$C$1492,0),0)),"",OFFSET('HARGA SATUAN'!$D$6,MATCH(RAB!C14,'HARGA SATUAN'!$C$7:$C$1492,0),0))</f>
        <v/>
      </c>
      <c r="E14" s="357" t="str">
        <f ca="1">IF(B14="+","Unit",IF(ISERROR(OFFSET('HARGA SATUAN'!$E$6,MATCH(RAB!C14,'HARGA SATUAN'!$C$7:$C$1492,0),0)),"",OFFSET('HARGA SATUAN'!$E$6,MATCH(RAB!C14,'HARGA SATUAN'!$C$7:$C$1492,0),0)))</f>
        <v/>
      </c>
      <c r="F14" s="712"/>
      <c r="G14" s="358">
        <f ca="1">IF(ISERROR(OFFSET('HARGA SATUAN'!$I$6,MATCH(RAB!C14,'HARGA SATUAN'!$C$7:$C$1492,0),0)),0,OFFSET('HARGA SATUAN'!$I$6,MATCH(RAB!C14,'HARGA SATUAN'!$C$7:$C$1492,0),0))</f>
        <v>0</v>
      </c>
      <c r="H14" s="359">
        <f t="shared" ref="H14" ca="1" si="0">IF(OR(D14="MDU",D14="MDU-KD"),(IF($O$3="RAB NON MDU","PLN KD",G14*F14)),0)</f>
        <v>0</v>
      </c>
      <c r="I14" s="359">
        <f t="shared" ref="I14" ca="1" si="1">IF(D14="HDW",G14*F14,0)</f>
        <v>0</v>
      </c>
      <c r="J14" s="359">
        <f t="shared" ref="J14" ca="1" si="2">IF(D14="JASA",G14*F14,0)</f>
        <v>0</v>
      </c>
      <c r="K14" s="360">
        <f t="shared" ref="K14" ca="1" si="3">SUM(H14:J14)</f>
        <v>0</v>
      </c>
      <c r="L14" s="342"/>
      <c r="M14" s="342"/>
      <c r="N14" s="342"/>
      <c r="O14" s="361"/>
      <c r="P14" s="361"/>
      <c r="Q14" s="344"/>
      <c r="R14" s="336"/>
      <c r="S14" s="362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75" t="s">
        <v>480</v>
      </c>
      <c r="C15" s="76" t="s">
        <v>1615</v>
      </c>
      <c r="D15" s="356" t="str">
        <f ca="1">IF(ISERROR(OFFSET('HARGA SATUAN'!$D$6,MATCH(RAB!C15,'HARGA SATUAN'!$C$7:$C$1492,0),0)),"",OFFSET('HARGA SATUAN'!$D$6,MATCH(RAB!C15,'HARGA SATUAN'!$C$7:$C$1492,0),0))</f>
        <v/>
      </c>
      <c r="E15" s="357" t="str">
        <f ca="1">IF(B15="+","Unit",IF(ISERROR(OFFSET('HARGA SATUAN'!$E$6,MATCH(RAB!C15,'HARGA SATUAN'!$C$7:$C$1492,0),0)),"",OFFSET('HARGA SATUAN'!$E$6,MATCH(RAB!C15,'HARGA SATUAN'!$C$7:$C$1492,0),0)))</f>
        <v/>
      </c>
      <c r="F15" s="713"/>
      <c r="G15" s="358">
        <f ca="1">IF(ISERROR(OFFSET('HARGA SATUAN'!$I$6,MATCH(RAB!C15,'HARGA SATUAN'!$C$7:$C$1492,0),0)),0,OFFSET('HARGA SATUAN'!$I$6,MATCH(RAB!C15,'HARGA SATUAN'!$C$7:$C$1492,0),0))</f>
        <v>0</v>
      </c>
      <c r="H15" s="359">
        <f t="shared" ref="H15" ca="1" si="4">IF(OR(D15="MDU",D15="MDU-KD"),(IF($O$3="RAB NON MDU","PLN KD",G15*F15)),0)</f>
        <v>0</v>
      </c>
      <c r="I15" s="359">
        <f t="shared" ref="I15" ca="1" si="5">IF(D15="HDW",G15*F15,0)</f>
        <v>0</v>
      </c>
      <c r="J15" s="359">
        <f t="shared" ref="J15" ca="1" si="6">IF(D15="JASA",G15*F15,0)</f>
        <v>0</v>
      </c>
      <c r="K15" s="360">
        <f t="shared" ref="K15" ca="1" si="7">SUM(H15:J15)</f>
        <v>0</v>
      </c>
      <c r="L15" s="367"/>
      <c r="M15" s="367"/>
      <c r="N15" s="367"/>
      <c r="O15" s="361"/>
      <c r="P15" s="361"/>
      <c r="Q15" s="344"/>
      <c r="R15" s="336"/>
      <c r="S15" s="362"/>
      <c r="T15" s="341"/>
      <c r="U15" s="341"/>
      <c r="V15" s="341"/>
    </row>
    <row r="16" spans="1:22" s="368" customFormat="1">
      <c r="A16" s="336" t="e">
        <f>IF(AND(C16=0,#REF!=0,#REF!=0),"BLANKS",1)</f>
        <v>#REF!</v>
      </c>
      <c r="B16" s="75"/>
      <c r="C16" s="76"/>
      <c r="D16" s="356" t="str">
        <f ca="1">IF(ISERROR(OFFSET('HARGA SATUAN'!$D$6,MATCH(RAB!C16,'HARGA SATUAN'!$C$7:$C$1492,0),0)),"",OFFSET('HARGA SATUAN'!$D$6,MATCH(RAB!C16,'HARGA SATUAN'!$C$7:$C$1492,0),0))</f>
        <v/>
      </c>
      <c r="E16" s="357" t="str">
        <f ca="1">IF(B16="+","Unit",IF(ISERROR(OFFSET('HARGA SATUAN'!$E$6,MATCH(RAB!C16,'HARGA SATUAN'!$C$7:$C$1492,0),0)),"",OFFSET('HARGA SATUAN'!$E$6,MATCH(RAB!C16,'HARGA SATUAN'!$C$7:$C$1492,0),0)))</f>
        <v/>
      </c>
      <c r="F16" s="713"/>
      <c r="G16" s="358">
        <f ca="1">IF(ISERROR(OFFSET('HARGA SATUAN'!$I$6,MATCH(RAB!C16,'HARGA SATUAN'!$C$7:$C$1492,0),0)),0,OFFSET('HARGA SATUAN'!$I$6,MATCH(RAB!C16,'HARGA SATUAN'!$C$7:$C$1492,0),0))</f>
        <v>0</v>
      </c>
      <c r="H16" s="359">
        <f t="shared" ref="H16:H111" ca="1" si="8">IF(OR(D16="MDU",D16="MDU-KD"),(IF($O$3="RAB NON MDU","PLN KD",G16*F16)),0)</f>
        <v>0</v>
      </c>
      <c r="I16" s="359">
        <f t="shared" ref="I16:I111" ca="1" si="9">IF(D16="HDW",G16*F16,0)</f>
        <v>0</v>
      </c>
      <c r="J16" s="359">
        <f t="shared" ref="J16:J111" ca="1" si="10">IF(D16="JASA",G16*F16,0)</f>
        <v>0</v>
      </c>
      <c r="K16" s="360">
        <f t="shared" ref="K16:K111" ca="1" si="11">SUM(H16:J16)</f>
        <v>0</v>
      </c>
      <c r="L16" s="367"/>
      <c r="M16" s="367"/>
      <c r="N16" s="367"/>
      <c r="O16" s="361"/>
      <c r="P16" s="361"/>
      <c r="Q16" s="344"/>
      <c r="R16" s="336"/>
      <c r="S16" s="362"/>
      <c r="T16" s="341"/>
      <c r="U16" s="341"/>
      <c r="V16" s="341"/>
    </row>
    <row r="17" spans="1:22" s="368" customFormat="1">
      <c r="A17" s="336"/>
      <c r="B17" s="732" t="s">
        <v>1035</v>
      </c>
      <c r="C17" s="733" t="s">
        <v>1616</v>
      </c>
      <c r="D17" s="356" t="str">
        <f ca="1">IF(ISERROR(OFFSET('HARGA SATUAN'!$D$6,MATCH(RAB!C17,'HARGA SATUAN'!$C$7:$C$1492,0),0)),"",OFFSET('HARGA SATUAN'!$D$6,MATCH(RAB!C17,'HARGA SATUAN'!$C$7:$C$1492,0),0))</f>
        <v/>
      </c>
      <c r="E17" s="357" t="str">
        <f ca="1">IF(B17="+","Unit",IF(ISERROR(OFFSET('HARGA SATUAN'!$E$6,MATCH(RAB!C17,'HARGA SATUAN'!$C$7:$C$1492,0),0)),"",OFFSET('HARGA SATUAN'!$E$6,MATCH(RAB!C17,'HARGA SATUAN'!$C$7:$C$1492,0),0)))</f>
        <v>Unit</v>
      </c>
      <c r="F17" s="713"/>
      <c r="G17" s="358">
        <f ca="1">IF(ISERROR(OFFSET('HARGA SATUAN'!$I$6,MATCH(RAB!C17,'HARGA SATUAN'!$C$7:$C$1492,0),0)),0,OFFSET('HARGA SATUAN'!$I$6,MATCH(RAB!C17,'HARGA SATUAN'!$C$7:$C$1492,0),0))</f>
        <v>0</v>
      </c>
      <c r="H17" s="359">
        <f t="shared" ca="1" si="8"/>
        <v>0</v>
      </c>
      <c r="I17" s="359">
        <f t="shared" ca="1" si="9"/>
        <v>0</v>
      </c>
      <c r="J17" s="359">
        <f t="shared" ca="1" si="10"/>
        <v>0</v>
      </c>
      <c r="K17" s="360">
        <f t="shared" ca="1" si="11"/>
        <v>0</v>
      </c>
      <c r="L17" s="367"/>
      <c r="M17" s="367"/>
      <c r="N17" s="367"/>
      <c r="O17" s="361"/>
      <c r="P17" s="361"/>
      <c r="Q17" s="344"/>
      <c r="R17" s="336"/>
      <c r="S17" s="362"/>
      <c r="T17" s="341"/>
      <c r="U17" s="341"/>
      <c r="V17" s="341"/>
    </row>
    <row r="18" spans="1:22" s="368" customFormat="1">
      <c r="A18" s="336"/>
      <c r="B18" s="75">
        <v>1</v>
      </c>
      <c r="C18" s="109" t="s">
        <v>103</v>
      </c>
      <c r="D18" s="356" t="str">
        <f ca="1">IF(ISERROR(OFFSET('HARGA SATUAN'!$D$6,MATCH(RAB!C18,'HARGA SATUAN'!$C$7:$C$1492,0),0)),"",OFFSET('HARGA SATUAN'!$D$6,MATCH(RAB!C18,'HARGA SATUAN'!$C$7:$C$1492,0),0))</f>
        <v>HDW</v>
      </c>
      <c r="E18" s="357" t="str">
        <f ca="1">IF(B18="+","Unit",IF(ISERROR(OFFSET('HARGA SATUAN'!$E$6,MATCH(RAB!C18,'HARGA SATUAN'!$C$7:$C$1492,0),0)),"",OFFSET('HARGA SATUAN'!$E$6,MATCH(RAB!C18,'HARGA SATUAN'!$C$7:$C$1492,0),0)))</f>
        <v>Btg</v>
      </c>
      <c r="F18" s="174">
        <v>4</v>
      </c>
      <c r="G18" s="358">
        <f ca="1">IF(ISERROR(OFFSET('HARGA SATUAN'!$I$6,MATCH(RAB!C18,'HARGA SATUAN'!$C$7:$C$1492,0),0)),0,OFFSET('HARGA SATUAN'!$I$6,MATCH(RAB!C18,'HARGA SATUAN'!$C$7:$C$1492,0),0))</f>
        <v>5800000</v>
      </c>
      <c r="H18" s="359">
        <f t="shared" ca="1" si="8"/>
        <v>0</v>
      </c>
      <c r="I18" s="359">
        <f t="shared" ca="1" si="9"/>
        <v>23200000</v>
      </c>
      <c r="J18" s="359">
        <f t="shared" ca="1" si="10"/>
        <v>0</v>
      </c>
      <c r="K18" s="360">
        <f t="shared" ca="1" si="11"/>
        <v>23200000</v>
      </c>
      <c r="L18" s="367"/>
      <c r="M18" s="367"/>
      <c r="N18" s="367"/>
      <c r="O18" s="361"/>
      <c r="P18" s="361"/>
      <c r="Q18" s="344"/>
      <c r="R18" s="336"/>
      <c r="S18" s="362"/>
      <c r="T18" s="341"/>
      <c r="U18" s="341"/>
      <c r="V18" s="341"/>
    </row>
    <row r="19" spans="1:22" s="368" customFormat="1">
      <c r="A19" s="336"/>
      <c r="B19" s="75">
        <v>2</v>
      </c>
      <c r="C19" s="109" t="s">
        <v>104</v>
      </c>
      <c r="D19" s="356" t="str">
        <f ca="1">IF(ISERROR(OFFSET('HARGA SATUAN'!$D$6,MATCH(RAB!C19,'HARGA SATUAN'!$C$7:$C$1492,0),0)),"",OFFSET('HARGA SATUAN'!$D$6,MATCH(RAB!C19,'HARGA SATUAN'!$C$7:$C$1492,0),0))</f>
        <v>HDW</v>
      </c>
      <c r="E19" s="357" t="str">
        <f ca="1">IF(B19="+","Unit",IF(ISERROR(OFFSET('HARGA SATUAN'!$E$6,MATCH(RAB!C19,'HARGA SATUAN'!$C$7:$C$1492,0),0)),"",OFFSET('HARGA SATUAN'!$E$6,MATCH(RAB!C19,'HARGA SATUAN'!$C$7:$C$1492,0),0)))</f>
        <v>Btg</v>
      </c>
      <c r="F19" s="713">
        <v>2</v>
      </c>
      <c r="G19" s="358">
        <f ca="1">IF(ISERROR(OFFSET('HARGA SATUAN'!$I$6,MATCH(RAB!C19,'HARGA SATUAN'!$C$7:$C$1492,0),0)),0,OFFSET('HARGA SATUAN'!$I$6,MATCH(RAB!C19,'HARGA SATUAN'!$C$7:$C$1492,0),0))</f>
        <v>6074400</v>
      </c>
      <c r="H19" s="359">
        <f t="shared" ca="1" si="8"/>
        <v>0</v>
      </c>
      <c r="I19" s="359">
        <f t="shared" ca="1" si="9"/>
        <v>12148800</v>
      </c>
      <c r="J19" s="359">
        <f t="shared" ca="1" si="10"/>
        <v>0</v>
      </c>
      <c r="K19" s="360">
        <f t="shared" ca="1" si="11"/>
        <v>12148800</v>
      </c>
      <c r="L19" s="367"/>
      <c r="M19" s="367"/>
      <c r="N19" s="367"/>
      <c r="O19" s="361"/>
      <c r="P19" s="361"/>
      <c r="Q19" s="344"/>
      <c r="R19" s="336"/>
      <c r="S19" s="362"/>
      <c r="T19" s="341"/>
      <c r="U19" s="341"/>
      <c r="V19" s="341"/>
    </row>
    <row r="20" spans="1:22" s="368" customFormat="1">
      <c r="A20" s="336"/>
      <c r="B20" s="75">
        <v>3</v>
      </c>
      <c r="C20" s="109" t="s">
        <v>6</v>
      </c>
      <c r="D20" s="356" t="str">
        <f ca="1">IF(ISERROR(OFFSET('HARGA SATUAN'!$D$6,MATCH(RAB!C20,'HARGA SATUAN'!$C$7:$C$1492,0),0)),"",OFFSET('HARGA SATUAN'!$D$6,MATCH(RAB!C20,'HARGA SATUAN'!$C$7:$C$1492,0),0))</f>
        <v>JASA</v>
      </c>
      <c r="E20" s="357" t="str">
        <f ca="1">IF(B20="+","Unit",IF(ISERROR(OFFSET('HARGA SATUAN'!$E$6,MATCH(RAB!C20,'HARGA SATUAN'!$C$7:$C$1492,0),0)),"",OFFSET('HARGA SATUAN'!$E$6,MATCH(RAB!C20,'HARGA SATUAN'!$C$7:$C$1492,0),0)))</f>
        <v>Btg</v>
      </c>
      <c r="F20" s="713">
        <f>F18+F19</f>
        <v>6</v>
      </c>
      <c r="G20" s="358">
        <f ca="1">IF(ISERROR(OFFSET('HARGA SATUAN'!$I$6,MATCH(RAB!C20,'HARGA SATUAN'!$C$7:$C$1492,0),0)),0,OFFSET('HARGA SATUAN'!$I$6,MATCH(RAB!C20,'HARGA SATUAN'!$C$7:$C$1492,0),0))</f>
        <v>10066.666666666668</v>
      </c>
      <c r="H20" s="359">
        <f t="shared" ca="1" si="8"/>
        <v>0</v>
      </c>
      <c r="I20" s="359">
        <f t="shared" ca="1" si="9"/>
        <v>0</v>
      </c>
      <c r="J20" s="359">
        <f t="shared" ca="1" si="10"/>
        <v>60400.000000000007</v>
      </c>
      <c r="K20" s="360">
        <f t="shared" ca="1" si="11"/>
        <v>60400.000000000007</v>
      </c>
      <c r="L20" s="367"/>
      <c r="M20" s="367"/>
      <c r="N20" s="367"/>
      <c r="O20" s="361"/>
      <c r="P20" s="361"/>
      <c r="Q20" s="344"/>
      <c r="R20" s="336"/>
      <c r="S20" s="362"/>
      <c r="T20" s="341"/>
      <c r="U20" s="341"/>
      <c r="V20" s="341"/>
    </row>
    <row r="21" spans="1:22" s="368" customFormat="1">
      <c r="A21" s="336"/>
      <c r="B21" s="75"/>
      <c r="C21" s="109"/>
      <c r="D21" s="356" t="str">
        <f ca="1">IF(ISERROR(OFFSET('HARGA SATUAN'!$D$6,MATCH(RAB!C21,'HARGA SATUAN'!$C$7:$C$1492,0),0)),"",OFFSET('HARGA SATUAN'!$D$6,MATCH(RAB!C21,'HARGA SATUAN'!$C$7:$C$1492,0),0))</f>
        <v/>
      </c>
      <c r="E21" s="357" t="str">
        <f ca="1">IF(B21="+","Unit",IF(ISERROR(OFFSET('HARGA SATUAN'!$E$6,MATCH(RAB!C21,'HARGA SATUAN'!$C$7:$C$1492,0),0)),"",OFFSET('HARGA SATUAN'!$E$6,MATCH(RAB!C21,'HARGA SATUAN'!$C$7:$C$1492,0),0)))</f>
        <v/>
      </c>
      <c r="F21" s="713"/>
      <c r="G21" s="358">
        <f ca="1">IF(ISERROR(OFFSET('HARGA SATUAN'!$I$6,MATCH(RAB!C21,'HARGA SATUAN'!$C$7:$C$1492,0),0)),0,OFFSET('HARGA SATUAN'!$I$6,MATCH(RAB!C21,'HARGA SATUAN'!$C$7:$C$1492,0),0))</f>
        <v>0</v>
      </c>
      <c r="H21" s="359">
        <f t="shared" ca="1" si="8"/>
        <v>0</v>
      </c>
      <c r="I21" s="359">
        <f t="shared" ca="1" si="9"/>
        <v>0</v>
      </c>
      <c r="J21" s="359">
        <f t="shared" ca="1" si="10"/>
        <v>0</v>
      </c>
      <c r="K21" s="360">
        <f t="shared" ca="1" si="11"/>
        <v>0</v>
      </c>
      <c r="L21" s="367"/>
      <c r="M21" s="367"/>
      <c r="N21" s="367"/>
      <c r="O21" s="361"/>
      <c r="P21" s="361"/>
      <c r="Q21" s="344"/>
      <c r="R21" s="336"/>
      <c r="S21" s="362"/>
      <c r="T21" s="341"/>
      <c r="U21" s="341"/>
      <c r="V21" s="341"/>
    </row>
    <row r="22" spans="1:22" s="368" customFormat="1">
      <c r="A22" s="336"/>
      <c r="B22" s="732" t="s">
        <v>1035</v>
      </c>
      <c r="C22" s="733" t="s">
        <v>1617</v>
      </c>
      <c r="D22" s="356" t="str">
        <f ca="1">IF(ISERROR(OFFSET('HARGA SATUAN'!$D$6,MATCH(RAB!C22,'HARGA SATUAN'!$C$7:$C$1492,0),0)),"",OFFSET('HARGA SATUAN'!$D$6,MATCH(RAB!C22,'HARGA SATUAN'!$C$7:$C$1492,0),0))</f>
        <v/>
      </c>
      <c r="E22" s="357" t="str">
        <f ca="1">IF(B22="+","Unit",IF(ISERROR(OFFSET('HARGA SATUAN'!$E$6,MATCH(RAB!C22,'HARGA SATUAN'!$C$7:$C$1492,0),0)),"",OFFSET('HARGA SATUAN'!$E$6,MATCH(RAB!C22,'HARGA SATUAN'!$C$7:$C$1492,0),0)))</f>
        <v>Unit</v>
      </c>
      <c r="F22" s="713"/>
      <c r="G22" s="358">
        <f ca="1">IF(ISERROR(OFFSET('HARGA SATUAN'!$I$6,MATCH(RAB!C22,'HARGA SATUAN'!$C$7:$C$1492,0),0)),0,OFFSET('HARGA SATUAN'!$I$6,MATCH(RAB!C22,'HARGA SATUAN'!$C$7:$C$1492,0),0))</f>
        <v>0</v>
      </c>
      <c r="H22" s="359">
        <f t="shared" ca="1" si="8"/>
        <v>0</v>
      </c>
      <c r="I22" s="359">
        <f t="shared" ca="1" si="9"/>
        <v>0</v>
      </c>
      <c r="J22" s="359">
        <f t="shared" ca="1" si="10"/>
        <v>0</v>
      </c>
      <c r="K22" s="360">
        <f t="shared" ca="1" si="11"/>
        <v>0</v>
      </c>
      <c r="L22" s="367"/>
      <c r="M22" s="367"/>
      <c r="N22" s="367"/>
      <c r="O22" s="361"/>
      <c r="P22" s="361"/>
      <c r="Q22" s="344"/>
      <c r="R22" s="336"/>
      <c r="S22" s="362"/>
      <c r="T22" s="341"/>
      <c r="U22" s="341"/>
      <c r="V22" s="341"/>
    </row>
    <row r="23" spans="1:22" s="368" customFormat="1">
      <c r="A23" s="336"/>
      <c r="B23" s="75">
        <v>1</v>
      </c>
      <c r="C23" s="109" t="s">
        <v>103</v>
      </c>
      <c r="D23" s="356" t="str">
        <f ca="1">IF(ISERROR(OFFSET('HARGA SATUAN'!$D$6,MATCH(RAB!C23,'HARGA SATUAN'!$C$7:$C$1492,0),0)),"",OFFSET('HARGA SATUAN'!$D$6,MATCH(RAB!C23,'HARGA SATUAN'!$C$7:$C$1492,0),0))</f>
        <v>HDW</v>
      </c>
      <c r="E23" s="357" t="str">
        <f ca="1">IF(B23="+","Unit",IF(ISERROR(OFFSET('HARGA SATUAN'!$E$6,MATCH(RAB!C23,'HARGA SATUAN'!$C$7:$C$1492,0),0)),"",OFFSET('HARGA SATUAN'!$E$6,MATCH(RAB!C23,'HARGA SATUAN'!$C$7:$C$1492,0),0)))</f>
        <v>Btg</v>
      </c>
      <c r="F23" s="713">
        <v>5</v>
      </c>
      <c r="G23" s="358">
        <f ca="1">IF(ISERROR(OFFSET('HARGA SATUAN'!$I$6,MATCH(RAB!C23,'HARGA SATUAN'!$C$7:$C$1492,0),0)),0,OFFSET('HARGA SATUAN'!$I$6,MATCH(RAB!C23,'HARGA SATUAN'!$C$7:$C$1492,0),0))</f>
        <v>5800000</v>
      </c>
      <c r="H23" s="359">
        <f t="shared" ca="1" si="8"/>
        <v>0</v>
      </c>
      <c r="I23" s="359">
        <f t="shared" ca="1" si="9"/>
        <v>29000000</v>
      </c>
      <c r="J23" s="359">
        <f t="shared" ca="1" si="10"/>
        <v>0</v>
      </c>
      <c r="K23" s="360">
        <f t="shared" ca="1" si="11"/>
        <v>29000000</v>
      </c>
      <c r="L23" s="367"/>
      <c r="M23" s="367"/>
      <c r="N23" s="367"/>
      <c r="O23" s="361"/>
      <c r="P23" s="361"/>
      <c r="Q23" s="344"/>
      <c r="R23" s="336"/>
      <c r="S23" s="362"/>
      <c r="T23" s="341"/>
      <c r="U23" s="341"/>
      <c r="V23" s="341"/>
    </row>
    <row r="24" spans="1:22" s="368" customFormat="1">
      <c r="A24" s="336"/>
      <c r="B24" s="75">
        <v>2</v>
      </c>
      <c r="C24" s="109" t="s">
        <v>101</v>
      </c>
      <c r="D24" s="356" t="str">
        <f ca="1">IF(ISERROR(OFFSET('HARGA SATUAN'!$D$6,MATCH(RAB!C24,'HARGA SATUAN'!$C$7:$C$1492,0),0)),"",OFFSET('HARGA SATUAN'!$D$6,MATCH(RAB!C24,'HARGA SATUAN'!$C$7:$C$1492,0),0))</f>
        <v>HDW</v>
      </c>
      <c r="E24" s="357" t="str">
        <f ca="1">IF(B24="+","Unit",IF(ISERROR(OFFSET('HARGA SATUAN'!$E$6,MATCH(RAB!C24,'HARGA SATUAN'!$C$7:$C$1492,0),0)),"",OFFSET('HARGA SATUAN'!$E$6,MATCH(RAB!C24,'HARGA SATUAN'!$C$7:$C$1492,0),0)))</f>
        <v>Btg</v>
      </c>
      <c r="F24" s="713">
        <v>1</v>
      </c>
      <c r="G24" s="358">
        <f ca="1">IF(ISERROR(OFFSET('HARGA SATUAN'!$I$6,MATCH(RAB!C24,'HARGA SATUAN'!$C$7:$C$1492,0),0)),0,OFFSET('HARGA SATUAN'!$I$6,MATCH(RAB!C24,'HARGA SATUAN'!$C$7:$C$1492,0),0))</f>
        <v>3382600</v>
      </c>
      <c r="H24" s="359">
        <f t="shared" ca="1" si="8"/>
        <v>0</v>
      </c>
      <c r="I24" s="359">
        <f t="shared" ca="1" si="9"/>
        <v>3382600</v>
      </c>
      <c r="J24" s="359">
        <f t="shared" ca="1" si="10"/>
        <v>0</v>
      </c>
      <c r="K24" s="360">
        <f t="shared" ca="1" si="11"/>
        <v>3382600</v>
      </c>
      <c r="L24" s="367"/>
      <c r="M24" s="367"/>
      <c r="N24" s="367"/>
      <c r="O24" s="361"/>
      <c r="P24" s="361"/>
      <c r="Q24" s="344"/>
      <c r="R24" s="336"/>
      <c r="S24" s="362"/>
      <c r="T24" s="341"/>
      <c r="U24" s="341"/>
      <c r="V24" s="341"/>
    </row>
    <row r="25" spans="1:22" s="368" customFormat="1">
      <c r="A25" s="336"/>
      <c r="B25" s="75">
        <v>3</v>
      </c>
      <c r="C25" s="109" t="s">
        <v>6</v>
      </c>
      <c r="D25" s="356" t="str">
        <f ca="1">IF(ISERROR(OFFSET('HARGA SATUAN'!$D$6,MATCH(RAB!C25,'HARGA SATUAN'!$C$7:$C$1492,0),0)),"",OFFSET('HARGA SATUAN'!$D$6,MATCH(RAB!C25,'HARGA SATUAN'!$C$7:$C$1492,0),0))</f>
        <v>JASA</v>
      </c>
      <c r="E25" s="357" t="str">
        <f ca="1">IF(B25="+","Unit",IF(ISERROR(OFFSET('HARGA SATUAN'!$E$6,MATCH(RAB!C25,'HARGA SATUAN'!$C$7:$C$1492,0),0)),"",OFFSET('HARGA SATUAN'!$E$6,MATCH(RAB!C25,'HARGA SATUAN'!$C$7:$C$1492,0),0)))</f>
        <v>Btg</v>
      </c>
      <c r="F25" s="713">
        <f>F23+F24</f>
        <v>6</v>
      </c>
      <c r="G25" s="358">
        <f ca="1">IF(ISERROR(OFFSET('HARGA SATUAN'!$I$6,MATCH(RAB!C25,'HARGA SATUAN'!$C$7:$C$1492,0),0)),0,OFFSET('HARGA SATUAN'!$I$6,MATCH(RAB!C25,'HARGA SATUAN'!$C$7:$C$1492,0),0))</f>
        <v>10066.666666666668</v>
      </c>
      <c r="H25" s="359">
        <f t="shared" ca="1" si="8"/>
        <v>0</v>
      </c>
      <c r="I25" s="359">
        <f t="shared" ca="1" si="9"/>
        <v>0</v>
      </c>
      <c r="J25" s="359">
        <f t="shared" ca="1" si="10"/>
        <v>60400.000000000007</v>
      </c>
      <c r="K25" s="360">
        <f t="shared" ca="1" si="11"/>
        <v>60400.000000000007</v>
      </c>
      <c r="L25" s="367"/>
      <c r="M25" s="367"/>
      <c r="N25" s="367"/>
      <c r="O25" s="361"/>
      <c r="P25" s="361"/>
      <c r="Q25" s="344"/>
      <c r="R25" s="336"/>
      <c r="S25" s="362"/>
      <c r="T25" s="341"/>
      <c r="U25" s="341"/>
      <c r="V25" s="341"/>
    </row>
    <row r="26" spans="1:22" s="368" customFormat="1">
      <c r="A26" s="336"/>
      <c r="B26" s="75"/>
      <c r="C26" s="109"/>
      <c r="D26" s="356" t="str">
        <f ca="1">IF(ISERROR(OFFSET('HARGA SATUAN'!$D$6,MATCH(RAB!C26,'HARGA SATUAN'!$C$7:$C$1492,0),0)),"",OFFSET('HARGA SATUAN'!$D$6,MATCH(RAB!C26,'HARGA SATUAN'!$C$7:$C$1492,0),0))</f>
        <v/>
      </c>
      <c r="E26" s="357" t="str">
        <f ca="1">IF(B26="+","Unit",IF(ISERROR(OFFSET('HARGA SATUAN'!$E$6,MATCH(RAB!C26,'HARGA SATUAN'!$C$7:$C$1492,0),0)),"",OFFSET('HARGA SATUAN'!$E$6,MATCH(RAB!C26,'HARGA SATUAN'!$C$7:$C$1492,0),0)))</f>
        <v/>
      </c>
      <c r="F26" s="713"/>
      <c r="G26" s="358">
        <f ca="1">IF(ISERROR(OFFSET('HARGA SATUAN'!$I$6,MATCH(RAB!C26,'HARGA SATUAN'!$C$7:$C$1492,0),0)),0,OFFSET('HARGA SATUAN'!$I$6,MATCH(RAB!C26,'HARGA SATUAN'!$C$7:$C$1492,0),0))</f>
        <v>0</v>
      </c>
      <c r="H26" s="359">
        <f t="shared" ca="1" si="8"/>
        <v>0</v>
      </c>
      <c r="I26" s="359">
        <f t="shared" ca="1" si="9"/>
        <v>0</v>
      </c>
      <c r="J26" s="359">
        <f t="shared" ca="1" si="10"/>
        <v>0</v>
      </c>
      <c r="K26" s="360">
        <f t="shared" ca="1" si="11"/>
        <v>0</v>
      </c>
      <c r="L26" s="367"/>
      <c r="M26" s="367"/>
      <c r="N26" s="367"/>
      <c r="O26" s="361"/>
      <c r="P26" s="361"/>
      <c r="Q26" s="344"/>
      <c r="R26" s="336"/>
      <c r="S26" s="362"/>
      <c r="T26" s="341"/>
      <c r="U26" s="341"/>
      <c r="V26" s="341"/>
    </row>
    <row r="27" spans="1:22" s="368" customFormat="1">
      <c r="A27" s="336"/>
      <c r="B27" s="732" t="s">
        <v>1035</v>
      </c>
      <c r="C27" s="733" t="s">
        <v>1618</v>
      </c>
      <c r="D27" s="356" t="str">
        <f ca="1">IF(ISERROR(OFFSET('HARGA SATUAN'!$D$6,MATCH(RAB!C27,'HARGA SATUAN'!$C$7:$C$1492,0),0)),"",OFFSET('HARGA SATUAN'!$D$6,MATCH(RAB!C27,'HARGA SATUAN'!$C$7:$C$1492,0),0))</f>
        <v/>
      </c>
      <c r="E27" s="357" t="str">
        <f ca="1">IF(B27="+","Unit",IF(ISERROR(OFFSET('HARGA SATUAN'!$E$6,MATCH(RAB!C27,'HARGA SATUAN'!$C$7:$C$1492,0),0)),"",OFFSET('HARGA SATUAN'!$E$6,MATCH(RAB!C27,'HARGA SATUAN'!$C$7:$C$1492,0),0)))</f>
        <v>Unit</v>
      </c>
      <c r="F27" s="713"/>
      <c r="G27" s="358">
        <f ca="1">IF(ISERROR(OFFSET('HARGA SATUAN'!$I$6,MATCH(RAB!C27,'HARGA SATUAN'!$C$7:$C$1492,0),0)),0,OFFSET('HARGA SATUAN'!$I$6,MATCH(RAB!C27,'HARGA SATUAN'!$C$7:$C$1492,0),0))</f>
        <v>0</v>
      </c>
      <c r="H27" s="359">
        <f t="shared" ca="1" si="8"/>
        <v>0</v>
      </c>
      <c r="I27" s="359">
        <f t="shared" ca="1" si="9"/>
        <v>0</v>
      </c>
      <c r="J27" s="359">
        <f t="shared" ca="1" si="10"/>
        <v>0</v>
      </c>
      <c r="K27" s="360">
        <f t="shared" ca="1" si="11"/>
        <v>0</v>
      </c>
      <c r="L27" s="367"/>
      <c r="M27" s="367"/>
      <c r="N27" s="367"/>
      <c r="O27" s="361"/>
      <c r="P27" s="361"/>
      <c r="Q27" s="344"/>
      <c r="R27" s="336"/>
      <c r="S27" s="362"/>
      <c r="T27" s="341"/>
      <c r="U27" s="341"/>
      <c r="V27" s="341"/>
    </row>
    <row r="28" spans="1:22" s="368" customFormat="1">
      <c r="A28" s="336"/>
      <c r="B28" s="75">
        <v>1</v>
      </c>
      <c r="C28" s="109" t="s">
        <v>103</v>
      </c>
      <c r="D28" s="356" t="str">
        <f ca="1">IF(ISERROR(OFFSET('HARGA SATUAN'!$D$6,MATCH(RAB!C28,'HARGA SATUAN'!$C$7:$C$1492,0),0)),"",OFFSET('HARGA SATUAN'!$D$6,MATCH(RAB!C28,'HARGA SATUAN'!$C$7:$C$1492,0),0))</f>
        <v>HDW</v>
      </c>
      <c r="E28" s="357" t="str">
        <f ca="1">IF(B28="+","Unit",IF(ISERROR(OFFSET('HARGA SATUAN'!$E$6,MATCH(RAB!C28,'HARGA SATUAN'!$C$7:$C$1492,0),0)),"",OFFSET('HARGA SATUAN'!$E$6,MATCH(RAB!C28,'HARGA SATUAN'!$C$7:$C$1492,0),0)))</f>
        <v>Btg</v>
      </c>
      <c r="F28" s="713">
        <v>4</v>
      </c>
      <c r="G28" s="358">
        <f ca="1">IF(ISERROR(OFFSET('HARGA SATUAN'!$I$6,MATCH(RAB!C28,'HARGA SATUAN'!$C$7:$C$1492,0),0)),0,OFFSET('HARGA SATUAN'!$I$6,MATCH(RAB!C28,'HARGA SATUAN'!$C$7:$C$1492,0),0))</f>
        <v>5800000</v>
      </c>
      <c r="H28" s="359">
        <f t="shared" ca="1" si="8"/>
        <v>0</v>
      </c>
      <c r="I28" s="359">
        <f t="shared" ca="1" si="9"/>
        <v>23200000</v>
      </c>
      <c r="J28" s="359">
        <f t="shared" ca="1" si="10"/>
        <v>0</v>
      </c>
      <c r="K28" s="360">
        <f t="shared" ca="1" si="11"/>
        <v>23200000</v>
      </c>
      <c r="L28" s="367"/>
      <c r="M28" s="367"/>
      <c r="N28" s="367"/>
      <c r="O28" s="361"/>
      <c r="P28" s="361"/>
      <c r="Q28" s="344"/>
      <c r="R28" s="336"/>
      <c r="S28" s="362"/>
      <c r="T28" s="341"/>
      <c r="U28" s="341"/>
      <c r="V28" s="341"/>
    </row>
    <row r="29" spans="1:22" s="368" customFormat="1">
      <c r="A29" s="336"/>
      <c r="B29" s="75">
        <v>2</v>
      </c>
      <c r="C29" s="109" t="s">
        <v>6</v>
      </c>
      <c r="D29" s="356" t="str">
        <f ca="1">IF(ISERROR(OFFSET('HARGA SATUAN'!$D$6,MATCH(RAB!C29,'HARGA SATUAN'!$C$7:$C$1492,0),0)),"",OFFSET('HARGA SATUAN'!$D$6,MATCH(RAB!C29,'HARGA SATUAN'!$C$7:$C$1492,0),0))</f>
        <v>JASA</v>
      </c>
      <c r="E29" s="357" t="str">
        <f ca="1">IF(B29="+","Unit",IF(ISERROR(OFFSET('HARGA SATUAN'!$E$6,MATCH(RAB!C29,'HARGA SATUAN'!$C$7:$C$1492,0),0)),"",OFFSET('HARGA SATUAN'!$E$6,MATCH(RAB!C29,'HARGA SATUAN'!$C$7:$C$1492,0),0)))</f>
        <v>Btg</v>
      </c>
      <c r="F29" s="713">
        <f>F28</f>
        <v>4</v>
      </c>
      <c r="G29" s="358">
        <f ca="1">IF(ISERROR(OFFSET('HARGA SATUAN'!$I$6,MATCH(RAB!C29,'HARGA SATUAN'!$C$7:$C$1492,0),0)),0,OFFSET('HARGA SATUAN'!$I$6,MATCH(RAB!C29,'HARGA SATUAN'!$C$7:$C$1492,0),0))</f>
        <v>10066.666666666668</v>
      </c>
      <c r="H29" s="359">
        <f t="shared" ca="1" si="8"/>
        <v>0</v>
      </c>
      <c r="I29" s="359">
        <f t="shared" ca="1" si="9"/>
        <v>0</v>
      </c>
      <c r="J29" s="359">
        <f t="shared" ca="1" si="10"/>
        <v>40266.666666666672</v>
      </c>
      <c r="K29" s="360">
        <f t="shared" ca="1" si="11"/>
        <v>40266.666666666672</v>
      </c>
      <c r="L29" s="367"/>
      <c r="M29" s="367"/>
      <c r="N29" s="367"/>
      <c r="O29" s="361"/>
      <c r="P29" s="361"/>
      <c r="Q29" s="344"/>
      <c r="R29" s="336"/>
      <c r="S29" s="362"/>
      <c r="T29" s="341"/>
      <c r="U29" s="341"/>
      <c r="V29" s="341"/>
    </row>
    <row r="30" spans="1:22" s="368" customFormat="1">
      <c r="A30" s="336"/>
      <c r="B30" s="75"/>
      <c r="C30" s="109"/>
      <c r="D30" s="356" t="str">
        <f ca="1">IF(ISERROR(OFFSET('HARGA SATUAN'!$D$6,MATCH(RAB!C30,'HARGA SATUAN'!$C$7:$C$1492,0),0)),"",OFFSET('HARGA SATUAN'!$D$6,MATCH(RAB!C30,'HARGA SATUAN'!$C$7:$C$1492,0),0))</f>
        <v/>
      </c>
      <c r="E30" s="357" t="str">
        <f ca="1">IF(B30="+","Unit",IF(ISERROR(OFFSET('HARGA SATUAN'!$E$6,MATCH(RAB!C30,'HARGA SATUAN'!$C$7:$C$1492,0),0)),"",OFFSET('HARGA SATUAN'!$E$6,MATCH(RAB!C30,'HARGA SATUAN'!$C$7:$C$1492,0),0)))</f>
        <v/>
      </c>
      <c r="F30" s="713"/>
      <c r="G30" s="358">
        <f ca="1">IF(ISERROR(OFFSET('HARGA SATUAN'!$I$6,MATCH(RAB!C30,'HARGA SATUAN'!$C$7:$C$1492,0),0)),0,OFFSET('HARGA SATUAN'!$I$6,MATCH(RAB!C30,'HARGA SATUAN'!$C$7:$C$1492,0),0))</f>
        <v>0</v>
      </c>
      <c r="H30" s="359">
        <f t="shared" ca="1" si="8"/>
        <v>0</v>
      </c>
      <c r="I30" s="359">
        <f t="shared" ca="1" si="9"/>
        <v>0</v>
      </c>
      <c r="J30" s="359">
        <f t="shared" ca="1" si="10"/>
        <v>0</v>
      </c>
      <c r="K30" s="360">
        <f t="shared" ca="1" si="11"/>
        <v>0</v>
      </c>
      <c r="L30" s="367"/>
      <c r="M30" s="367"/>
      <c r="N30" s="367"/>
      <c r="O30" s="361"/>
      <c r="P30" s="361"/>
      <c r="Q30" s="344"/>
      <c r="R30" s="336"/>
      <c r="S30" s="362"/>
      <c r="T30" s="341"/>
      <c r="U30" s="341"/>
      <c r="V30" s="341"/>
    </row>
    <row r="31" spans="1:22" s="368" customFormat="1">
      <c r="A31" s="336"/>
      <c r="B31" s="732" t="s">
        <v>1035</v>
      </c>
      <c r="C31" s="733" t="s">
        <v>1619</v>
      </c>
      <c r="D31" s="356" t="str">
        <f ca="1">IF(ISERROR(OFFSET('HARGA SATUAN'!$D$6,MATCH(RAB!C31,'HARGA SATUAN'!$C$7:$C$1492,0),0)),"",OFFSET('HARGA SATUAN'!$D$6,MATCH(RAB!C31,'HARGA SATUAN'!$C$7:$C$1492,0),0))</f>
        <v/>
      </c>
      <c r="E31" s="357" t="str">
        <f ca="1">IF(B31="+","Unit",IF(ISERROR(OFFSET('HARGA SATUAN'!$E$6,MATCH(RAB!C31,'HARGA SATUAN'!$C$7:$C$1492,0),0)),"",OFFSET('HARGA SATUAN'!$E$6,MATCH(RAB!C31,'HARGA SATUAN'!$C$7:$C$1492,0),0)))</f>
        <v>Unit</v>
      </c>
      <c r="F31" s="713"/>
      <c r="G31" s="358">
        <f ca="1">IF(ISERROR(OFFSET('HARGA SATUAN'!$I$6,MATCH(RAB!C31,'HARGA SATUAN'!$C$7:$C$1492,0),0)),0,OFFSET('HARGA SATUAN'!$I$6,MATCH(RAB!C31,'HARGA SATUAN'!$C$7:$C$1492,0),0))</f>
        <v>0</v>
      </c>
      <c r="H31" s="359">
        <f t="shared" ca="1" si="8"/>
        <v>0</v>
      </c>
      <c r="I31" s="359">
        <f t="shared" ca="1" si="9"/>
        <v>0</v>
      </c>
      <c r="J31" s="359">
        <f t="shared" ca="1" si="10"/>
        <v>0</v>
      </c>
      <c r="K31" s="360">
        <f t="shared" ca="1" si="11"/>
        <v>0</v>
      </c>
      <c r="L31" s="367"/>
      <c r="M31" s="367"/>
      <c r="N31" s="367"/>
      <c r="O31" s="361"/>
      <c r="P31" s="361"/>
      <c r="Q31" s="344"/>
      <c r="R31" s="336"/>
      <c r="S31" s="362"/>
      <c r="T31" s="341"/>
      <c r="U31" s="341"/>
      <c r="V31" s="341"/>
    </row>
    <row r="32" spans="1:22" s="368" customFormat="1">
      <c r="A32" s="336"/>
      <c r="B32" s="75">
        <v>1</v>
      </c>
      <c r="C32" s="109" t="s">
        <v>104</v>
      </c>
      <c r="D32" s="356" t="str">
        <f ca="1">IF(ISERROR(OFFSET('HARGA SATUAN'!$D$6,MATCH(RAB!C32,'HARGA SATUAN'!$C$7:$C$1492,0),0)),"",OFFSET('HARGA SATUAN'!$D$6,MATCH(RAB!C32,'HARGA SATUAN'!$C$7:$C$1492,0),0))</f>
        <v>HDW</v>
      </c>
      <c r="E32" s="357" t="str">
        <f ca="1">IF(B32="+","Unit",IF(ISERROR(OFFSET('HARGA SATUAN'!$E$6,MATCH(RAB!C32,'HARGA SATUAN'!$C$7:$C$1492,0),0)),"",OFFSET('HARGA SATUAN'!$E$6,MATCH(RAB!C32,'HARGA SATUAN'!$C$7:$C$1492,0),0)))</f>
        <v>Btg</v>
      </c>
      <c r="F32" s="713">
        <v>1</v>
      </c>
      <c r="G32" s="358">
        <f ca="1">IF(ISERROR(OFFSET('HARGA SATUAN'!$I$6,MATCH(RAB!C32,'HARGA SATUAN'!$C$7:$C$1492,0),0)),0,OFFSET('HARGA SATUAN'!$I$6,MATCH(RAB!C32,'HARGA SATUAN'!$C$7:$C$1492,0),0))</f>
        <v>6074400</v>
      </c>
      <c r="H32" s="359">
        <f t="shared" ca="1" si="8"/>
        <v>0</v>
      </c>
      <c r="I32" s="359">
        <f t="shared" ca="1" si="9"/>
        <v>6074400</v>
      </c>
      <c r="J32" s="359">
        <f t="shared" ca="1" si="10"/>
        <v>0</v>
      </c>
      <c r="K32" s="360">
        <f t="shared" ca="1" si="11"/>
        <v>6074400</v>
      </c>
      <c r="L32" s="367"/>
      <c r="M32" s="367"/>
      <c r="N32" s="367"/>
      <c r="O32" s="361"/>
      <c r="P32" s="361"/>
      <c r="Q32" s="344"/>
      <c r="R32" s="336"/>
      <c r="S32" s="362"/>
      <c r="T32" s="341"/>
      <c r="U32" s="341"/>
      <c r="V32" s="341"/>
    </row>
    <row r="33" spans="1:22" s="368" customFormat="1">
      <c r="A33" s="336"/>
      <c r="B33" s="75">
        <v>2</v>
      </c>
      <c r="C33" s="109" t="s">
        <v>6</v>
      </c>
      <c r="D33" s="356" t="str">
        <f ca="1">IF(ISERROR(OFFSET('HARGA SATUAN'!$D$6,MATCH(RAB!C33,'HARGA SATUAN'!$C$7:$C$1492,0),0)),"",OFFSET('HARGA SATUAN'!$D$6,MATCH(RAB!C33,'HARGA SATUAN'!$C$7:$C$1492,0),0))</f>
        <v>JASA</v>
      </c>
      <c r="E33" s="357" t="str">
        <f ca="1">IF(B33="+","Unit",IF(ISERROR(OFFSET('HARGA SATUAN'!$E$6,MATCH(RAB!C33,'HARGA SATUAN'!$C$7:$C$1492,0),0)),"",OFFSET('HARGA SATUAN'!$E$6,MATCH(RAB!C33,'HARGA SATUAN'!$C$7:$C$1492,0),0)))</f>
        <v>Btg</v>
      </c>
      <c r="F33" s="713">
        <f>F32</f>
        <v>1</v>
      </c>
      <c r="G33" s="358">
        <f ca="1">IF(ISERROR(OFFSET('HARGA SATUAN'!$I$6,MATCH(RAB!C33,'HARGA SATUAN'!$C$7:$C$1492,0),0)),0,OFFSET('HARGA SATUAN'!$I$6,MATCH(RAB!C33,'HARGA SATUAN'!$C$7:$C$1492,0),0))</f>
        <v>10066.666666666668</v>
      </c>
      <c r="H33" s="359">
        <f t="shared" ca="1" si="8"/>
        <v>0</v>
      </c>
      <c r="I33" s="359">
        <f t="shared" ca="1" si="9"/>
        <v>0</v>
      </c>
      <c r="J33" s="359">
        <f t="shared" ca="1" si="10"/>
        <v>10066.666666666668</v>
      </c>
      <c r="K33" s="360">
        <f t="shared" ca="1" si="11"/>
        <v>10066.666666666668</v>
      </c>
      <c r="L33" s="367"/>
      <c r="M33" s="367"/>
      <c r="N33" s="367"/>
      <c r="O33" s="361"/>
      <c r="P33" s="361"/>
      <c r="Q33" s="344"/>
      <c r="R33" s="336"/>
      <c r="S33" s="362"/>
      <c r="T33" s="341"/>
      <c r="U33" s="341"/>
      <c r="V33" s="341"/>
    </row>
    <row r="34" spans="1:22" s="368" customFormat="1">
      <c r="A34" s="336"/>
      <c r="B34" s="688"/>
      <c r="C34" s="689"/>
      <c r="D34" s="356" t="str">
        <f ca="1">IF(ISERROR(OFFSET('HARGA SATUAN'!$D$6,MATCH(RAB!C34,'HARGA SATUAN'!$C$7:$C$1492,0),0)),"",OFFSET('HARGA SATUAN'!$D$6,MATCH(RAB!C34,'HARGA SATUAN'!$C$7:$C$1492,0),0))</f>
        <v/>
      </c>
      <c r="E34" s="357" t="str">
        <f ca="1">IF(B34="+","Unit",IF(ISERROR(OFFSET('HARGA SATUAN'!$E$6,MATCH(RAB!C34,'HARGA SATUAN'!$C$7:$C$1492,0),0)),"",OFFSET('HARGA SATUAN'!$E$6,MATCH(RAB!C34,'HARGA SATUAN'!$C$7:$C$1492,0),0)))</f>
        <v/>
      </c>
      <c r="F34" s="713"/>
      <c r="G34" s="358">
        <f ca="1">IF(ISERROR(OFFSET('HARGA SATUAN'!$I$6,MATCH(RAB!C34,'HARGA SATUAN'!$C$7:$C$1492,0),0)),0,OFFSET('HARGA SATUAN'!$I$6,MATCH(RAB!C34,'HARGA SATUAN'!$C$7:$C$1492,0),0))</f>
        <v>0</v>
      </c>
      <c r="H34" s="359">
        <f t="shared" ca="1" si="8"/>
        <v>0</v>
      </c>
      <c r="I34" s="359">
        <f t="shared" ca="1" si="9"/>
        <v>0</v>
      </c>
      <c r="J34" s="359">
        <f t="shared" ca="1" si="10"/>
        <v>0</v>
      </c>
      <c r="K34" s="360">
        <f t="shared" ca="1" si="11"/>
        <v>0</v>
      </c>
      <c r="L34" s="367"/>
      <c r="M34" s="367"/>
      <c r="N34" s="367"/>
      <c r="O34" s="361"/>
      <c r="P34" s="361"/>
      <c r="Q34" s="344"/>
      <c r="R34" s="336"/>
      <c r="S34" s="362"/>
      <c r="T34" s="341"/>
      <c r="U34" s="341"/>
      <c r="V34" s="341"/>
    </row>
    <row r="35" spans="1:22" s="368" customFormat="1">
      <c r="A35" s="336"/>
      <c r="B35" s="690" t="s">
        <v>505</v>
      </c>
      <c r="C35" s="691" t="s">
        <v>1620</v>
      </c>
      <c r="D35" s="356" t="str">
        <f ca="1">IF(ISERROR(OFFSET('HARGA SATUAN'!$D$6,MATCH(RAB!C35,'HARGA SATUAN'!$C$7:$C$1492,0),0)),"",OFFSET('HARGA SATUAN'!$D$6,MATCH(RAB!C35,'HARGA SATUAN'!$C$7:$C$1492,0),0))</f>
        <v/>
      </c>
      <c r="E35" s="357" t="str">
        <f ca="1">IF(B35="+","Unit",IF(ISERROR(OFFSET('HARGA SATUAN'!$E$6,MATCH(RAB!C35,'HARGA SATUAN'!$C$7:$C$1492,0),0)),"",OFFSET('HARGA SATUAN'!$E$6,MATCH(RAB!C35,'HARGA SATUAN'!$C$7:$C$1492,0),0)))</f>
        <v/>
      </c>
      <c r="F35" s="713"/>
      <c r="G35" s="358">
        <f ca="1">IF(ISERROR(OFFSET('HARGA SATUAN'!$I$6,MATCH(RAB!C35,'HARGA SATUAN'!$C$7:$C$1492,0),0)),0,OFFSET('HARGA SATUAN'!$I$6,MATCH(RAB!C35,'HARGA SATUAN'!$C$7:$C$1492,0),0))</f>
        <v>0</v>
      </c>
      <c r="H35" s="359">
        <f t="shared" ca="1" si="8"/>
        <v>0</v>
      </c>
      <c r="I35" s="359">
        <f t="shared" ca="1" si="9"/>
        <v>0</v>
      </c>
      <c r="J35" s="359">
        <f t="shared" ca="1" si="10"/>
        <v>0</v>
      </c>
      <c r="K35" s="360">
        <f t="shared" ca="1" si="11"/>
        <v>0</v>
      </c>
      <c r="L35" s="367"/>
      <c r="M35" s="367"/>
      <c r="N35" s="367"/>
      <c r="O35" s="361"/>
      <c r="P35" s="361"/>
      <c r="Q35" s="344"/>
      <c r="R35" s="336"/>
      <c r="S35" s="362"/>
      <c r="T35" s="341"/>
      <c r="U35" s="341"/>
      <c r="V35" s="341"/>
    </row>
    <row r="36" spans="1:22" s="368" customFormat="1">
      <c r="A36" s="336"/>
      <c r="B36" s="692"/>
      <c r="C36" s="693"/>
      <c r="D36" s="356" t="str">
        <f ca="1">IF(ISERROR(OFFSET('HARGA SATUAN'!$D$6,MATCH(RAB!C36,'HARGA SATUAN'!$C$7:$C$1492,0),0)),"",OFFSET('HARGA SATUAN'!$D$6,MATCH(RAB!C36,'HARGA SATUAN'!$C$7:$C$1492,0),0))</f>
        <v/>
      </c>
      <c r="E36" s="357" t="str">
        <f ca="1">IF(B36="+","Unit",IF(ISERROR(OFFSET('HARGA SATUAN'!$E$6,MATCH(RAB!C36,'HARGA SATUAN'!$C$7:$C$1492,0),0)),"",OFFSET('HARGA SATUAN'!$E$6,MATCH(RAB!C36,'HARGA SATUAN'!$C$7:$C$1492,0),0)))</f>
        <v/>
      </c>
      <c r="F36" s="714"/>
      <c r="G36" s="358">
        <f ca="1">IF(ISERROR(OFFSET('HARGA SATUAN'!$I$6,MATCH(RAB!C36,'HARGA SATUAN'!$C$7:$C$1492,0),0)),0,OFFSET('HARGA SATUAN'!$I$6,MATCH(RAB!C36,'HARGA SATUAN'!$C$7:$C$1492,0),0))</f>
        <v>0</v>
      </c>
      <c r="H36" s="359">
        <f t="shared" ca="1" si="8"/>
        <v>0</v>
      </c>
      <c r="I36" s="359">
        <f t="shared" ca="1" si="9"/>
        <v>0</v>
      </c>
      <c r="J36" s="359">
        <f t="shared" ca="1" si="10"/>
        <v>0</v>
      </c>
      <c r="K36" s="360">
        <f t="shared" ca="1" si="11"/>
        <v>0</v>
      </c>
      <c r="L36" s="367"/>
      <c r="M36" s="367"/>
      <c r="N36" s="367"/>
      <c r="O36" s="361"/>
      <c r="P36" s="361"/>
      <c r="Q36" s="344"/>
      <c r="R36" s="336"/>
      <c r="S36" s="362"/>
      <c r="T36" s="341"/>
      <c r="U36" s="341"/>
      <c r="V36" s="341"/>
    </row>
    <row r="37" spans="1:22" s="368" customFormat="1">
      <c r="A37" s="336"/>
      <c r="B37" s="738" t="s">
        <v>1035</v>
      </c>
      <c r="C37" s="739" t="s">
        <v>1661</v>
      </c>
      <c r="D37" s="356" t="str">
        <f ca="1">IF(ISERROR(OFFSET('HARGA SATUAN'!$D$6,MATCH(RAB!C37,'HARGA SATUAN'!$C$7:$C$1492,0),0)),"",OFFSET('HARGA SATUAN'!$D$6,MATCH(RAB!C37,'HARGA SATUAN'!$C$7:$C$1492,0),0))</f>
        <v/>
      </c>
      <c r="E37" s="357" t="str">
        <f ca="1">IF(B37="+","Unit",IF(ISERROR(OFFSET('HARGA SATUAN'!$E$6,MATCH(RAB!C37,'HARGA SATUAN'!$C$7:$C$1492,0),0)),"",OFFSET('HARGA SATUAN'!$E$6,MATCH(RAB!C37,'HARGA SATUAN'!$C$7:$C$1492,0),0)))</f>
        <v>Unit</v>
      </c>
      <c r="F37" s="714"/>
      <c r="G37" s="358">
        <f ca="1">IF(ISERROR(OFFSET('HARGA SATUAN'!$I$6,MATCH(RAB!C37,'HARGA SATUAN'!$C$7:$C$1492,0),0)),0,OFFSET('HARGA SATUAN'!$I$6,MATCH(RAB!C37,'HARGA SATUAN'!$C$7:$C$1492,0),0))</f>
        <v>0</v>
      </c>
      <c r="H37" s="359">
        <f t="shared" ca="1" si="8"/>
        <v>0</v>
      </c>
      <c r="I37" s="359">
        <f t="shared" ca="1" si="9"/>
        <v>0</v>
      </c>
      <c r="J37" s="359">
        <f t="shared" ca="1" si="10"/>
        <v>0</v>
      </c>
      <c r="K37" s="360">
        <f t="shared" ca="1" si="11"/>
        <v>0</v>
      </c>
      <c r="L37" s="367"/>
      <c r="M37" s="367"/>
      <c r="N37" s="367"/>
      <c r="O37" s="361"/>
      <c r="P37" s="361"/>
      <c r="Q37" s="344"/>
      <c r="R37" s="336"/>
      <c r="S37" s="362"/>
      <c r="T37" s="341"/>
      <c r="U37" s="341"/>
      <c r="V37" s="341"/>
    </row>
    <row r="38" spans="1:22" s="368" customFormat="1">
      <c r="A38" s="336"/>
      <c r="B38" s="75"/>
      <c r="C38" s="109"/>
      <c r="D38" s="356" t="str">
        <f ca="1">IF(ISERROR(OFFSET('HARGA SATUAN'!$D$6,MATCH(RAB!C38,'HARGA SATUAN'!$C$7:$C$1492,0),0)),"",OFFSET('HARGA SATUAN'!$D$6,MATCH(RAB!C38,'HARGA SATUAN'!$C$7:$C$1492,0),0))</f>
        <v/>
      </c>
      <c r="E38" s="357" t="str">
        <f ca="1">IF(B38="+","Unit",IF(ISERROR(OFFSET('HARGA SATUAN'!$E$6,MATCH(RAB!C38,'HARGA SATUAN'!$C$7:$C$1492,0),0)),"",OFFSET('HARGA SATUAN'!$E$6,MATCH(RAB!C38,'HARGA SATUAN'!$C$7:$C$1492,0),0)))</f>
        <v/>
      </c>
      <c r="F38" s="714"/>
      <c r="G38" s="358">
        <f ca="1">IF(ISERROR(OFFSET('HARGA SATUAN'!$I$6,MATCH(RAB!C38,'HARGA SATUAN'!$C$7:$C$1492,0),0)),0,OFFSET('HARGA SATUAN'!$I$6,MATCH(RAB!C38,'HARGA SATUAN'!$C$7:$C$1492,0),0))</f>
        <v>0</v>
      </c>
      <c r="H38" s="359">
        <f t="shared" ca="1" si="8"/>
        <v>0</v>
      </c>
      <c r="I38" s="359">
        <f t="shared" ca="1" si="9"/>
        <v>0</v>
      </c>
      <c r="J38" s="359">
        <f t="shared" ca="1" si="10"/>
        <v>0</v>
      </c>
      <c r="K38" s="360">
        <f t="shared" ca="1" si="11"/>
        <v>0</v>
      </c>
      <c r="L38" s="367"/>
      <c r="M38" s="367"/>
      <c r="N38" s="367"/>
      <c r="O38" s="361"/>
      <c r="P38" s="361"/>
      <c r="Q38" s="344"/>
      <c r="R38" s="336"/>
      <c r="S38" s="362"/>
      <c r="T38" s="341"/>
      <c r="U38" s="341"/>
      <c r="V38" s="341"/>
    </row>
    <row r="39" spans="1:22" s="368" customFormat="1">
      <c r="A39" s="336"/>
      <c r="B39" s="692" t="s">
        <v>1035</v>
      </c>
      <c r="C39" s="693" t="s">
        <v>1621</v>
      </c>
      <c r="D39" s="356" t="str">
        <f ca="1">IF(ISERROR(OFFSET('HARGA SATUAN'!$D$6,MATCH(RAB!C39,'HARGA SATUAN'!$C$7:$C$1492,0),0)),"",OFFSET('HARGA SATUAN'!$D$6,MATCH(RAB!C39,'HARGA SATUAN'!$C$7:$C$1492,0),0))</f>
        <v/>
      </c>
      <c r="E39" s="357" t="str">
        <f ca="1">IF(B39="+","Unit",IF(ISERROR(OFFSET('HARGA SATUAN'!$E$6,MATCH(RAB!C39,'HARGA SATUAN'!$C$7:$C$1492,0),0)),"",OFFSET('HARGA SATUAN'!$E$6,MATCH(RAB!C39,'HARGA SATUAN'!$C$7:$C$1492,0),0)))</f>
        <v>Unit</v>
      </c>
      <c r="F39" s="489">
        <v>8</v>
      </c>
      <c r="G39" s="358">
        <f ca="1">IF(ISERROR(OFFSET('HARGA SATUAN'!$I$6,MATCH(RAB!C39,'HARGA SATUAN'!$C$7:$C$1492,0),0)),0,OFFSET('HARGA SATUAN'!$I$6,MATCH(RAB!C39,'HARGA SATUAN'!$C$7:$C$1492,0),0))</f>
        <v>0</v>
      </c>
      <c r="H39" s="359">
        <f t="shared" ca="1" si="8"/>
        <v>0</v>
      </c>
      <c r="I39" s="359">
        <f t="shared" ca="1" si="9"/>
        <v>0</v>
      </c>
      <c r="J39" s="359">
        <f t="shared" ca="1" si="10"/>
        <v>0</v>
      </c>
      <c r="K39" s="360">
        <f t="shared" ca="1" si="11"/>
        <v>0</v>
      </c>
      <c r="L39" s="367"/>
      <c r="M39" s="367"/>
      <c r="N39" s="367"/>
      <c r="O39" s="361"/>
      <c r="P39" s="361"/>
      <c r="Q39" s="344"/>
      <c r="R39" s="336"/>
      <c r="S39" s="362"/>
      <c r="T39" s="341"/>
      <c r="U39" s="341"/>
      <c r="V39" s="341"/>
    </row>
    <row r="40" spans="1:22" s="368" customFormat="1">
      <c r="A40" s="336"/>
      <c r="B40" s="692">
        <v>1</v>
      </c>
      <c r="C40" s="109" t="s">
        <v>1564</v>
      </c>
      <c r="D40" s="356" t="str">
        <f ca="1">IF(ISERROR(OFFSET('HARGA SATUAN'!$D$6,MATCH(RAB!C40,'HARGA SATUAN'!$C$7:$C$1492,0),0)),"",OFFSET('HARGA SATUAN'!$D$6,MATCH(RAB!C40,'HARGA SATUAN'!$C$7:$C$1492,0),0))</f>
        <v>MDU-KD</v>
      </c>
      <c r="E40" s="357" t="str">
        <f ca="1">IF(B40="+","Unit",IF(ISERROR(OFFSET('HARGA SATUAN'!$E$6,MATCH(RAB!C40,'HARGA SATUAN'!$C$7:$C$1492,0),0)),"",OFFSET('HARGA SATUAN'!$E$6,MATCH(RAB!C40,'HARGA SATUAN'!$C$7:$C$1492,0),0)))</f>
        <v>Bh</v>
      </c>
      <c r="F40" s="489">
        <f>F39*1</f>
        <v>8</v>
      </c>
      <c r="G40" s="358">
        <f ca="1">IF(ISERROR(OFFSET('HARGA SATUAN'!$I$6,MATCH(RAB!C40,'HARGA SATUAN'!$C$7:$C$1492,0),0)),0,OFFSET('HARGA SATUAN'!$I$6,MATCH(RAB!C40,'HARGA SATUAN'!$C$7:$C$1492,0),0))</f>
        <v>235900</v>
      </c>
      <c r="H40" s="359">
        <f t="shared" ca="1" si="8"/>
        <v>1887200</v>
      </c>
      <c r="I40" s="359">
        <f t="shared" ca="1" si="9"/>
        <v>0</v>
      </c>
      <c r="J40" s="359">
        <f t="shared" ca="1" si="10"/>
        <v>0</v>
      </c>
      <c r="K40" s="360">
        <f t="shared" ca="1" si="11"/>
        <v>1887200</v>
      </c>
      <c r="L40" s="367"/>
      <c r="M40" s="367"/>
      <c r="N40" s="367"/>
      <c r="O40" s="361"/>
      <c r="P40" s="361"/>
      <c r="Q40" s="344"/>
      <c r="R40" s="336"/>
      <c r="S40" s="362"/>
      <c r="T40" s="341"/>
      <c r="U40" s="341"/>
      <c r="V40" s="341"/>
    </row>
    <row r="41" spans="1:22" s="368" customFormat="1">
      <c r="A41" s="336"/>
      <c r="B41" s="692">
        <v>2</v>
      </c>
      <c r="C41" s="109" t="s">
        <v>1564</v>
      </c>
      <c r="D41" s="356" t="str">
        <f ca="1">IF(ISERROR(OFFSET('HARGA SATUAN'!$D$6,MATCH(RAB!C41,'HARGA SATUAN'!$C$7:$C$1492,0),0)),"",OFFSET('HARGA SATUAN'!$D$6,MATCH(RAB!C41,'HARGA SATUAN'!$C$7:$C$1492,0),0))</f>
        <v>MDU-KD</v>
      </c>
      <c r="E41" s="357" t="str">
        <f ca="1">IF(B41="+","Unit",IF(ISERROR(OFFSET('HARGA SATUAN'!$E$6,MATCH(RAB!C41,'HARGA SATUAN'!$C$7:$C$1492,0),0)),"",OFFSET('HARGA SATUAN'!$E$6,MATCH(RAB!C41,'HARGA SATUAN'!$C$7:$C$1492,0),0)))</f>
        <v>Bh</v>
      </c>
      <c r="F41" s="489">
        <f>F39*2</f>
        <v>16</v>
      </c>
      <c r="G41" s="358">
        <f ca="1">IF(ISERROR(OFFSET('HARGA SATUAN'!$I$6,MATCH(RAB!C41,'HARGA SATUAN'!$C$7:$C$1492,0),0)),0,OFFSET('HARGA SATUAN'!$I$6,MATCH(RAB!C41,'HARGA SATUAN'!$C$7:$C$1492,0),0))</f>
        <v>235900</v>
      </c>
      <c r="H41" s="359">
        <f t="shared" ca="1" si="8"/>
        <v>3774400</v>
      </c>
      <c r="I41" s="359">
        <f t="shared" ca="1" si="9"/>
        <v>0</v>
      </c>
      <c r="J41" s="359">
        <f t="shared" ca="1" si="10"/>
        <v>0</v>
      </c>
      <c r="K41" s="360">
        <f t="shared" ca="1" si="11"/>
        <v>3774400</v>
      </c>
      <c r="L41" s="367"/>
      <c r="M41" s="367"/>
      <c r="N41" s="367"/>
      <c r="O41" s="361"/>
      <c r="P41" s="361"/>
      <c r="Q41" s="344"/>
      <c r="R41" s="336"/>
      <c r="S41" s="362"/>
      <c r="T41" s="341"/>
      <c r="U41" s="341"/>
      <c r="V41" s="341"/>
    </row>
    <row r="42" spans="1:22" s="368" customFormat="1">
      <c r="A42" s="336"/>
      <c r="B42" s="692">
        <v>3</v>
      </c>
      <c r="C42" s="693" t="s">
        <v>28</v>
      </c>
      <c r="D42" s="356" t="str">
        <f ca="1">IF(ISERROR(OFFSET('HARGA SATUAN'!$D$6,MATCH(RAB!C42,'HARGA SATUAN'!$C$7:$C$1492,0),0)),"",OFFSET('HARGA SATUAN'!$D$6,MATCH(RAB!C42,'HARGA SATUAN'!$C$7:$C$1492,0),0))</f>
        <v>HDW</v>
      </c>
      <c r="E42" s="357" t="str">
        <f ca="1">IF(B42="+","Unit",IF(ISERROR(OFFSET('HARGA SATUAN'!$E$6,MATCH(RAB!C42,'HARGA SATUAN'!$C$7:$C$1492,0),0)),"",OFFSET('HARGA SATUAN'!$E$6,MATCH(RAB!C42,'HARGA SATUAN'!$C$7:$C$1492,0),0)))</f>
        <v>Bh</v>
      </c>
      <c r="F42" s="489">
        <f>F39*3</f>
        <v>24</v>
      </c>
      <c r="G42" s="358">
        <f ca="1">IF(ISERROR(OFFSET('HARGA SATUAN'!$I$6,MATCH(RAB!C42,'HARGA SATUAN'!$C$7:$C$1492,0),0)),0,OFFSET('HARGA SATUAN'!$I$6,MATCH(RAB!C42,'HARGA SATUAN'!$C$7:$C$1492,0),0))</f>
        <v>26500</v>
      </c>
      <c r="H42" s="359">
        <f t="shared" ca="1" si="8"/>
        <v>0</v>
      </c>
      <c r="I42" s="359">
        <f t="shared" ca="1" si="9"/>
        <v>636000</v>
      </c>
      <c r="J42" s="359">
        <f t="shared" ca="1" si="10"/>
        <v>0</v>
      </c>
      <c r="K42" s="360">
        <f t="shared" ca="1" si="11"/>
        <v>636000</v>
      </c>
      <c r="L42" s="367"/>
      <c r="M42" s="367"/>
      <c r="N42" s="367"/>
      <c r="O42" s="361"/>
      <c r="P42" s="361"/>
      <c r="Q42" s="344"/>
      <c r="R42" s="336"/>
      <c r="S42" s="362"/>
      <c r="T42" s="341"/>
      <c r="U42" s="341"/>
      <c r="V42" s="341"/>
    </row>
    <row r="43" spans="1:22" s="368" customFormat="1">
      <c r="A43" s="336"/>
      <c r="B43" s="692">
        <v>4</v>
      </c>
      <c r="C43" s="693" t="s">
        <v>163</v>
      </c>
      <c r="D43" s="356" t="str">
        <f ca="1">IF(ISERROR(OFFSET('HARGA SATUAN'!$D$6,MATCH(RAB!C43,'HARGA SATUAN'!$C$7:$C$1492,0),0)),"",OFFSET('HARGA SATUAN'!$D$6,MATCH(RAB!C43,'HARGA SATUAN'!$C$7:$C$1492,0),0))</f>
        <v>HDW</v>
      </c>
      <c r="E43" s="357" t="str">
        <f ca="1">IF(B43="+","Unit",IF(ISERROR(OFFSET('HARGA SATUAN'!$E$6,MATCH(RAB!C43,'HARGA SATUAN'!$C$7:$C$1492,0),0)),"",OFFSET('HARGA SATUAN'!$E$6,MATCH(RAB!C43,'HARGA SATUAN'!$C$7:$C$1492,0),0)))</f>
        <v>Bh</v>
      </c>
      <c r="F43" s="489">
        <f>F39*2</f>
        <v>16</v>
      </c>
      <c r="G43" s="358">
        <f ca="1">IF(ISERROR(OFFSET('HARGA SATUAN'!$I$6,MATCH(RAB!C43,'HARGA SATUAN'!$C$7:$C$1492,0),0)),0,OFFSET('HARGA SATUAN'!$I$6,MATCH(RAB!C43,'HARGA SATUAN'!$C$7:$C$1492,0),0))</f>
        <v>7938</v>
      </c>
      <c r="H43" s="359">
        <f t="shared" ca="1" si="8"/>
        <v>0</v>
      </c>
      <c r="I43" s="359">
        <f t="shared" ca="1" si="9"/>
        <v>127008</v>
      </c>
      <c r="J43" s="359">
        <f t="shared" ca="1" si="10"/>
        <v>0</v>
      </c>
      <c r="K43" s="360">
        <f t="shared" ca="1" si="11"/>
        <v>127008</v>
      </c>
      <c r="L43" s="367"/>
      <c r="M43" s="367"/>
      <c r="N43" s="367"/>
      <c r="O43" s="361"/>
      <c r="P43" s="361"/>
      <c r="Q43" s="344"/>
      <c r="R43" s="336"/>
      <c r="S43" s="362"/>
      <c r="T43" s="341"/>
      <c r="U43" s="341"/>
      <c r="V43" s="341"/>
    </row>
    <row r="44" spans="1:22" s="368" customFormat="1">
      <c r="A44" s="336"/>
      <c r="B44" s="692">
        <v>5</v>
      </c>
      <c r="C44" s="693" t="s">
        <v>168</v>
      </c>
      <c r="D44" s="356" t="str">
        <f ca="1">IF(ISERROR(OFFSET('HARGA SATUAN'!$D$6,MATCH(RAB!C44,'HARGA SATUAN'!$C$7:$C$1492,0),0)),"",OFFSET('HARGA SATUAN'!$D$6,MATCH(RAB!C44,'HARGA SATUAN'!$C$7:$C$1492,0),0))</f>
        <v>HDW</v>
      </c>
      <c r="E44" s="357" t="str">
        <f ca="1">IF(B44="+","Unit",IF(ISERROR(OFFSET('HARGA SATUAN'!$E$6,MATCH(RAB!C44,'HARGA SATUAN'!$C$7:$C$1492,0),0)),"",OFFSET('HARGA SATUAN'!$E$6,MATCH(RAB!C44,'HARGA SATUAN'!$C$7:$C$1492,0),0)))</f>
        <v>Bh</v>
      </c>
      <c r="F44" s="489">
        <f>F39*1</f>
        <v>8</v>
      </c>
      <c r="G44" s="358">
        <f ca="1">IF(ISERROR(OFFSET('HARGA SATUAN'!$I$6,MATCH(RAB!C44,'HARGA SATUAN'!$C$7:$C$1492,0),0)),0,OFFSET('HARGA SATUAN'!$I$6,MATCH(RAB!C44,'HARGA SATUAN'!$C$7:$C$1492,0),0))</f>
        <v>33600</v>
      </c>
      <c r="H44" s="359">
        <f t="shared" ca="1" si="8"/>
        <v>0</v>
      </c>
      <c r="I44" s="359">
        <f t="shared" ca="1" si="9"/>
        <v>268800</v>
      </c>
      <c r="J44" s="359">
        <f t="shared" ca="1" si="10"/>
        <v>0</v>
      </c>
      <c r="K44" s="360">
        <f t="shared" ca="1" si="11"/>
        <v>268800</v>
      </c>
      <c r="L44" s="367"/>
      <c r="M44" s="367"/>
      <c r="N44" s="367"/>
      <c r="O44" s="361"/>
      <c r="P44" s="361"/>
      <c r="Q44" s="344"/>
      <c r="R44" s="336"/>
      <c r="S44" s="362"/>
      <c r="T44" s="341"/>
      <c r="U44" s="341"/>
      <c r="V44" s="341"/>
    </row>
    <row r="45" spans="1:22" s="368" customFormat="1">
      <c r="A45" s="336"/>
      <c r="B45" s="692">
        <v>6</v>
      </c>
      <c r="C45" s="693" t="s">
        <v>173</v>
      </c>
      <c r="D45" s="356" t="str">
        <f ca="1">IF(ISERROR(OFFSET('HARGA SATUAN'!$D$6,MATCH(RAB!C45,'HARGA SATUAN'!$C$7:$C$1492,0),0)),"",OFFSET('HARGA SATUAN'!$D$6,MATCH(RAB!C45,'HARGA SATUAN'!$C$7:$C$1492,0),0))</f>
        <v>HDW</v>
      </c>
      <c r="E45" s="357" t="str">
        <f ca="1">IF(B45="+","Unit",IF(ISERROR(OFFSET('HARGA SATUAN'!$E$6,MATCH(RAB!C45,'HARGA SATUAN'!$C$7:$C$1492,0),0)),"",OFFSET('HARGA SATUAN'!$E$6,MATCH(RAB!C45,'HARGA SATUAN'!$C$7:$C$1492,0),0)))</f>
        <v>Bh</v>
      </c>
      <c r="F45" s="489">
        <f>F39*2</f>
        <v>16</v>
      </c>
      <c r="G45" s="358">
        <f ca="1">IF(ISERROR(OFFSET('HARGA SATUAN'!$I$6,MATCH(RAB!C45,'HARGA SATUAN'!$C$7:$C$1492,0),0)),0,OFFSET('HARGA SATUAN'!$I$6,MATCH(RAB!C45,'HARGA SATUAN'!$C$7:$C$1492,0),0))</f>
        <v>45000</v>
      </c>
      <c r="H45" s="359">
        <f t="shared" ca="1" si="8"/>
        <v>0</v>
      </c>
      <c r="I45" s="359">
        <f t="shared" ca="1" si="9"/>
        <v>720000</v>
      </c>
      <c r="J45" s="359">
        <f t="shared" ca="1" si="10"/>
        <v>0</v>
      </c>
      <c r="K45" s="360">
        <f t="shared" ca="1" si="11"/>
        <v>720000</v>
      </c>
      <c r="L45" s="367"/>
      <c r="M45" s="367"/>
      <c r="N45" s="367"/>
      <c r="O45" s="361"/>
      <c r="P45" s="361"/>
      <c r="Q45" s="344"/>
      <c r="R45" s="336"/>
      <c r="S45" s="362"/>
      <c r="T45" s="341"/>
      <c r="U45" s="341"/>
      <c r="V45" s="341"/>
    </row>
    <row r="46" spans="1:22" s="368" customFormat="1">
      <c r="A46" s="336"/>
      <c r="B46" s="692">
        <v>7</v>
      </c>
      <c r="C46" s="693" t="s">
        <v>178</v>
      </c>
      <c r="D46" s="356" t="str">
        <f ca="1">IF(ISERROR(OFFSET('HARGA SATUAN'!$D$6,MATCH(RAB!C46,'HARGA SATUAN'!$C$7:$C$1492,0),0)),"",OFFSET('HARGA SATUAN'!$D$6,MATCH(RAB!C46,'HARGA SATUAN'!$C$7:$C$1492,0),0))</f>
        <v>HDW</v>
      </c>
      <c r="E46" s="357" t="str">
        <f ca="1">IF(B46="+","Unit",IF(ISERROR(OFFSET('HARGA SATUAN'!$E$6,MATCH(RAB!C46,'HARGA SATUAN'!$C$7:$C$1492,0),0)),"",OFFSET('HARGA SATUAN'!$E$6,MATCH(RAB!C46,'HARGA SATUAN'!$C$7:$C$1492,0),0)))</f>
        <v>Bh</v>
      </c>
      <c r="F46" s="489">
        <f>F39*1</f>
        <v>8</v>
      </c>
      <c r="G46" s="358">
        <f ca="1">IF(ISERROR(OFFSET('HARGA SATUAN'!$I$6,MATCH(RAB!C46,'HARGA SATUAN'!$C$7:$C$1492,0),0)),0,OFFSET('HARGA SATUAN'!$I$6,MATCH(RAB!C46,'HARGA SATUAN'!$C$7:$C$1492,0),0))</f>
        <v>95000</v>
      </c>
      <c r="H46" s="359">
        <f t="shared" ca="1" si="8"/>
        <v>0</v>
      </c>
      <c r="I46" s="359">
        <f t="shared" ca="1" si="9"/>
        <v>760000</v>
      </c>
      <c r="J46" s="359">
        <f t="shared" ca="1" si="10"/>
        <v>0</v>
      </c>
      <c r="K46" s="360">
        <f t="shared" ca="1" si="11"/>
        <v>760000</v>
      </c>
      <c r="L46" s="367"/>
      <c r="M46" s="367"/>
      <c r="N46" s="367"/>
      <c r="O46" s="361"/>
      <c r="P46" s="361"/>
      <c r="Q46" s="344"/>
      <c r="R46" s="336"/>
      <c r="S46" s="362"/>
      <c r="T46" s="341"/>
      <c r="U46" s="341"/>
      <c r="V46" s="341"/>
    </row>
    <row r="47" spans="1:22" s="368" customFormat="1">
      <c r="A47" s="336"/>
      <c r="B47" s="692">
        <v>8</v>
      </c>
      <c r="C47" s="693" t="s">
        <v>593</v>
      </c>
      <c r="D47" s="356" t="str">
        <f ca="1">IF(ISERROR(OFFSET('HARGA SATUAN'!$D$6,MATCH(RAB!C47,'HARGA SATUAN'!$C$7:$C$1492,0),0)),"",OFFSET('HARGA SATUAN'!$D$6,MATCH(RAB!C47,'HARGA SATUAN'!$C$7:$C$1492,0),0))</f>
        <v>HDW</v>
      </c>
      <c r="E47" s="357" t="str">
        <f ca="1">IF(B47="+","Unit",IF(ISERROR(OFFSET('HARGA SATUAN'!$E$6,MATCH(RAB!C47,'HARGA SATUAN'!$C$7:$C$1492,0),0)),"",OFFSET('HARGA SATUAN'!$E$6,MATCH(RAB!C47,'HARGA SATUAN'!$C$7:$C$1492,0),0)))</f>
        <v>Bh</v>
      </c>
      <c r="F47" s="489">
        <f>F39*1</f>
        <v>8</v>
      </c>
      <c r="G47" s="358">
        <f ca="1">IF(ISERROR(OFFSET('HARGA SATUAN'!$I$6,MATCH(RAB!C47,'HARGA SATUAN'!$C$7:$C$1492,0),0)),0,OFFSET('HARGA SATUAN'!$I$6,MATCH(RAB!C47,'HARGA SATUAN'!$C$7:$C$1492,0),0))</f>
        <v>380500</v>
      </c>
      <c r="H47" s="359">
        <f t="shared" ca="1" si="8"/>
        <v>0</v>
      </c>
      <c r="I47" s="359">
        <f t="shared" ca="1" si="9"/>
        <v>3044000</v>
      </c>
      <c r="J47" s="359">
        <f t="shared" ca="1" si="10"/>
        <v>0</v>
      </c>
      <c r="K47" s="360">
        <f t="shared" ca="1" si="11"/>
        <v>3044000</v>
      </c>
      <c r="L47" s="367"/>
      <c r="M47" s="367"/>
      <c r="N47" s="367"/>
      <c r="O47" s="361"/>
      <c r="P47" s="361"/>
      <c r="Q47" s="344"/>
      <c r="R47" s="336"/>
      <c r="S47" s="362"/>
      <c r="T47" s="341"/>
      <c r="U47" s="341"/>
      <c r="V47" s="341"/>
    </row>
    <row r="48" spans="1:22" s="368" customFormat="1">
      <c r="A48" s="336"/>
      <c r="B48" s="692">
        <v>9</v>
      </c>
      <c r="C48" s="693" t="s">
        <v>217</v>
      </c>
      <c r="D48" s="356" t="str">
        <f ca="1">IF(ISERROR(OFFSET('HARGA SATUAN'!$D$6,MATCH(RAB!C48,'HARGA SATUAN'!$C$7:$C$1492,0),0)),"",OFFSET('HARGA SATUAN'!$D$6,MATCH(RAB!C48,'HARGA SATUAN'!$C$7:$C$1492,0),0))</f>
        <v>HDW</v>
      </c>
      <c r="E48" s="357" t="str">
        <f ca="1">IF(B48="+","Unit",IF(ISERROR(OFFSET('HARGA SATUAN'!$E$6,MATCH(RAB!C48,'HARGA SATUAN'!$C$7:$C$1492,0),0)),"",OFFSET('HARGA SATUAN'!$E$6,MATCH(RAB!C48,'HARGA SATUAN'!$C$7:$C$1492,0),0)))</f>
        <v>Bh</v>
      </c>
      <c r="F48" s="489">
        <f>F39*4</f>
        <v>32</v>
      </c>
      <c r="G48" s="358">
        <f ca="1">IF(ISERROR(OFFSET('HARGA SATUAN'!$I$6,MATCH(RAB!C48,'HARGA SATUAN'!$C$7:$C$1492,0),0)),0,OFFSET('HARGA SATUAN'!$I$6,MATCH(RAB!C48,'HARGA SATUAN'!$C$7:$C$1492,0),0))</f>
        <v>11400</v>
      </c>
      <c r="H48" s="359">
        <f t="shared" ca="1" si="8"/>
        <v>0</v>
      </c>
      <c r="I48" s="359">
        <f t="shared" ca="1" si="9"/>
        <v>364800</v>
      </c>
      <c r="J48" s="359">
        <f t="shared" ca="1" si="10"/>
        <v>0</v>
      </c>
      <c r="K48" s="360">
        <f t="shared" ca="1" si="11"/>
        <v>364800</v>
      </c>
      <c r="L48" s="367"/>
      <c r="M48" s="367"/>
      <c r="N48" s="367"/>
      <c r="O48" s="361"/>
      <c r="P48" s="361"/>
      <c r="Q48" s="344"/>
      <c r="R48" s="336"/>
      <c r="S48" s="362"/>
      <c r="T48" s="341"/>
      <c r="U48" s="341"/>
      <c r="V48" s="341"/>
    </row>
    <row r="49" spans="1:22" s="368" customFormat="1">
      <c r="A49" s="336"/>
      <c r="B49" s="692">
        <v>10</v>
      </c>
      <c r="C49" s="693" t="s">
        <v>247</v>
      </c>
      <c r="D49" s="356" t="str">
        <f ca="1">IF(ISERROR(OFFSET('HARGA SATUAN'!$D$6,MATCH(RAB!C49,'HARGA SATUAN'!$C$7:$C$1492,0),0)),"",OFFSET('HARGA SATUAN'!$D$6,MATCH(RAB!C49,'HARGA SATUAN'!$C$7:$C$1492,0),0))</f>
        <v>HDW</v>
      </c>
      <c r="E49" s="357" t="str">
        <f ca="1">IF(B49="+","Unit",IF(ISERROR(OFFSET('HARGA SATUAN'!$E$6,MATCH(RAB!C49,'HARGA SATUAN'!$C$7:$C$1492,0),0)),"",OFFSET('HARGA SATUAN'!$E$6,MATCH(RAB!C49,'HARGA SATUAN'!$C$7:$C$1492,0),0)))</f>
        <v>Bh</v>
      </c>
      <c r="F49" s="489">
        <f>F39*1</f>
        <v>8</v>
      </c>
      <c r="G49" s="358">
        <f ca="1">IF(ISERROR(OFFSET('HARGA SATUAN'!$I$6,MATCH(RAB!C49,'HARGA SATUAN'!$C$7:$C$1492,0),0)),0,OFFSET('HARGA SATUAN'!$I$6,MATCH(RAB!C49,'HARGA SATUAN'!$C$7:$C$1492,0),0))</f>
        <v>57690</v>
      </c>
      <c r="H49" s="359">
        <f t="shared" ca="1" si="8"/>
        <v>0</v>
      </c>
      <c r="I49" s="359">
        <f t="shared" ca="1" si="9"/>
        <v>461520</v>
      </c>
      <c r="J49" s="359">
        <f t="shared" ca="1" si="10"/>
        <v>0</v>
      </c>
      <c r="K49" s="360">
        <f t="shared" ca="1" si="11"/>
        <v>461520</v>
      </c>
      <c r="L49" s="367"/>
      <c r="M49" s="367"/>
      <c r="N49" s="367"/>
      <c r="O49" s="361"/>
      <c r="P49" s="361"/>
      <c r="Q49" s="344"/>
      <c r="R49" s="336"/>
      <c r="S49" s="362"/>
      <c r="T49" s="341"/>
      <c r="U49" s="341"/>
      <c r="V49" s="341"/>
    </row>
    <row r="50" spans="1:22" s="368" customFormat="1">
      <c r="A50" s="336"/>
      <c r="B50" s="692">
        <v>11</v>
      </c>
      <c r="C50" s="693" t="s">
        <v>264</v>
      </c>
      <c r="D50" s="356" t="str">
        <f ca="1">IF(ISERROR(OFFSET('HARGA SATUAN'!$D$6,MATCH(RAB!C50,'HARGA SATUAN'!$C$7:$C$1492,0),0)),"",OFFSET('HARGA SATUAN'!$D$6,MATCH(RAB!C50,'HARGA SATUAN'!$C$7:$C$1492,0),0))</f>
        <v>HDW</v>
      </c>
      <c r="E50" s="357" t="str">
        <f ca="1">IF(B50="+","Unit",IF(ISERROR(OFFSET('HARGA SATUAN'!$E$6,MATCH(RAB!C50,'HARGA SATUAN'!$C$7:$C$1492,0),0)),"",OFFSET('HARGA SATUAN'!$E$6,MATCH(RAB!C50,'HARGA SATUAN'!$C$7:$C$1492,0),0)))</f>
        <v>Bh</v>
      </c>
      <c r="F50" s="489">
        <f>F39*1</f>
        <v>8</v>
      </c>
      <c r="G50" s="358">
        <f ca="1">IF(ISERROR(OFFSET('HARGA SATUAN'!$I$6,MATCH(RAB!C50,'HARGA SATUAN'!$C$7:$C$1492,0),0)),0,OFFSET('HARGA SATUAN'!$I$6,MATCH(RAB!C50,'HARGA SATUAN'!$C$7:$C$1492,0),0))</f>
        <v>28000</v>
      </c>
      <c r="H50" s="359">
        <f t="shared" ca="1" si="8"/>
        <v>0</v>
      </c>
      <c r="I50" s="359">
        <f t="shared" ca="1" si="9"/>
        <v>224000</v>
      </c>
      <c r="J50" s="359">
        <f t="shared" ca="1" si="10"/>
        <v>0</v>
      </c>
      <c r="K50" s="360">
        <f t="shared" ca="1" si="11"/>
        <v>224000</v>
      </c>
      <c r="L50" s="367"/>
      <c r="M50" s="367"/>
      <c r="N50" s="367"/>
      <c r="O50" s="361"/>
      <c r="P50" s="361"/>
      <c r="Q50" s="344"/>
      <c r="R50" s="336"/>
      <c r="S50" s="362"/>
      <c r="T50" s="341"/>
      <c r="U50" s="341"/>
      <c r="V50" s="341"/>
    </row>
    <row r="51" spans="1:22" s="368" customFormat="1">
      <c r="A51" s="336"/>
      <c r="B51" s="692">
        <v>12</v>
      </c>
      <c r="C51" s="693" t="s">
        <v>38</v>
      </c>
      <c r="D51" s="356" t="str">
        <f ca="1">IF(ISERROR(OFFSET('HARGA SATUAN'!$D$6,MATCH(RAB!C51,'HARGA SATUAN'!$C$7:$C$1492,0),0)),"",OFFSET('HARGA SATUAN'!$D$6,MATCH(RAB!C51,'HARGA SATUAN'!$C$7:$C$1492,0),0))</f>
        <v>HDW</v>
      </c>
      <c r="E51" s="357" t="str">
        <f ca="1">IF(B51="+","Unit",IF(ISERROR(OFFSET('HARGA SATUAN'!$E$6,MATCH(RAB!C51,'HARGA SATUAN'!$C$7:$C$1492,0),0)),"",OFFSET('HARGA SATUAN'!$E$6,MATCH(RAB!C51,'HARGA SATUAN'!$C$7:$C$1492,0),0)))</f>
        <v>Mtr</v>
      </c>
      <c r="F51" s="489">
        <f>6.2*F39</f>
        <v>49.6</v>
      </c>
      <c r="G51" s="358">
        <f ca="1">IF(ISERROR(OFFSET('HARGA SATUAN'!$I$6,MATCH(RAB!C51,'HARGA SATUAN'!$C$7:$C$1492,0),0)),0,OFFSET('HARGA SATUAN'!$I$6,MATCH(RAB!C51,'HARGA SATUAN'!$C$7:$C$1492,0),0))</f>
        <v>8550</v>
      </c>
      <c r="H51" s="359">
        <f t="shared" ca="1" si="8"/>
        <v>0</v>
      </c>
      <c r="I51" s="359">
        <f t="shared" ca="1" si="9"/>
        <v>424080</v>
      </c>
      <c r="J51" s="359">
        <f t="shared" ca="1" si="10"/>
        <v>0</v>
      </c>
      <c r="K51" s="360">
        <f t="shared" ca="1" si="11"/>
        <v>424080</v>
      </c>
      <c r="L51" s="367"/>
      <c r="M51" s="367"/>
      <c r="N51" s="367"/>
      <c r="O51" s="361"/>
      <c r="P51" s="361"/>
      <c r="Q51" s="344"/>
      <c r="R51" s="336"/>
      <c r="S51" s="362"/>
      <c r="T51" s="341"/>
      <c r="U51" s="341"/>
      <c r="V51" s="341"/>
    </row>
    <row r="52" spans="1:22" s="368" customFormat="1">
      <c r="A52" s="336"/>
      <c r="B52" s="692">
        <v>13</v>
      </c>
      <c r="C52" s="693" t="s">
        <v>26</v>
      </c>
      <c r="D52" s="356" t="str">
        <f ca="1">IF(ISERROR(OFFSET('HARGA SATUAN'!$D$6,MATCH(RAB!C52,'HARGA SATUAN'!$C$7:$C$1492,0),0)),"",OFFSET('HARGA SATUAN'!$D$6,MATCH(RAB!C52,'HARGA SATUAN'!$C$7:$C$1492,0),0))</f>
        <v>HDW</v>
      </c>
      <c r="E52" s="357" t="str">
        <f ca="1">IF(B52="+","Unit",IF(ISERROR(OFFSET('HARGA SATUAN'!$E$6,MATCH(RAB!C52,'HARGA SATUAN'!$C$7:$C$1492,0),0)),"",OFFSET('HARGA SATUAN'!$E$6,MATCH(RAB!C52,'HARGA SATUAN'!$C$7:$C$1492,0),0)))</f>
        <v>Bh</v>
      </c>
      <c r="F52" s="489">
        <f>F39*5</f>
        <v>40</v>
      </c>
      <c r="G52" s="358">
        <f ca="1">IF(ISERROR(OFFSET('HARGA SATUAN'!$I$6,MATCH(RAB!C52,'HARGA SATUAN'!$C$7:$C$1492,0),0)),0,OFFSET('HARGA SATUAN'!$I$6,MATCH(RAB!C52,'HARGA SATUAN'!$C$7:$C$1492,0),0))</f>
        <v>2500</v>
      </c>
      <c r="H52" s="359">
        <f t="shared" ca="1" si="8"/>
        <v>0</v>
      </c>
      <c r="I52" s="359">
        <f t="shared" ca="1" si="9"/>
        <v>100000</v>
      </c>
      <c r="J52" s="359">
        <f t="shared" ca="1" si="10"/>
        <v>0</v>
      </c>
      <c r="K52" s="360">
        <f t="shared" ca="1" si="11"/>
        <v>100000</v>
      </c>
      <c r="L52" s="367"/>
      <c r="M52" s="367"/>
      <c r="N52" s="367"/>
      <c r="O52" s="361"/>
      <c r="P52" s="361"/>
      <c r="Q52" s="344"/>
      <c r="R52" s="336"/>
      <c r="S52" s="362"/>
      <c r="T52" s="341"/>
      <c r="U52" s="341"/>
      <c r="V52" s="341"/>
    </row>
    <row r="53" spans="1:22" s="368" customFormat="1">
      <c r="A53" s="336"/>
      <c r="B53" s="692">
        <v>14</v>
      </c>
      <c r="C53" s="693" t="s">
        <v>687</v>
      </c>
      <c r="D53" s="356" t="str">
        <f ca="1">IF(ISERROR(OFFSET('HARGA SATUAN'!$D$6,MATCH(RAB!C53,'HARGA SATUAN'!$C$7:$C$1492,0),0)),"",OFFSET('HARGA SATUAN'!$D$6,MATCH(RAB!C53,'HARGA SATUAN'!$C$7:$C$1492,0),0))</f>
        <v>JASA</v>
      </c>
      <c r="E53" s="357" t="str">
        <f ca="1">IF(B53="+","Unit",IF(ISERROR(OFFSET('HARGA SATUAN'!$E$6,MATCH(RAB!C53,'HARGA SATUAN'!$C$7:$C$1492,0),0)),"",OFFSET('HARGA SATUAN'!$E$6,MATCH(RAB!C53,'HARGA SATUAN'!$C$7:$C$1492,0),0)))</f>
        <v>Unit</v>
      </c>
      <c r="F53" s="489">
        <f>F39*1</f>
        <v>8</v>
      </c>
      <c r="G53" s="358">
        <f ca="1">IF(ISERROR(OFFSET('HARGA SATUAN'!$I$6,MATCH(RAB!C53,'HARGA SATUAN'!$C$7:$C$1492,0),0)),0,OFFSET('HARGA SATUAN'!$I$6,MATCH(RAB!C53,'HARGA SATUAN'!$C$7:$C$1492,0),0))</f>
        <v>111000</v>
      </c>
      <c r="H53" s="359">
        <f t="shared" ca="1" si="8"/>
        <v>0</v>
      </c>
      <c r="I53" s="359">
        <f t="shared" ca="1" si="9"/>
        <v>0</v>
      </c>
      <c r="J53" s="359">
        <f t="shared" ca="1" si="10"/>
        <v>888000</v>
      </c>
      <c r="K53" s="360">
        <f t="shared" ca="1" si="11"/>
        <v>888000</v>
      </c>
      <c r="L53" s="367"/>
      <c r="M53" s="367"/>
      <c r="N53" s="367"/>
      <c r="O53" s="361"/>
      <c r="P53" s="361"/>
      <c r="Q53" s="344"/>
      <c r="R53" s="336"/>
      <c r="S53" s="362"/>
      <c r="T53" s="341"/>
      <c r="U53" s="341"/>
      <c r="V53" s="341"/>
    </row>
    <row r="54" spans="1:22" s="368" customFormat="1">
      <c r="A54" s="336"/>
      <c r="B54" s="692"/>
      <c r="C54" s="693"/>
      <c r="D54" s="356" t="str">
        <f ca="1">IF(ISERROR(OFFSET('HARGA SATUAN'!$D$6,MATCH(RAB!C54,'HARGA SATUAN'!$C$7:$C$1492,0),0)),"",OFFSET('HARGA SATUAN'!$D$6,MATCH(RAB!C54,'HARGA SATUAN'!$C$7:$C$1492,0),0))</f>
        <v/>
      </c>
      <c r="E54" s="357" t="str">
        <f ca="1">IF(B54="+","Unit",IF(ISERROR(OFFSET('HARGA SATUAN'!$E$6,MATCH(RAB!C54,'HARGA SATUAN'!$C$7:$C$1492,0),0)),"",OFFSET('HARGA SATUAN'!$E$6,MATCH(RAB!C54,'HARGA SATUAN'!$C$7:$C$1492,0),0)))</f>
        <v/>
      </c>
      <c r="F54" s="714"/>
      <c r="G54" s="358">
        <f ca="1">IF(ISERROR(OFFSET('HARGA SATUAN'!$I$6,MATCH(RAB!C54,'HARGA SATUAN'!$C$7:$C$1492,0),0)),0,OFFSET('HARGA SATUAN'!$I$6,MATCH(RAB!C54,'HARGA SATUAN'!$C$7:$C$1492,0),0))</f>
        <v>0</v>
      </c>
      <c r="H54" s="359">
        <f t="shared" ca="1" si="8"/>
        <v>0</v>
      </c>
      <c r="I54" s="359">
        <f t="shared" ca="1" si="9"/>
        <v>0</v>
      </c>
      <c r="J54" s="359">
        <f t="shared" ca="1" si="10"/>
        <v>0</v>
      </c>
      <c r="K54" s="360">
        <f t="shared" ca="1" si="11"/>
        <v>0</v>
      </c>
      <c r="L54" s="367"/>
      <c r="M54" s="367"/>
      <c r="N54" s="367"/>
      <c r="O54" s="361"/>
      <c r="P54" s="361"/>
      <c r="Q54" s="344"/>
      <c r="R54" s="336"/>
      <c r="S54" s="362"/>
      <c r="T54" s="341"/>
      <c r="U54" s="341"/>
      <c r="V54" s="341"/>
    </row>
    <row r="55" spans="1:22" s="368" customFormat="1">
      <c r="A55" s="336"/>
      <c r="B55" s="692" t="s">
        <v>1035</v>
      </c>
      <c r="C55" s="693" t="s">
        <v>1622</v>
      </c>
      <c r="D55" s="356" t="str">
        <f ca="1">IF(ISERROR(OFFSET('HARGA SATUAN'!$D$6,MATCH(RAB!C55,'HARGA SATUAN'!$C$7:$C$1492,0),0)),"",OFFSET('HARGA SATUAN'!$D$6,MATCH(RAB!C55,'HARGA SATUAN'!$C$7:$C$1492,0),0))</f>
        <v/>
      </c>
      <c r="E55" s="357" t="str">
        <f ca="1">IF(B55="+","Unit",IF(ISERROR(OFFSET('HARGA SATUAN'!$E$6,MATCH(RAB!C55,'HARGA SATUAN'!$C$7:$C$1492,0),0)),"",OFFSET('HARGA SATUAN'!$E$6,MATCH(RAB!C55,'HARGA SATUAN'!$C$7:$C$1492,0),0)))</f>
        <v>Unit</v>
      </c>
      <c r="F55" s="714">
        <v>1</v>
      </c>
      <c r="G55" s="358">
        <f ca="1">IF(ISERROR(OFFSET('HARGA SATUAN'!$I$6,MATCH(RAB!C55,'HARGA SATUAN'!$C$7:$C$1492,0),0)),0,OFFSET('HARGA SATUAN'!$I$6,MATCH(RAB!C55,'HARGA SATUAN'!$C$7:$C$1492,0),0))</f>
        <v>0</v>
      </c>
      <c r="H55" s="359">
        <f t="shared" ca="1" si="8"/>
        <v>0</v>
      </c>
      <c r="I55" s="359">
        <f t="shared" ca="1" si="9"/>
        <v>0</v>
      </c>
      <c r="J55" s="359">
        <f t="shared" ca="1" si="10"/>
        <v>0</v>
      </c>
      <c r="K55" s="360">
        <f t="shared" ca="1" si="11"/>
        <v>0</v>
      </c>
      <c r="L55" s="367"/>
      <c r="M55" s="367"/>
      <c r="N55" s="367"/>
      <c r="O55" s="361"/>
      <c r="P55" s="361"/>
      <c r="Q55" s="344"/>
      <c r="R55" s="336"/>
      <c r="S55" s="362"/>
      <c r="T55" s="341"/>
      <c r="U55" s="341"/>
      <c r="V55" s="341"/>
    </row>
    <row r="56" spans="1:22" s="368" customFormat="1">
      <c r="A56" s="336"/>
      <c r="B56" s="692">
        <v>1</v>
      </c>
      <c r="C56" s="109" t="s">
        <v>1565</v>
      </c>
      <c r="D56" s="356" t="str">
        <f ca="1">IF(ISERROR(OFFSET('HARGA SATUAN'!$D$6,MATCH(RAB!C56,'HARGA SATUAN'!$C$7:$C$1492,0),0)),"",OFFSET('HARGA SATUAN'!$D$6,MATCH(RAB!C56,'HARGA SATUAN'!$C$7:$C$1492,0),0))</f>
        <v>MDU-KD</v>
      </c>
      <c r="E56" s="357" t="str">
        <f ca="1">IF(B56="+","Unit",IF(ISERROR(OFFSET('HARGA SATUAN'!$E$6,MATCH(RAB!C56,'HARGA SATUAN'!$C$7:$C$1492,0),0)),"",OFFSET('HARGA SATUAN'!$E$6,MATCH(RAB!C56,'HARGA SATUAN'!$C$7:$C$1492,0),0)))</f>
        <v>Set</v>
      </c>
      <c r="F56" s="714">
        <f>F55*3</f>
        <v>3</v>
      </c>
      <c r="G56" s="358">
        <f ca="1">IF(ISERROR(OFFSET('HARGA SATUAN'!$I$6,MATCH(RAB!C56,'HARGA SATUAN'!$C$7:$C$1492,0),0)),0,OFFSET('HARGA SATUAN'!$I$6,MATCH(RAB!C56,'HARGA SATUAN'!$C$7:$C$1492,0),0))</f>
        <v>430000</v>
      </c>
      <c r="H56" s="359">
        <f t="shared" ca="1" si="8"/>
        <v>1290000</v>
      </c>
      <c r="I56" s="359">
        <f t="shared" ca="1" si="9"/>
        <v>0</v>
      </c>
      <c r="J56" s="359">
        <f t="shared" ca="1" si="10"/>
        <v>0</v>
      </c>
      <c r="K56" s="360">
        <f t="shared" ca="1" si="11"/>
        <v>1290000</v>
      </c>
      <c r="L56" s="367"/>
      <c r="M56" s="367"/>
      <c r="N56" s="367"/>
      <c r="O56" s="361"/>
      <c r="P56" s="361"/>
      <c r="Q56" s="344"/>
      <c r="R56" s="336"/>
      <c r="S56" s="362"/>
      <c r="T56" s="341"/>
      <c r="U56" s="341"/>
      <c r="V56" s="341"/>
    </row>
    <row r="57" spans="1:22" s="368" customFormat="1">
      <c r="A57" s="336"/>
      <c r="B57" s="692">
        <v>2</v>
      </c>
      <c r="C57" s="693" t="s">
        <v>152</v>
      </c>
      <c r="D57" s="356" t="str">
        <f ca="1">IF(ISERROR(OFFSET('HARGA SATUAN'!$D$6,MATCH(RAB!C57,'HARGA SATUAN'!$C$7:$C$1492,0),0)),"",OFFSET('HARGA SATUAN'!$D$6,MATCH(RAB!C57,'HARGA SATUAN'!$C$7:$C$1492,0),0))</f>
        <v>HDW</v>
      </c>
      <c r="E57" s="357" t="str">
        <f ca="1">IF(B57="+","Unit",IF(ISERROR(OFFSET('HARGA SATUAN'!$E$6,MATCH(RAB!C57,'HARGA SATUAN'!$C$7:$C$1492,0),0)),"",OFFSET('HARGA SATUAN'!$E$6,MATCH(RAB!C57,'HARGA SATUAN'!$C$7:$C$1492,0),0)))</f>
        <v>Mtr</v>
      </c>
      <c r="F57" s="714">
        <f>F55*1</f>
        <v>1</v>
      </c>
      <c r="G57" s="358">
        <f ca="1">IF(ISERROR(OFFSET('HARGA SATUAN'!$I$6,MATCH(RAB!C57,'HARGA SATUAN'!$C$7:$C$1492,0),0)),0,OFFSET('HARGA SATUAN'!$I$6,MATCH(RAB!C57,'HARGA SATUAN'!$C$7:$C$1492,0),0))</f>
        <v>7789</v>
      </c>
      <c r="H57" s="359">
        <f t="shared" ca="1" si="8"/>
        <v>0</v>
      </c>
      <c r="I57" s="359">
        <f t="shared" ca="1" si="9"/>
        <v>7789</v>
      </c>
      <c r="J57" s="359">
        <f t="shared" ca="1" si="10"/>
        <v>0</v>
      </c>
      <c r="K57" s="360">
        <f t="shared" ca="1" si="11"/>
        <v>7789</v>
      </c>
      <c r="L57" s="367"/>
      <c r="M57" s="367"/>
      <c r="N57" s="367"/>
      <c r="O57" s="361"/>
      <c r="P57" s="361"/>
      <c r="Q57" s="344"/>
      <c r="R57" s="336"/>
      <c r="S57" s="362"/>
      <c r="T57" s="341"/>
      <c r="U57" s="341"/>
      <c r="V57" s="341"/>
    </row>
    <row r="58" spans="1:22" s="368" customFormat="1">
      <c r="A58" s="336"/>
      <c r="B58" s="692">
        <v>3</v>
      </c>
      <c r="C58" s="693" t="s">
        <v>157</v>
      </c>
      <c r="D58" s="356" t="str">
        <f ca="1">IF(ISERROR(OFFSET('HARGA SATUAN'!$D$6,MATCH(RAB!C58,'HARGA SATUAN'!$C$7:$C$1492,0),0)),"",OFFSET('HARGA SATUAN'!$D$6,MATCH(RAB!C58,'HARGA SATUAN'!$C$7:$C$1492,0),0))</f>
        <v>HDW</v>
      </c>
      <c r="E58" s="357" t="str">
        <f ca="1">IF(B58="+","Unit",IF(ISERROR(OFFSET('HARGA SATUAN'!$E$6,MATCH(RAB!C58,'HARGA SATUAN'!$C$7:$C$1492,0),0)),"",OFFSET('HARGA SATUAN'!$E$6,MATCH(RAB!C58,'HARGA SATUAN'!$C$7:$C$1492,0),0)))</f>
        <v>Bh</v>
      </c>
      <c r="F58" s="714">
        <f>F55*2</f>
        <v>2</v>
      </c>
      <c r="G58" s="358">
        <f ca="1">IF(ISERROR(OFFSET('HARGA SATUAN'!$I$6,MATCH(RAB!C58,'HARGA SATUAN'!$C$7:$C$1492,0),0)),0,OFFSET('HARGA SATUAN'!$I$6,MATCH(RAB!C58,'HARGA SATUAN'!$C$7:$C$1492,0),0))</f>
        <v>40000</v>
      </c>
      <c r="H58" s="359">
        <f t="shared" ca="1" si="8"/>
        <v>0</v>
      </c>
      <c r="I58" s="359">
        <f t="shared" ca="1" si="9"/>
        <v>80000</v>
      </c>
      <c r="J58" s="359">
        <f t="shared" ca="1" si="10"/>
        <v>0</v>
      </c>
      <c r="K58" s="360">
        <f t="shared" ca="1" si="11"/>
        <v>80000</v>
      </c>
      <c r="L58" s="367"/>
      <c r="M58" s="367"/>
      <c r="N58" s="367"/>
      <c r="O58" s="361"/>
      <c r="P58" s="361"/>
      <c r="Q58" s="344"/>
      <c r="R58" s="336"/>
      <c r="S58" s="362"/>
      <c r="T58" s="341"/>
      <c r="U58" s="341"/>
      <c r="V58" s="341"/>
    </row>
    <row r="59" spans="1:22" s="368" customFormat="1">
      <c r="A59" s="336"/>
      <c r="B59" s="692">
        <v>4</v>
      </c>
      <c r="C59" s="693" t="s">
        <v>28</v>
      </c>
      <c r="D59" s="356" t="str">
        <f ca="1">IF(ISERROR(OFFSET('HARGA SATUAN'!$D$6,MATCH(RAB!C59,'HARGA SATUAN'!$C$7:$C$1492,0),0)),"",OFFSET('HARGA SATUAN'!$D$6,MATCH(RAB!C59,'HARGA SATUAN'!$C$7:$C$1492,0),0))</f>
        <v>HDW</v>
      </c>
      <c r="E59" s="357" t="str">
        <f ca="1">IF(B59="+","Unit",IF(ISERROR(OFFSET('HARGA SATUAN'!$E$6,MATCH(RAB!C59,'HARGA SATUAN'!$C$7:$C$1492,0),0)),"",OFFSET('HARGA SATUAN'!$E$6,MATCH(RAB!C59,'HARGA SATUAN'!$C$7:$C$1492,0),0)))</f>
        <v>Bh</v>
      </c>
      <c r="F59" s="714">
        <f>F55*1</f>
        <v>1</v>
      </c>
      <c r="G59" s="358">
        <f ca="1">IF(ISERROR(OFFSET('HARGA SATUAN'!$I$6,MATCH(RAB!C59,'HARGA SATUAN'!$C$7:$C$1492,0),0)),0,OFFSET('HARGA SATUAN'!$I$6,MATCH(RAB!C59,'HARGA SATUAN'!$C$7:$C$1492,0),0))</f>
        <v>26500</v>
      </c>
      <c r="H59" s="359">
        <f t="shared" ca="1" si="8"/>
        <v>0</v>
      </c>
      <c r="I59" s="359">
        <f t="shared" ca="1" si="9"/>
        <v>26500</v>
      </c>
      <c r="J59" s="359">
        <f t="shared" ca="1" si="10"/>
        <v>0</v>
      </c>
      <c r="K59" s="360">
        <f t="shared" ca="1" si="11"/>
        <v>26500</v>
      </c>
      <c r="L59" s="367"/>
      <c r="M59" s="367"/>
      <c r="N59" s="367"/>
      <c r="O59" s="361"/>
      <c r="P59" s="361"/>
      <c r="Q59" s="344"/>
      <c r="R59" s="336"/>
      <c r="S59" s="362"/>
      <c r="T59" s="341"/>
      <c r="U59" s="341"/>
      <c r="V59" s="341"/>
    </row>
    <row r="60" spans="1:22" s="368" customFormat="1">
      <c r="A60" s="336"/>
      <c r="B60" s="692">
        <v>5</v>
      </c>
      <c r="C60" s="693" t="s">
        <v>163</v>
      </c>
      <c r="D60" s="356" t="str">
        <f ca="1">IF(ISERROR(OFFSET('HARGA SATUAN'!$D$6,MATCH(RAB!C60,'HARGA SATUAN'!$C$7:$C$1492,0),0)),"",OFFSET('HARGA SATUAN'!$D$6,MATCH(RAB!C60,'HARGA SATUAN'!$C$7:$C$1492,0),0))</f>
        <v>HDW</v>
      </c>
      <c r="E60" s="357" t="str">
        <f ca="1">IF(B60="+","Unit",IF(ISERROR(OFFSET('HARGA SATUAN'!$E$6,MATCH(RAB!C60,'HARGA SATUAN'!$C$7:$C$1492,0),0)),"",OFFSET('HARGA SATUAN'!$E$6,MATCH(RAB!C60,'HARGA SATUAN'!$C$7:$C$1492,0),0)))</f>
        <v>Bh</v>
      </c>
      <c r="F60" s="714">
        <f>F55*4</f>
        <v>4</v>
      </c>
      <c r="G60" s="358">
        <f ca="1">IF(ISERROR(OFFSET('HARGA SATUAN'!$I$6,MATCH(RAB!C60,'HARGA SATUAN'!$C$7:$C$1492,0),0)),0,OFFSET('HARGA SATUAN'!$I$6,MATCH(RAB!C60,'HARGA SATUAN'!$C$7:$C$1492,0),0))</f>
        <v>7938</v>
      </c>
      <c r="H60" s="359">
        <f t="shared" ca="1" si="8"/>
        <v>0</v>
      </c>
      <c r="I60" s="359">
        <f t="shared" ca="1" si="9"/>
        <v>31752</v>
      </c>
      <c r="J60" s="359">
        <f t="shared" ca="1" si="10"/>
        <v>0</v>
      </c>
      <c r="K60" s="360">
        <f t="shared" ca="1" si="11"/>
        <v>31752</v>
      </c>
      <c r="L60" s="367"/>
      <c r="M60" s="367"/>
      <c r="N60" s="367"/>
      <c r="O60" s="361"/>
      <c r="P60" s="361"/>
      <c r="Q60" s="344"/>
      <c r="R60" s="336"/>
      <c r="S60" s="362"/>
      <c r="T60" s="341"/>
      <c r="U60" s="341"/>
      <c r="V60" s="341"/>
    </row>
    <row r="61" spans="1:22" s="368" customFormat="1">
      <c r="A61" s="336"/>
      <c r="B61" s="692">
        <v>6</v>
      </c>
      <c r="C61" s="693" t="s">
        <v>173</v>
      </c>
      <c r="D61" s="356" t="str">
        <f ca="1">IF(ISERROR(OFFSET('HARGA SATUAN'!$D$6,MATCH(RAB!C61,'HARGA SATUAN'!$C$7:$C$1492,0),0)),"",OFFSET('HARGA SATUAN'!$D$6,MATCH(RAB!C61,'HARGA SATUAN'!$C$7:$C$1492,0),0))</f>
        <v>HDW</v>
      </c>
      <c r="E61" s="357" t="str">
        <f ca="1">IF(B61="+","Unit",IF(ISERROR(OFFSET('HARGA SATUAN'!$E$6,MATCH(RAB!C61,'HARGA SATUAN'!$C$7:$C$1492,0),0)),"",OFFSET('HARGA SATUAN'!$E$6,MATCH(RAB!C61,'HARGA SATUAN'!$C$7:$C$1492,0),0)))</f>
        <v>Bh</v>
      </c>
      <c r="F61" s="714">
        <f>F55*4</f>
        <v>4</v>
      </c>
      <c r="G61" s="358">
        <f ca="1">IF(ISERROR(OFFSET('HARGA SATUAN'!$I$6,MATCH(RAB!C61,'HARGA SATUAN'!$C$7:$C$1492,0),0)),0,OFFSET('HARGA SATUAN'!$I$6,MATCH(RAB!C61,'HARGA SATUAN'!$C$7:$C$1492,0),0))</f>
        <v>45000</v>
      </c>
      <c r="H61" s="359">
        <f t="shared" ca="1" si="8"/>
        <v>0</v>
      </c>
      <c r="I61" s="359">
        <f t="shared" ca="1" si="9"/>
        <v>180000</v>
      </c>
      <c r="J61" s="359">
        <f t="shared" ca="1" si="10"/>
        <v>0</v>
      </c>
      <c r="K61" s="360">
        <f t="shared" ca="1" si="11"/>
        <v>180000</v>
      </c>
      <c r="L61" s="367"/>
      <c r="M61" s="367"/>
      <c r="N61" s="367"/>
      <c r="O61" s="361"/>
      <c r="P61" s="361"/>
      <c r="Q61" s="344"/>
      <c r="R61" s="336"/>
      <c r="S61" s="362"/>
      <c r="T61" s="341"/>
      <c r="U61" s="341"/>
      <c r="V61" s="341"/>
    </row>
    <row r="62" spans="1:22" s="368" customFormat="1">
      <c r="A62" s="336"/>
      <c r="B62" s="692">
        <v>7</v>
      </c>
      <c r="C62" s="693" t="s">
        <v>179</v>
      </c>
      <c r="D62" s="356" t="str">
        <f ca="1">IF(ISERROR(OFFSET('HARGA SATUAN'!$D$6,MATCH(RAB!C62,'HARGA SATUAN'!$C$7:$C$1492,0),0)),"",OFFSET('HARGA SATUAN'!$D$6,MATCH(RAB!C62,'HARGA SATUAN'!$C$7:$C$1492,0),0))</f>
        <v>HDW</v>
      </c>
      <c r="E62" s="357" t="str">
        <f ca="1">IF(B62="+","Unit",IF(ISERROR(OFFSET('HARGA SATUAN'!$E$6,MATCH(RAB!C62,'HARGA SATUAN'!$C$7:$C$1492,0),0)),"",OFFSET('HARGA SATUAN'!$E$6,MATCH(RAB!C62,'HARGA SATUAN'!$C$7:$C$1492,0),0)))</f>
        <v>Bh</v>
      </c>
      <c r="F62" s="714">
        <f>F55*1</f>
        <v>1</v>
      </c>
      <c r="G62" s="358">
        <f ca="1">IF(ISERROR(OFFSET('HARGA SATUAN'!$I$6,MATCH(RAB!C62,'HARGA SATUAN'!$C$7:$C$1492,0),0)),0,OFFSET('HARGA SATUAN'!$I$6,MATCH(RAB!C62,'HARGA SATUAN'!$C$7:$C$1492,0),0))</f>
        <v>15500</v>
      </c>
      <c r="H62" s="359">
        <f t="shared" ca="1" si="8"/>
        <v>0</v>
      </c>
      <c r="I62" s="359">
        <f t="shared" ca="1" si="9"/>
        <v>15500</v>
      </c>
      <c r="J62" s="359">
        <f t="shared" ca="1" si="10"/>
        <v>0</v>
      </c>
      <c r="K62" s="360">
        <f t="shared" ca="1" si="11"/>
        <v>15500</v>
      </c>
      <c r="L62" s="367"/>
      <c r="M62" s="367"/>
      <c r="N62" s="367"/>
      <c r="O62" s="361"/>
      <c r="P62" s="361"/>
      <c r="Q62" s="344"/>
      <c r="R62" s="336"/>
      <c r="S62" s="362"/>
      <c r="T62" s="341"/>
      <c r="U62" s="341"/>
      <c r="V62" s="341"/>
    </row>
    <row r="63" spans="1:22" s="368" customFormat="1">
      <c r="A63" s="336"/>
      <c r="B63" s="692">
        <v>8</v>
      </c>
      <c r="C63" s="693" t="s">
        <v>593</v>
      </c>
      <c r="D63" s="356" t="str">
        <f ca="1">IF(ISERROR(OFFSET('HARGA SATUAN'!$D$6,MATCH(RAB!C63,'HARGA SATUAN'!$C$7:$C$1492,0),0)),"",OFFSET('HARGA SATUAN'!$D$6,MATCH(RAB!C63,'HARGA SATUAN'!$C$7:$C$1492,0),0))</f>
        <v>HDW</v>
      </c>
      <c r="E63" s="357" t="str">
        <f ca="1">IF(B63="+","Unit",IF(ISERROR(OFFSET('HARGA SATUAN'!$E$6,MATCH(RAB!C63,'HARGA SATUAN'!$C$7:$C$1492,0),0)),"",OFFSET('HARGA SATUAN'!$E$6,MATCH(RAB!C63,'HARGA SATUAN'!$C$7:$C$1492,0),0)))</f>
        <v>Bh</v>
      </c>
      <c r="F63" s="714">
        <f>F55*2</f>
        <v>2</v>
      </c>
      <c r="G63" s="358">
        <f ca="1">IF(ISERROR(OFFSET('HARGA SATUAN'!$I$6,MATCH(RAB!C63,'HARGA SATUAN'!$C$7:$C$1492,0),0)),0,OFFSET('HARGA SATUAN'!$I$6,MATCH(RAB!C63,'HARGA SATUAN'!$C$7:$C$1492,0),0))</f>
        <v>380500</v>
      </c>
      <c r="H63" s="359">
        <f t="shared" ca="1" si="8"/>
        <v>0</v>
      </c>
      <c r="I63" s="359">
        <f t="shared" ca="1" si="9"/>
        <v>761000</v>
      </c>
      <c r="J63" s="359">
        <f t="shared" ca="1" si="10"/>
        <v>0</v>
      </c>
      <c r="K63" s="360">
        <f t="shared" ca="1" si="11"/>
        <v>761000</v>
      </c>
      <c r="L63" s="367"/>
      <c r="M63" s="367"/>
      <c r="N63" s="367"/>
      <c r="O63" s="361"/>
      <c r="P63" s="361"/>
      <c r="Q63" s="344"/>
      <c r="R63" s="336"/>
      <c r="S63" s="362"/>
      <c r="T63" s="341"/>
      <c r="U63" s="341"/>
      <c r="V63" s="341"/>
    </row>
    <row r="64" spans="1:22" s="368" customFormat="1">
      <c r="A64" s="336"/>
      <c r="B64" s="692">
        <v>9</v>
      </c>
      <c r="C64" s="693" t="s">
        <v>217</v>
      </c>
      <c r="D64" s="356" t="str">
        <f ca="1">IF(ISERROR(OFFSET('HARGA SATUAN'!$D$6,MATCH(RAB!C64,'HARGA SATUAN'!$C$7:$C$1492,0),0)),"",OFFSET('HARGA SATUAN'!$D$6,MATCH(RAB!C64,'HARGA SATUAN'!$C$7:$C$1492,0),0))</f>
        <v>HDW</v>
      </c>
      <c r="E64" s="357" t="str">
        <f ca="1">IF(B64="+","Unit",IF(ISERROR(OFFSET('HARGA SATUAN'!$E$6,MATCH(RAB!C64,'HARGA SATUAN'!$C$7:$C$1492,0),0)),"",OFFSET('HARGA SATUAN'!$E$6,MATCH(RAB!C64,'HARGA SATUAN'!$C$7:$C$1492,0),0)))</f>
        <v>Bh</v>
      </c>
      <c r="F64" s="714">
        <f>F55*4</f>
        <v>4</v>
      </c>
      <c r="G64" s="358">
        <f ca="1">IF(ISERROR(OFFSET('HARGA SATUAN'!$I$6,MATCH(RAB!C64,'HARGA SATUAN'!$C$7:$C$1492,0),0)),0,OFFSET('HARGA SATUAN'!$I$6,MATCH(RAB!C64,'HARGA SATUAN'!$C$7:$C$1492,0),0))</f>
        <v>11400</v>
      </c>
      <c r="H64" s="359">
        <f t="shared" ca="1" si="8"/>
        <v>0</v>
      </c>
      <c r="I64" s="359">
        <f t="shared" ca="1" si="9"/>
        <v>45600</v>
      </c>
      <c r="J64" s="359">
        <f t="shared" ca="1" si="10"/>
        <v>0</v>
      </c>
      <c r="K64" s="360">
        <f t="shared" ca="1" si="11"/>
        <v>45600</v>
      </c>
      <c r="L64" s="367"/>
      <c r="M64" s="367"/>
      <c r="N64" s="367"/>
      <c r="O64" s="361"/>
      <c r="P64" s="361"/>
      <c r="Q64" s="344"/>
      <c r="R64" s="336"/>
      <c r="S64" s="362"/>
      <c r="T64" s="341"/>
      <c r="U64" s="341"/>
      <c r="V64" s="341"/>
    </row>
    <row r="65" spans="1:22" s="368" customFormat="1">
      <c r="A65" s="336"/>
      <c r="B65" s="692">
        <v>10</v>
      </c>
      <c r="C65" s="693" t="s">
        <v>218</v>
      </c>
      <c r="D65" s="356" t="str">
        <f ca="1">IF(ISERROR(OFFSET('HARGA SATUAN'!$D$6,MATCH(RAB!C65,'HARGA SATUAN'!$C$7:$C$1492,0),0)),"",OFFSET('HARGA SATUAN'!$D$6,MATCH(RAB!C65,'HARGA SATUAN'!$C$7:$C$1492,0),0))</f>
        <v>HDW</v>
      </c>
      <c r="E65" s="357" t="str">
        <f ca="1">IF(B65="+","Unit",IF(ISERROR(OFFSET('HARGA SATUAN'!$E$6,MATCH(RAB!C65,'HARGA SATUAN'!$C$7:$C$1492,0),0)),"",OFFSET('HARGA SATUAN'!$E$6,MATCH(RAB!C65,'HARGA SATUAN'!$C$7:$C$1492,0),0)))</f>
        <v>Bh</v>
      </c>
      <c r="F65" s="714">
        <f>F55*2</f>
        <v>2</v>
      </c>
      <c r="G65" s="358">
        <f ca="1">IF(ISERROR(OFFSET('HARGA SATUAN'!$I$6,MATCH(RAB!C65,'HARGA SATUAN'!$C$7:$C$1492,0),0)),0,OFFSET('HARGA SATUAN'!$I$6,MATCH(RAB!C65,'HARGA SATUAN'!$C$7:$C$1492,0),0))</f>
        <v>29600</v>
      </c>
      <c r="H65" s="359">
        <f t="shared" ca="1" si="8"/>
        <v>0</v>
      </c>
      <c r="I65" s="359">
        <f t="shared" ca="1" si="9"/>
        <v>59200</v>
      </c>
      <c r="J65" s="359">
        <f t="shared" ca="1" si="10"/>
        <v>0</v>
      </c>
      <c r="K65" s="360">
        <f t="shared" ca="1" si="11"/>
        <v>59200</v>
      </c>
      <c r="L65" s="367"/>
      <c r="M65" s="367"/>
      <c r="N65" s="367"/>
      <c r="O65" s="361"/>
      <c r="P65" s="361"/>
      <c r="Q65" s="344"/>
      <c r="R65" s="336"/>
      <c r="S65" s="362"/>
      <c r="T65" s="341"/>
      <c r="U65" s="341"/>
      <c r="V65" s="341"/>
    </row>
    <row r="66" spans="1:22" s="368" customFormat="1">
      <c r="A66" s="336"/>
      <c r="B66" s="692">
        <v>11</v>
      </c>
      <c r="C66" s="693" t="s">
        <v>223</v>
      </c>
      <c r="D66" s="356" t="str">
        <f ca="1">IF(ISERROR(OFFSET('HARGA SATUAN'!$D$6,MATCH(RAB!C66,'HARGA SATUAN'!$C$7:$C$1492,0),0)),"",OFFSET('HARGA SATUAN'!$D$6,MATCH(RAB!C66,'HARGA SATUAN'!$C$7:$C$1492,0),0))</f>
        <v>HDW</v>
      </c>
      <c r="E66" s="357" t="str">
        <f ca="1">IF(B66="+","Unit",IF(ISERROR(OFFSET('HARGA SATUAN'!$E$6,MATCH(RAB!C66,'HARGA SATUAN'!$C$7:$C$1492,0),0)),"",OFFSET('HARGA SATUAN'!$E$6,MATCH(RAB!C66,'HARGA SATUAN'!$C$7:$C$1492,0),0)))</f>
        <v>Bh</v>
      </c>
      <c r="F66" s="714">
        <f>F55*1</f>
        <v>1</v>
      </c>
      <c r="G66" s="358">
        <f ca="1">IF(ISERROR(OFFSET('HARGA SATUAN'!$I$6,MATCH(RAB!C66,'HARGA SATUAN'!$C$7:$C$1492,0),0)),0,OFFSET('HARGA SATUAN'!$I$6,MATCH(RAB!C66,'HARGA SATUAN'!$C$7:$C$1492,0),0))</f>
        <v>27815</v>
      </c>
      <c r="H66" s="359">
        <f t="shared" ca="1" si="8"/>
        <v>0</v>
      </c>
      <c r="I66" s="359">
        <f t="shared" ca="1" si="9"/>
        <v>27815</v>
      </c>
      <c r="J66" s="359">
        <f t="shared" ca="1" si="10"/>
        <v>0</v>
      </c>
      <c r="K66" s="360">
        <f t="shared" ca="1" si="11"/>
        <v>27815</v>
      </c>
      <c r="L66" s="367"/>
      <c r="M66" s="367"/>
      <c r="N66" s="367"/>
      <c r="O66" s="361"/>
      <c r="P66" s="361"/>
      <c r="Q66" s="344"/>
      <c r="R66" s="336"/>
      <c r="S66" s="362"/>
      <c r="T66" s="341"/>
      <c r="U66" s="341"/>
      <c r="V66" s="341"/>
    </row>
    <row r="67" spans="1:22" s="368" customFormat="1">
      <c r="A67" s="336"/>
      <c r="B67" s="692">
        <v>12</v>
      </c>
      <c r="C67" s="693" t="s">
        <v>25</v>
      </c>
      <c r="D67" s="356" t="str">
        <f ca="1">IF(ISERROR(OFFSET('HARGA SATUAN'!$D$6,MATCH(RAB!C67,'HARGA SATUAN'!$C$7:$C$1492,0),0)),"",OFFSET('HARGA SATUAN'!$D$6,MATCH(RAB!C67,'HARGA SATUAN'!$C$7:$C$1492,0),0))</f>
        <v>HDW</v>
      </c>
      <c r="E67" s="357" t="str">
        <f ca="1">IF(B67="+","Unit",IF(ISERROR(OFFSET('HARGA SATUAN'!$E$6,MATCH(RAB!C67,'HARGA SATUAN'!$C$7:$C$1492,0),0)),"",OFFSET('HARGA SATUAN'!$E$6,MATCH(RAB!C67,'HARGA SATUAN'!$C$7:$C$1492,0),0)))</f>
        <v>Bh</v>
      </c>
      <c r="F67" s="714">
        <f>F55*3</f>
        <v>3</v>
      </c>
      <c r="G67" s="358">
        <f ca="1">IF(ISERROR(OFFSET('HARGA SATUAN'!$I$6,MATCH(RAB!C67,'HARGA SATUAN'!$C$7:$C$1492,0),0)),0,OFFSET('HARGA SATUAN'!$I$6,MATCH(RAB!C67,'HARGA SATUAN'!$C$7:$C$1492,0),0))</f>
        <v>23936</v>
      </c>
      <c r="H67" s="359">
        <f t="shared" ca="1" si="8"/>
        <v>0</v>
      </c>
      <c r="I67" s="359">
        <f t="shared" ca="1" si="9"/>
        <v>71808</v>
      </c>
      <c r="J67" s="359">
        <f t="shared" ca="1" si="10"/>
        <v>0</v>
      </c>
      <c r="K67" s="360">
        <f t="shared" ca="1" si="11"/>
        <v>71808</v>
      </c>
      <c r="L67" s="367"/>
      <c r="M67" s="367"/>
      <c r="N67" s="367"/>
      <c r="O67" s="361"/>
      <c r="P67" s="361"/>
      <c r="Q67" s="344"/>
      <c r="R67" s="336"/>
      <c r="S67" s="362"/>
      <c r="T67" s="341"/>
      <c r="U67" s="341"/>
      <c r="V67" s="341"/>
    </row>
    <row r="68" spans="1:22" s="368" customFormat="1">
      <c r="A68" s="336"/>
      <c r="B68" s="692">
        <v>13</v>
      </c>
      <c r="C68" s="693" t="s">
        <v>37</v>
      </c>
      <c r="D68" s="356" t="str">
        <f ca="1">IF(ISERROR(OFFSET('HARGA SATUAN'!$D$6,MATCH(RAB!C68,'HARGA SATUAN'!$C$7:$C$1492,0),0)),"",OFFSET('HARGA SATUAN'!$D$6,MATCH(RAB!C68,'HARGA SATUAN'!$C$7:$C$1492,0),0))</f>
        <v>HDW</v>
      </c>
      <c r="E68" s="357" t="str">
        <f ca="1">IF(B68="+","Unit",IF(ISERROR(OFFSET('HARGA SATUAN'!$E$6,MATCH(RAB!C68,'HARGA SATUAN'!$C$7:$C$1492,0),0)),"",OFFSET('HARGA SATUAN'!$E$6,MATCH(RAB!C68,'HARGA SATUAN'!$C$7:$C$1492,0),0)))</f>
        <v>Bh</v>
      </c>
      <c r="F68" s="714">
        <f>F55*1</f>
        <v>1</v>
      </c>
      <c r="G68" s="358">
        <f ca="1">IF(ISERROR(OFFSET('HARGA SATUAN'!$I$6,MATCH(RAB!C68,'HARGA SATUAN'!$C$7:$C$1492,0),0)),0,OFFSET('HARGA SATUAN'!$I$6,MATCH(RAB!C68,'HARGA SATUAN'!$C$7:$C$1492,0),0))</f>
        <v>63500</v>
      </c>
      <c r="H68" s="359">
        <f t="shared" ca="1" si="8"/>
        <v>0</v>
      </c>
      <c r="I68" s="359">
        <f t="shared" ca="1" si="9"/>
        <v>63500</v>
      </c>
      <c r="J68" s="359">
        <f t="shared" ca="1" si="10"/>
        <v>0</v>
      </c>
      <c r="K68" s="360">
        <f t="shared" ca="1" si="11"/>
        <v>63500</v>
      </c>
      <c r="L68" s="367"/>
      <c r="M68" s="367"/>
      <c r="N68" s="367"/>
      <c r="O68" s="361"/>
      <c r="P68" s="361"/>
      <c r="Q68" s="344"/>
      <c r="R68" s="336"/>
      <c r="S68" s="362"/>
      <c r="T68" s="341"/>
      <c r="U68" s="341"/>
      <c r="V68" s="341"/>
    </row>
    <row r="69" spans="1:22" s="368" customFormat="1">
      <c r="A69" s="336"/>
      <c r="B69" s="692">
        <v>14</v>
      </c>
      <c r="C69" s="693" t="s">
        <v>247</v>
      </c>
      <c r="D69" s="356" t="str">
        <f ca="1">IF(ISERROR(OFFSET('HARGA SATUAN'!$D$6,MATCH(RAB!C69,'HARGA SATUAN'!$C$7:$C$1492,0),0)),"",OFFSET('HARGA SATUAN'!$D$6,MATCH(RAB!C69,'HARGA SATUAN'!$C$7:$C$1492,0),0))</f>
        <v>HDW</v>
      </c>
      <c r="E69" s="357" t="str">
        <f ca="1">IF(B69="+","Unit",IF(ISERROR(OFFSET('HARGA SATUAN'!$E$6,MATCH(RAB!C69,'HARGA SATUAN'!$C$7:$C$1492,0),0)),"",OFFSET('HARGA SATUAN'!$E$6,MATCH(RAB!C69,'HARGA SATUAN'!$C$7:$C$1492,0),0)))</f>
        <v>Bh</v>
      </c>
      <c r="F69" s="714">
        <f>F55*1</f>
        <v>1</v>
      </c>
      <c r="G69" s="358">
        <f ca="1">IF(ISERROR(OFFSET('HARGA SATUAN'!$I$6,MATCH(RAB!C69,'HARGA SATUAN'!$C$7:$C$1492,0),0)),0,OFFSET('HARGA SATUAN'!$I$6,MATCH(RAB!C69,'HARGA SATUAN'!$C$7:$C$1492,0),0))</f>
        <v>57690</v>
      </c>
      <c r="H69" s="359">
        <f t="shared" ca="1" si="8"/>
        <v>0</v>
      </c>
      <c r="I69" s="359">
        <f t="shared" ca="1" si="9"/>
        <v>57690</v>
      </c>
      <c r="J69" s="359">
        <f t="shared" ca="1" si="10"/>
        <v>0</v>
      </c>
      <c r="K69" s="360">
        <f t="shared" ca="1" si="11"/>
        <v>57690</v>
      </c>
      <c r="L69" s="367"/>
      <c r="M69" s="367"/>
      <c r="N69" s="367"/>
      <c r="O69" s="361"/>
      <c r="P69" s="361"/>
      <c r="Q69" s="344"/>
      <c r="R69" s="336"/>
      <c r="S69" s="362"/>
      <c r="T69" s="341"/>
      <c r="U69" s="341"/>
      <c r="V69" s="341"/>
    </row>
    <row r="70" spans="1:22" s="368" customFormat="1">
      <c r="A70" s="336"/>
      <c r="B70" s="692">
        <v>15</v>
      </c>
      <c r="C70" s="693" t="s">
        <v>27</v>
      </c>
      <c r="D70" s="356" t="str">
        <f ca="1">IF(ISERROR(OFFSET('HARGA SATUAN'!$D$6,MATCH(RAB!C70,'HARGA SATUAN'!$C$7:$C$1492,0),0)),"",OFFSET('HARGA SATUAN'!$D$6,MATCH(RAB!C70,'HARGA SATUAN'!$C$7:$C$1492,0),0))</f>
        <v>HDW</v>
      </c>
      <c r="E70" s="357" t="str">
        <f ca="1">IF(B70="+","Unit",IF(ISERROR(OFFSET('HARGA SATUAN'!$E$6,MATCH(RAB!C70,'HARGA SATUAN'!$C$7:$C$1492,0),0)),"",OFFSET('HARGA SATUAN'!$E$6,MATCH(RAB!C70,'HARGA SATUAN'!$C$7:$C$1492,0),0)))</f>
        <v>Bh</v>
      </c>
      <c r="F70" s="714">
        <f>F55*3</f>
        <v>3</v>
      </c>
      <c r="G70" s="358">
        <f ca="1">IF(ISERROR(OFFSET('HARGA SATUAN'!$I$6,MATCH(RAB!C70,'HARGA SATUAN'!$C$7:$C$1492,0),0)),0,OFFSET('HARGA SATUAN'!$I$6,MATCH(RAB!C70,'HARGA SATUAN'!$C$7:$C$1492,0),0))</f>
        <v>16000</v>
      </c>
      <c r="H70" s="359">
        <f t="shared" ca="1" si="8"/>
        <v>0</v>
      </c>
      <c r="I70" s="359">
        <f t="shared" ca="1" si="9"/>
        <v>48000</v>
      </c>
      <c r="J70" s="359">
        <f t="shared" ca="1" si="10"/>
        <v>0</v>
      </c>
      <c r="K70" s="360">
        <f t="shared" ca="1" si="11"/>
        <v>48000</v>
      </c>
      <c r="L70" s="367"/>
      <c r="M70" s="367"/>
      <c r="N70" s="367"/>
      <c r="O70" s="361"/>
      <c r="P70" s="361"/>
      <c r="Q70" s="344"/>
      <c r="R70" s="336"/>
      <c r="S70" s="362"/>
      <c r="T70" s="341"/>
      <c r="U70" s="341"/>
      <c r="V70" s="341"/>
    </row>
    <row r="71" spans="1:22" s="368" customFormat="1">
      <c r="A71" s="336"/>
      <c r="B71" s="692">
        <v>16</v>
      </c>
      <c r="C71" s="693" t="s">
        <v>265</v>
      </c>
      <c r="D71" s="356" t="str">
        <f ca="1">IF(ISERROR(OFFSET('HARGA SATUAN'!$D$6,MATCH(RAB!C71,'HARGA SATUAN'!$C$7:$C$1492,0),0)),"",OFFSET('HARGA SATUAN'!$D$6,MATCH(RAB!C71,'HARGA SATUAN'!$C$7:$C$1492,0),0))</f>
        <v>HDW</v>
      </c>
      <c r="E71" s="357" t="str">
        <f ca="1">IF(B71="+","Unit",IF(ISERROR(OFFSET('HARGA SATUAN'!$E$6,MATCH(RAB!C71,'HARGA SATUAN'!$C$7:$C$1492,0),0)),"",OFFSET('HARGA SATUAN'!$E$6,MATCH(RAB!C71,'HARGA SATUAN'!$C$7:$C$1492,0),0)))</f>
        <v>Bh</v>
      </c>
      <c r="F71" s="714">
        <f>F55*1</f>
        <v>1</v>
      </c>
      <c r="G71" s="358">
        <f ca="1">IF(ISERROR(OFFSET('HARGA SATUAN'!$I$6,MATCH(RAB!C71,'HARGA SATUAN'!$C$7:$C$1492,0),0)),0,OFFSET('HARGA SATUAN'!$I$6,MATCH(RAB!C71,'HARGA SATUAN'!$C$7:$C$1492,0),0))</f>
        <v>33501.866666666669</v>
      </c>
      <c r="H71" s="359">
        <f t="shared" ca="1" si="8"/>
        <v>0</v>
      </c>
      <c r="I71" s="359">
        <f t="shared" ca="1" si="9"/>
        <v>33501.866666666669</v>
      </c>
      <c r="J71" s="359">
        <f t="shared" ca="1" si="10"/>
        <v>0</v>
      </c>
      <c r="K71" s="360">
        <f t="shared" ca="1" si="11"/>
        <v>33501.866666666669</v>
      </c>
      <c r="L71" s="367"/>
      <c r="M71" s="367"/>
      <c r="N71" s="367"/>
      <c r="O71" s="361"/>
      <c r="P71" s="361"/>
      <c r="Q71" s="344"/>
      <c r="R71" s="336"/>
      <c r="S71" s="362"/>
      <c r="T71" s="341"/>
      <c r="U71" s="341"/>
      <c r="V71" s="341"/>
    </row>
    <row r="72" spans="1:22" s="368" customFormat="1">
      <c r="A72" s="336"/>
      <c r="B72" s="692">
        <v>17</v>
      </c>
      <c r="C72" s="693" t="s">
        <v>26</v>
      </c>
      <c r="D72" s="356" t="str">
        <f ca="1">IF(ISERROR(OFFSET('HARGA SATUAN'!$D$6,MATCH(RAB!C72,'HARGA SATUAN'!$C$7:$C$1492,0),0)),"",OFFSET('HARGA SATUAN'!$D$6,MATCH(RAB!C72,'HARGA SATUAN'!$C$7:$C$1492,0),0))</f>
        <v>HDW</v>
      </c>
      <c r="E72" s="357" t="str">
        <f ca="1">IF(B72="+","Unit",IF(ISERROR(OFFSET('HARGA SATUAN'!$E$6,MATCH(RAB!C72,'HARGA SATUAN'!$C$7:$C$1492,0),0)),"",OFFSET('HARGA SATUAN'!$E$6,MATCH(RAB!C72,'HARGA SATUAN'!$C$7:$C$1492,0),0)))</f>
        <v>Bh</v>
      </c>
      <c r="F72" s="714">
        <f>F55*11</f>
        <v>11</v>
      </c>
      <c r="G72" s="358">
        <f ca="1">IF(ISERROR(OFFSET('HARGA SATUAN'!$I$6,MATCH(RAB!C72,'HARGA SATUAN'!$C$7:$C$1492,0),0)),0,OFFSET('HARGA SATUAN'!$I$6,MATCH(RAB!C72,'HARGA SATUAN'!$C$7:$C$1492,0),0))</f>
        <v>2500</v>
      </c>
      <c r="H72" s="359">
        <f t="shared" ca="1" si="8"/>
        <v>0</v>
      </c>
      <c r="I72" s="359">
        <f t="shared" ca="1" si="9"/>
        <v>27500</v>
      </c>
      <c r="J72" s="359">
        <f t="shared" ca="1" si="10"/>
        <v>0</v>
      </c>
      <c r="K72" s="360">
        <f t="shared" ca="1" si="11"/>
        <v>27500</v>
      </c>
      <c r="L72" s="367"/>
      <c r="M72" s="367"/>
      <c r="N72" s="367"/>
      <c r="O72" s="361"/>
      <c r="P72" s="361"/>
      <c r="Q72" s="344"/>
      <c r="R72" s="336"/>
      <c r="S72" s="362"/>
      <c r="T72" s="341"/>
      <c r="U72" s="341"/>
      <c r="V72" s="341"/>
    </row>
    <row r="73" spans="1:22" s="368" customFormat="1">
      <c r="A73" s="336"/>
      <c r="B73" s="692">
        <v>18</v>
      </c>
      <c r="C73" s="693" t="s">
        <v>703</v>
      </c>
      <c r="D73" s="356" t="str">
        <f ca="1">IF(ISERROR(OFFSET('HARGA SATUAN'!$D$6,MATCH(RAB!C73,'HARGA SATUAN'!$C$7:$C$1492,0),0)),"",OFFSET('HARGA SATUAN'!$D$6,MATCH(RAB!C73,'HARGA SATUAN'!$C$7:$C$1492,0),0))</f>
        <v>JASA</v>
      </c>
      <c r="E73" s="357" t="str">
        <f ca="1">IF(B73="+","Unit",IF(ISERROR(OFFSET('HARGA SATUAN'!$E$6,MATCH(RAB!C73,'HARGA SATUAN'!$C$7:$C$1492,0),0)),"",OFFSET('HARGA SATUAN'!$E$6,MATCH(RAB!C73,'HARGA SATUAN'!$C$7:$C$1492,0),0)))</f>
        <v>Unit</v>
      </c>
      <c r="F73" s="714">
        <f>F55*1</f>
        <v>1</v>
      </c>
      <c r="G73" s="358">
        <f ca="1">IF(ISERROR(OFFSET('HARGA SATUAN'!$I$6,MATCH(RAB!C73,'HARGA SATUAN'!$C$7:$C$1492,0),0)),0,OFFSET('HARGA SATUAN'!$I$6,MATCH(RAB!C73,'HARGA SATUAN'!$C$7:$C$1492,0),0))</f>
        <v>134700</v>
      </c>
      <c r="H73" s="359">
        <f t="shared" ca="1" si="8"/>
        <v>0</v>
      </c>
      <c r="I73" s="359">
        <f t="shared" ca="1" si="9"/>
        <v>0</v>
      </c>
      <c r="J73" s="359">
        <f t="shared" ca="1" si="10"/>
        <v>134700</v>
      </c>
      <c r="K73" s="360">
        <f t="shared" ca="1" si="11"/>
        <v>134700</v>
      </c>
      <c r="L73" s="367"/>
      <c r="M73" s="367"/>
      <c r="N73" s="367"/>
      <c r="O73" s="361"/>
      <c r="P73" s="361"/>
      <c r="Q73" s="344"/>
      <c r="R73" s="336"/>
      <c r="S73" s="362"/>
      <c r="T73" s="341"/>
      <c r="U73" s="341"/>
      <c r="V73" s="341"/>
    </row>
    <row r="74" spans="1:22" s="368" customFormat="1">
      <c r="A74" s="336"/>
      <c r="B74" s="692"/>
      <c r="C74" s="693"/>
      <c r="D74" s="356" t="str">
        <f ca="1">IF(ISERROR(OFFSET('HARGA SATUAN'!$D$6,MATCH(RAB!C74,'HARGA SATUAN'!$C$7:$C$1492,0),0)),"",OFFSET('HARGA SATUAN'!$D$6,MATCH(RAB!C74,'HARGA SATUAN'!$C$7:$C$1492,0),0))</f>
        <v/>
      </c>
      <c r="E74" s="357" t="str">
        <f ca="1">IF(B74="+","Unit",IF(ISERROR(OFFSET('HARGA SATUAN'!$E$6,MATCH(RAB!C74,'HARGA SATUAN'!$C$7:$C$1492,0),0)),"",OFFSET('HARGA SATUAN'!$E$6,MATCH(RAB!C74,'HARGA SATUAN'!$C$7:$C$1492,0),0)))</f>
        <v/>
      </c>
      <c r="F74" s="714"/>
      <c r="G74" s="358">
        <f ca="1">IF(ISERROR(OFFSET('HARGA SATUAN'!$I$6,MATCH(RAB!C74,'HARGA SATUAN'!$C$7:$C$1492,0),0)),0,OFFSET('HARGA SATUAN'!$I$6,MATCH(RAB!C74,'HARGA SATUAN'!$C$7:$C$1492,0),0))</f>
        <v>0</v>
      </c>
      <c r="H74" s="359">
        <f t="shared" ca="1" si="8"/>
        <v>0</v>
      </c>
      <c r="I74" s="359">
        <f t="shared" ca="1" si="9"/>
        <v>0</v>
      </c>
      <c r="J74" s="359">
        <f t="shared" ca="1" si="10"/>
        <v>0</v>
      </c>
      <c r="K74" s="360">
        <f t="shared" ca="1" si="11"/>
        <v>0</v>
      </c>
      <c r="L74" s="367"/>
      <c r="M74" s="367"/>
      <c r="N74" s="367"/>
      <c r="O74" s="361"/>
      <c r="P74" s="361"/>
      <c r="Q74" s="344"/>
      <c r="R74" s="336"/>
      <c r="S74" s="362"/>
      <c r="T74" s="341"/>
      <c r="U74" s="341"/>
      <c r="V74" s="341"/>
    </row>
    <row r="75" spans="1:22" s="368" customFormat="1">
      <c r="A75" s="336"/>
      <c r="B75" s="692" t="s">
        <v>1035</v>
      </c>
      <c r="C75" s="697" t="s">
        <v>1662</v>
      </c>
      <c r="D75" s="356" t="str">
        <f ca="1">IF(ISERROR(OFFSET('HARGA SATUAN'!$D$6,MATCH(RAB!C75,'HARGA SATUAN'!$C$7:$C$1492,0),0)),"",OFFSET('HARGA SATUAN'!$D$6,MATCH(RAB!C75,'HARGA SATUAN'!$C$7:$C$1492,0),0))</f>
        <v/>
      </c>
      <c r="E75" s="357" t="str">
        <f ca="1">IF(B75="+","Unit",IF(ISERROR(OFFSET('HARGA SATUAN'!$E$6,MATCH(RAB!C75,'HARGA SATUAN'!$C$7:$C$1492,0),0)),"",OFFSET('HARGA SATUAN'!$E$6,MATCH(RAB!C75,'HARGA SATUAN'!$C$7:$C$1492,0),0)))</f>
        <v>Unit</v>
      </c>
      <c r="F75" s="716">
        <v>1</v>
      </c>
      <c r="G75" s="358">
        <f ca="1">IF(ISERROR(OFFSET('HARGA SATUAN'!$I$6,MATCH(RAB!C75,'HARGA SATUAN'!$C$7:$C$1492,0),0)),0,OFFSET('HARGA SATUAN'!$I$6,MATCH(RAB!C75,'HARGA SATUAN'!$C$7:$C$1492,0),0))</f>
        <v>0</v>
      </c>
      <c r="H75" s="359">
        <f t="shared" ref="H75:H98" ca="1" si="12">IF(OR(D75="MDU",D75="MDU-KD"),(IF($O$3="RAB NON MDU","PLN KD",G75*F75)),0)</f>
        <v>0</v>
      </c>
      <c r="I75" s="359">
        <f t="shared" ref="I75:I98" ca="1" si="13">IF(D75="HDW",G75*F75,0)</f>
        <v>0</v>
      </c>
      <c r="J75" s="359">
        <f t="shared" ref="J75:J98" ca="1" si="14">IF(D75="JASA",G75*F75,0)</f>
        <v>0</v>
      </c>
      <c r="K75" s="360">
        <f t="shared" ref="K75:K98" ca="1" si="15">SUM(H75:J75)</f>
        <v>0</v>
      </c>
      <c r="L75" s="367"/>
      <c r="M75" s="367"/>
      <c r="N75" s="367"/>
      <c r="O75" s="361"/>
      <c r="P75" s="361"/>
      <c r="Q75" s="344"/>
      <c r="R75" s="336"/>
      <c r="S75" s="362"/>
      <c r="T75" s="341"/>
      <c r="U75" s="341"/>
      <c r="V75" s="341"/>
    </row>
    <row r="76" spans="1:22" s="368" customFormat="1">
      <c r="A76" s="336"/>
      <c r="B76" s="696">
        <v>1</v>
      </c>
      <c r="C76" s="109" t="s">
        <v>1564</v>
      </c>
      <c r="D76" s="356" t="str">
        <f ca="1">IF(ISERROR(OFFSET('HARGA SATUAN'!$D$6,MATCH(RAB!C76,'HARGA SATUAN'!$C$7:$C$1492,0),0)),"",OFFSET('HARGA SATUAN'!$D$6,MATCH(RAB!C76,'HARGA SATUAN'!$C$7:$C$1492,0),0))</f>
        <v>MDU-KD</v>
      </c>
      <c r="E76" s="357" t="str">
        <f ca="1">IF(B76="+","Unit",IF(ISERROR(OFFSET('HARGA SATUAN'!$E$6,MATCH(RAB!C76,'HARGA SATUAN'!$C$7:$C$1492,0),0)),"",OFFSET('HARGA SATUAN'!$E$6,MATCH(RAB!C76,'HARGA SATUAN'!$C$7:$C$1492,0),0)))</f>
        <v>Bh</v>
      </c>
      <c r="F76" s="716">
        <f>F75*1</f>
        <v>1</v>
      </c>
      <c r="G76" s="358">
        <f ca="1">IF(ISERROR(OFFSET('HARGA SATUAN'!$I$6,MATCH(RAB!C76,'HARGA SATUAN'!$C$7:$C$1492,0),0)),0,OFFSET('HARGA SATUAN'!$I$6,MATCH(RAB!C76,'HARGA SATUAN'!$C$7:$C$1492,0),0))</f>
        <v>235900</v>
      </c>
      <c r="H76" s="359">
        <f t="shared" ca="1" si="12"/>
        <v>235900</v>
      </c>
      <c r="I76" s="359">
        <f t="shared" ca="1" si="13"/>
        <v>0</v>
      </c>
      <c r="J76" s="359">
        <f t="shared" ca="1" si="14"/>
        <v>0</v>
      </c>
      <c r="K76" s="360">
        <f t="shared" ca="1" si="15"/>
        <v>235900</v>
      </c>
      <c r="L76" s="367"/>
      <c r="M76" s="367"/>
      <c r="N76" s="367"/>
      <c r="O76" s="361"/>
      <c r="P76" s="361"/>
      <c r="Q76" s="344"/>
      <c r="R76" s="336"/>
      <c r="S76" s="362"/>
      <c r="T76" s="341"/>
      <c r="U76" s="341"/>
      <c r="V76" s="341"/>
    </row>
    <row r="77" spans="1:22" s="368" customFormat="1">
      <c r="A77" s="336"/>
      <c r="B77" s="696">
        <v>2</v>
      </c>
      <c r="C77" s="109" t="s">
        <v>1564</v>
      </c>
      <c r="D77" s="356" t="str">
        <f ca="1">IF(ISERROR(OFFSET('HARGA SATUAN'!$D$6,MATCH(RAB!C77,'HARGA SATUAN'!$C$7:$C$1492,0),0)),"",OFFSET('HARGA SATUAN'!$D$6,MATCH(RAB!C77,'HARGA SATUAN'!$C$7:$C$1492,0),0))</f>
        <v>MDU-KD</v>
      </c>
      <c r="E77" s="357" t="str">
        <f ca="1">IF(B77="+","Unit",IF(ISERROR(OFFSET('HARGA SATUAN'!$E$6,MATCH(RAB!C77,'HARGA SATUAN'!$C$7:$C$1492,0),0)),"",OFFSET('HARGA SATUAN'!$E$6,MATCH(RAB!C77,'HARGA SATUAN'!$C$7:$C$1492,0),0)))</f>
        <v>Bh</v>
      </c>
      <c r="F77" s="716">
        <f>F75*1</f>
        <v>1</v>
      </c>
      <c r="G77" s="358">
        <f ca="1">IF(ISERROR(OFFSET('HARGA SATUAN'!$I$6,MATCH(RAB!C77,'HARGA SATUAN'!$C$7:$C$1492,0),0)),0,OFFSET('HARGA SATUAN'!$I$6,MATCH(RAB!C77,'HARGA SATUAN'!$C$7:$C$1492,0),0))</f>
        <v>235900</v>
      </c>
      <c r="H77" s="359">
        <f t="shared" ca="1" si="12"/>
        <v>235900</v>
      </c>
      <c r="I77" s="359">
        <f t="shared" ca="1" si="13"/>
        <v>0</v>
      </c>
      <c r="J77" s="359">
        <f t="shared" ca="1" si="14"/>
        <v>0</v>
      </c>
      <c r="K77" s="360">
        <f t="shared" ca="1" si="15"/>
        <v>235900</v>
      </c>
      <c r="L77" s="367"/>
      <c r="M77" s="367"/>
      <c r="N77" s="367"/>
      <c r="O77" s="361"/>
      <c r="P77" s="361"/>
      <c r="Q77" s="344"/>
      <c r="R77" s="336"/>
      <c r="S77" s="362"/>
      <c r="T77" s="341"/>
      <c r="U77" s="341"/>
      <c r="V77" s="341"/>
    </row>
    <row r="78" spans="1:22" s="368" customFormat="1">
      <c r="A78" s="336"/>
      <c r="B78" s="696">
        <v>3</v>
      </c>
      <c r="C78" s="109" t="s">
        <v>1565</v>
      </c>
      <c r="D78" s="356" t="str">
        <f ca="1">IF(ISERROR(OFFSET('HARGA SATUAN'!$D$6,MATCH(RAB!C78,'HARGA SATUAN'!$C$7:$C$1492,0),0)),"",OFFSET('HARGA SATUAN'!$D$6,MATCH(RAB!C78,'HARGA SATUAN'!$C$7:$C$1492,0),0))</f>
        <v>MDU-KD</v>
      </c>
      <c r="E78" s="357" t="str">
        <f ca="1">IF(B78="+","Unit",IF(ISERROR(OFFSET('HARGA SATUAN'!$E$6,MATCH(RAB!C78,'HARGA SATUAN'!$C$7:$C$1492,0),0)),"",OFFSET('HARGA SATUAN'!$E$6,MATCH(RAB!C78,'HARGA SATUAN'!$C$7:$C$1492,0),0)))</f>
        <v>Set</v>
      </c>
      <c r="F78" s="716">
        <f>F75*6</f>
        <v>6</v>
      </c>
      <c r="G78" s="358">
        <f ca="1">IF(ISERROR(OFFSET('HARGA SATUAN'!$I$6,MATCH(RAB!C78,'HARGA SATUAN'!$C$7:$C$1492,0),0)),0,OFFSET('HARGA SATUAN'!$I$6,MATCH(RAB!C78,'HARGA SATUAN'!$C$7:$C$1492,0),0))</f>
        <v>430000</v>
      </c>
      <c r="H78" s="359">
        <f t="shared" ca="1" si="12"/>
        <v>2580000</v>
      </c>
      <c r="I78" s="359">
        <f t="shared" ca="1" si="13"/>
        <v>0</v>
      </c>
      <c r="J78" s="359">
        <f t="shared" ca="1" si="14"/>
        <v>0</v>
      </c>
      <c r="K78" s="360">
        <f t="shared" ca="1" si="15"/>
        <v>2580000</v>
      </c>
      <c r="L78" s="367"/>
      <c r="M78" s="367"/>
      <c r="N78" s="367"/>
      <c r="O78" s="361"/>
      <c r="P78" s="361"/>
      <c r="Q78" s="344"/>
      <c r="R78" s="336"/>
      <c r="S78" s="362"/>
      <c r="T78" s="341"/>
      <c r="U78" s="341"/>
      <c r="V78" s="341"/>
    </row>
    <row r="79" spans="1:22" s="368" customFormat="1">
      <c r="A79" s="336"/>
      <c r="B79" s="696">
        <v>4</v>
      </c>
      <c r="C79" s="697" t="s">
        <v>152</v>
      </c>
      <c r="D79" s="356" t="str">
        <f ca="1">IF(ISERROR(OFFSET('HARGA SATUAN'!$D$6,MATCH(RAB!C79,'HARGA SATUAN'!$C$7:$C$1492,0),0)),"",OFFSET('HARGA SATUAN'!$D$6,MATCH(RAB!C79,'HARGA SATUAN'!$C$7:$C$1492,0),0))</f>
        <v>HDW</v>
      </c>
      <c r="E79" s="357" t="str">
        <f ca="1">IF(B79="+","Unit",IF(ISERROR(OFFSET('HARGA SATUAN'!$E$6,MATCH(RAB!C79,'HARGA SATUAN'!$C$7:$C$1492,0),0)),"",OFFSET('HARGA SATUAN'!$E$6,MATCH(RAB!C79,'HARGA SATUAN'!$C$7:$C$1492,0),0)))</f>
        <v>Mtr</v>
      </c>
      <c r="F79" s="716">
        <f>F75*2</f>
        <v>2</v>
      </c>
      <c r="G79" s="358">
        <f ca="1">IF(ISERROR(OFFSET('HARGA SATUAN'!$I$6,MATCH(RAB!C79,'HARGA SATUAN'!$C$7:$C$1492,0),0)),0,OFFSET('HARGA SATUAN'!$I$6,MATCH(RAB!C79,'HARGA SATUAN'!$C$7:$C$1492,0),0))</f>
        <v>7789</v>
      </c>
      <c r="H79" s="359">
        <f t="shared" ca="1" si="12"/>
        <v>0</v>
      </c>
      <c r="I79" s="359">
        <f t="shared" ca="1" si="13"/>
        <v>15578</v>
      </c>
      <c r="J79" s="359">
        <f t="shared" ca="1" si="14"/>
        <v>0</v>
      </c>
      <c r="K79" s="360">
        <f t="shared" ca="1" si="15"/>
        <v>15578</v>
      </c>
      <c r="L79" s="367"/>
      <c r="M79" s="367"/>
      <c r="N79" s="367"/>
      <c r="O79" s="361"/>
      <c r="P79" s="361"/>
      <c r="Q79" s="344"/>
      <c r="R79" s="336"/>
      <c r="S79" s="362"/>
      <c r="T79" s="341"/>
      <c r="U79" s="341"/>
      <c r="V79" s="341"/>
    </row>
    <row r="80" spans="1:22" s="368" customFormat="1">
      <c r="A80" s="336"/>
      <c r="B80" s="696">
        <v>5</v>
      </c>
      <c r="C80" s="697" t="s">
        <v>157</v>
      </c>
      <c r="D80" s="356" t="str">
        <f ca="1">IF(ISERROR(OFFSET('HARGA SATUAN'!$D$6,MATCH(RAB!C80,'HARGA SATUAN'!$C$7:$C$1492,0),0)),"",OFFSET('HARGA SATUAN'!$D$6,MATCH(RAB!C80,'HARGA SATUAN'!$C$7:$C$1492,0),0))</f>
        <v>HDW</v>
      </c>
      <c r="E80" s="357" t="str">
        <f ca="1">IF(B80="+","Unit",IF(ISERROR(OFFSET('HARGA SATUAN'!$E$6,MATCH(RAB!C80,'HARGA SATUAN'!$C$7:$C$1492,0),0)),"",OFFSET('HARGA SATUAN'!$E$6,MATCH(RAB!C80,'HARGA SATUAN'!$C$7:$C$1492,0),0)))</f>
        <v>Bh</v>
      </c>
      <c r="F80" s="716">
        <f>F75*4</f>
        <v>4</v>
      </c>
      <c r="G80" s="358">
        <f ca="1">IF(ISERROR(OFFSET('HARGA SATUAN'!$I$6,MATCH(RAB!C80,'HARGA SATUAN'!$C$7:$C$1492,0),0)),0,OFFSET('HARGA SATUAN'!$I$6,MATCH(RAB!C80,'HARGA SATUAN'!$C$7:$C$1492,0),0))</f>
        <v>40000</v>
      </c>
      <c r="H80" s="359">
        <f t="shared" ca="1" si="12"/>
        <v>0</v>
      </c>
      <c r="I80" s="359">
        <f t="shared" ca="1" si="13"/>
        <v>160000</v>
      </c>
      <c r="J80" s="359">
        <f t="shared" ca="1" si="14"/>
        <v>0</v>
      </c>
      <c r="K80" s="360">
        <f t="shared" ca="1" si="15"/>
        <v>160000</v>
      </c>
      <c r="L80" s="367"/>
      <c r="M80" s="367"/>
      <c r="N80" s="367"/>
      <c r="O80" s="361"/>
      <c r="P80" s="361"/>
      <c r="Q80" s="344"/>
      <c r="R80" s="336"/>
      <c r="S80" s="362"/>
      <c r="T80" s="341"/>
      <c r="U80" s="341"/>
      <c r="V80" s="341"/>
    </row>
    <row r="81" spans="1:22" s="368" customFormat="1">
      <c r="A81" s="336"/>
      <c r="B81" s="696">
        <v>6</v>
      </c>
      <c r="C81" s="697" t="s">
        <v>163</v>
      </c>
      <c r="D81" s="356" t="str">
        <f ca="1">IF(ISERROR(OFFSET('HARGA SATUAN'!$D$6,MATCH(RAB!C81,'HARGA SATUAN'!$C$7:$C$1492,0),0)),"",OFFSET('HARGA SATUAN'!$D$6,MATCH(RAB!C81,'HARGA SATUAN'!$C$7:$C$1492,0),0))</f>
        <v>HDW</v>
      </c>
      <c r="E81" s="357" t="str">
        <f ca="1">IF(B81="+","Unit",IF(ISERROR(OFFSET('HARGA SATUAN'!$E$6,MATCH(RAB!C81,'HARGA SATUAN'!$C$7:$C$1492,0),0)),"",OFFSET('HARGA SATUAN'!$E$6,MATCH(RAB!C81,'HARGA SATUAN'!$C$7:$C$1492,0),0)))</f>
        <v>Bh</v>
      </c>
      <c r="F81" s="716">
        <f>F75*8</f>
        <v>8</v>
      </c>
      <c r="G81" s="358">
        <f ca="1">IF(ISERROR(OFFSET('HARGA SATUAN'!$I$6,MATCH(RAB!C81,'HARGA SATUAN'!$C$7:$C$1492,0),0)),0,OFFSET('HARGA SATUAN'!$I$6,MATCH(RAB!C81,'HARGA SATUAN'!$C$7:$C$1492,0),0))</f>
        <v>7938</v>
      </c>
      <c r="H81" s="359">
        <f t="shared" ca="1" si="12"/>
        <v>0</v>
      </c>
      <c r="I81" s="359">
        <f t="shared" ca="1" si="13"/>
        <v>63504</v>
      </c>
      <c r="J81" s="359">
        <f t="shared" ca="1" si="14"/>
        <v>0</v>
      </c>
      <c r="K81" s="360">
        <f t="shared" ca="1" si="15"/>
        <v>63504</v>
      </c>
      <c r="L81" s="367"/>
      <c r="M81" s="367"/>
      <c r="N81" s="367"/>
      <c r="O81" s="361"/>
      <c r="P81" s="361"/>
      <c r="Q81" s="344"/>
      <c r="R81" s="336"/>
      <c r="S81" s="362"/>
      <c r="T81" s="341"/>
      <c r="U81" s="341"/>
      <c r="V81" s="341"/>
    </row>
    <row r="82" spans="1:22" s="368" customFormat="1">
      <c r="A82" s="336"/>
      <c r="B82" s="696">
        <v>7</v>
      </c>
      <c r="C82" s="697" t="s">
        <v>28</v>
      </c>
      <c r="D82" s="356" t="str">
        <f ca="1">IF(ISERROR(OFFSET('HARGA SATUAN'!$D$6,MATCH(RAB!C82,'HARGA SATUAN'!$C$7:$C$1492,0),0)),"",OFFSET('HARGA SATUAN'!$D$6,MATCH(RAB!C82,'HARGA SATUAN'!$C$7:$C$1492,0),0))</f>
        <v>HDW</v>
      </c>
      <c r="E82" s="357" t="str">
        <f ca="1">IF(B82="+","Unit",IF(ISERROR(OFFSET('HARGA SATUAN'!$E$6,MATCH(RAB!C82,'HARGA SATUAN'!$C$7:$C$1492,0),0)),"",OFFSET('HARGA SATUAN'!$E$6,MATCH(RAB!C82,'HARGA SATUAN'!$C$7:$C$1492,0),0)))</f>
        <v>Bh</v>
      </c>
      <c r="F82" s="716">
        <f>F75*1</f>
        <v>1</v>
      </c>
      <c r="G82" s="358">
        <f ca="1">IF(ISERROR(OFFSET('HARGA SATUAN'!$I$6,MATCH(RAB!C82,'HARGA SATUAN'!$C$7:$C$1492,0),0)),0,OFFSET('HARGA SATUAN'!$I$6,MATCH(RAB!C82,'HARGA SATUAN'!$C$7:$C$1492,0),0))</f>
        <v>26500</v>
      </c>
      <c r="H82" s="359">
        <f t="shared" ca="1" si="12"/>
        <v>0</v>
      </c>
      <c r="I82" s="359">
        <f t="shared" ca="1" si="13"/>
        <v>26500</v>
      </c>
      <c r="J82" s="359">
        <f t="shared" ca="1" si="14"/>
        <v>0</v>
      </c>
      <c r="K82" s="360">
        <f t="shared" ca="1" si="15"/>
        <v>26500</v>
      </c>
      <c r="L82" s="367"/>
      <c r="M82" s="367"/>
      <c r="N82" s="367"/>
      <c r="O82" s="361"/>
      <c r="P82" s="361"/>
      <c r="Q82" s="344"/>
      <c r="R82" s="336"/>
      <c r="S82" s="362"/>
      <c r="T82" s="341"/>
      <c r="U82" s="341"/>
      <c r="V82" s="341"/>
    </row>
    <row r="83" spans="1:22" s="368" customFormat="1">
      <c r="A83" s="336"/>
      <c r="B83" s="696">
        <v>8</v>
      </c>
      <c r="C83" s="697" t="s">
        <v>173</v>
      </c>
      <c r="D83" s="356" t="str">
        <f ca="1">IF(ISERROR(OFFSET('HARGA SATUAN'!$D$6,MATCH(RAB!C83,'HARGA SATUAN'!$C$7:$C$1492,0),0)),"",OFFSET('HARGA SATUAN'!$D$6,MATCH(RAB!C83,'HARGA SATUAN'!$C$7:$C$1492,0),0))</f>
        <v>HDW</v>
      </c>
      <c r="E83" s="357" t="str">
        <f ca="1">IF(B83="+","Unit",IF(ISERROR(OFFSET('HARGA SATUAN'!$E$6,MATCH(RAB!C83,'HARGA SATUAN'!$C$7:$C$1492,0),0)),"",OFFSET('HARGA SATUAN'!$E$6,MATCH(RAB!C83,'HARGA SATUAN'!$C$7:$C$1492,0),0)))</f>
        <v>Bh</v>
      </c>
      <c r="F83" s="716">
        <f>F75*8</f>
        <v>8</v>
      </c>
      <c r="G83" s="358">
        <f ca="1">IF(ISERROR(OFFSET('HARGA SATUAN'!$I$6,MATCH(RAB!C83,'HARGA SATUAN'!$C$7:$C$1492,0),0)),0,OFFSET('HARGA SATUAN'!$I$6,MATCH(RAB!C83,'HARGA SATUAN'!$C$7:$C$1492,0),0))</f>
        <v>45000</v>
      </c>
      <c r="H83" s="359">
        <f t="shared" ca="1" si="12"/>
        <v>0</v>
      </c>
      <c r="I83" s="359">
        <f t="shared" ca="1" si="13"/>
        <v>360000</v>
      </c>
      <c r="J83" s="359">
        <f t="shared" ca="1" si="14"/>
        <v>0</v>
      </c>
      <c r="K83" s="360">
        <f t="shared" ca="1" si="15"/>
        <v>360000</v>
      </c>
      <c r="L83" s="367"/>
      <c r="M83" s="367"/>
      <c r="N83" s="367"/>
      <c r="O83" s="361"/>
      <c r="P83" s="361"/>
      <c r="Q83" s="344"/>
      <c r="R83" s="336"/>
      <c r="S83" s="362"/>
      <c r="T83" s="341"/>
      <c r="U83" s="341"/>
      <c r="V83" s="341"/>
    </row>
    <row r="84" spans="1:22" s="368" customFormat="1">
      <c r="A84" s="336"/>
      <c r="B84" s="696">
        <v>9</v>
      </c>
      <c r="C84" s="697" t="s">
        <v>179</v>
      </c>
      <c r="D84" s="356" t="str">
        <f ca="1">IF(ISERROR(OFFSET('HARGA SATUAN'!$D$6,MATCH(RAB!C84,'HARGA SATUAN'!$C$7:$C$1492,0),0)),"",OFFSET('HARGA SATUAN'!$D$6,MATCH(RAB!C84,'HARGA SATUAN'!$C$7:$C$1492,0),0))</f>
        <v>HDW</v>
      </c>
      <c r="E84" s="357" t="str">
        <f ca="1">IF(B84="+","Unit",IF(ISERROR(OFFSET('HARGA SATUAN'!$E$6,MATCH(RAB!C84,'HARGA SATUAN'!$C$7:$C$1492,0),0)),"",OFFSET('HARGA SATUAN'!$E$6,MATCH(RAB!C84,'HARGA SATUAN'!$C$7:$C$1492,0),0)))</f>
        <v>Bh</v>
      </c>
      <c r="F84" s="716">
        <f>F75*2</f>
        <v>2</v>
      </c>
      <c r="G84" s="358">
        <f ca="1">IF(ISERROR(OFFSET('HARGA SATUAN'!$I$6,MATCH(RAB!C84,'HARGA SATUAN'!$C$7:$C$1492,0),0)),0,OFFSET('HARGA SATUAN'!$I$6,MATCH(RAB!C84,'HARGA SATUAN'!$C$7:$C$1492,0),0))</f>
        <v>15500</v>
      </c>
      <c r="H84" s="359">
        <f t="shared" ca="1" si="12"/>
        <v>0</v>
      </c>
      <c r="I84" s="359">
        <f t="shared" ca="1" si="13"/>
        <v>31000</v>
      </c>
      <c r="J84" s="359">
        <f t="shared" ca="1" si="14"/>
        <v>0</v>
      </c>
      <c r="K84" s="360">
        <f t="shared" ca="1" si="15"/>
        <v>31000</v>
      </c>
      <c r="L84" s="367"/>
      <c r="M84" s="367"/>
      <c r="N84" s="367"/>
      <c r="O84" s="361"/>
      <c r="P84" s="361"/>
      <c r="Q84" s="344"/>
      <c r="R84" s="336"/>
      <c r="S84" s="362"/>
      <c r="T84" s="341"/>
      <c r="U84" s="341"/>
      <c r="V84" s="341"/>
    </row>
    <row r="85" spans="1:22" s="368" customFormat="1">
      <c r="A85" s="336"/>
      <c r="B85" s="696">
        <v>10</v>
      </c>
      <c r="C85" s="697" t="s">
        <v>181</v>
      </c>
      <c r="D85" s="356" t="str">
        <f ca="1">IF(ISERROR(OFFSET('HARGA SATUAN'!$D$6,MATCH(RAB!C85,'HARGA SATUAN'!$C$7:$C$1492,0),0)),"",OFFSET('HARGA SATUAN'!$D$6,MATCH(RAB!C85,'HARGA SATUAN'!$C$7:$C$1492,0),0))</f>
        <v>HDW</v>
      </c>
      <c r="E85" s="357" t="str">
        <f ca="1">IF(B85="+","Unit",IF(ISERROR(OFFSET('HARGA SATUAN'!$E$6,MATCH(RAB!C85,'HARGA SATUAN'!$C$7:$C$1492,0),0)),"",OFFSET('HARGA SATUAN'!$E$6,MATCH(RAB!C85,'HARGA SATUAN'!$C$7:$C$1492,0),0)))</f>
        <v>Bh</v>
      </c>
      <c r="F85" s="716">
        <f>F75*4</f>
        <v>4</v>
      </c>
      <c r="G85" s="358">
        <f ca="1">IF(ISERROR(OFFSET('HARGA SATUAN'!$I$6,MATCH(RAB!C85,'HARGA SATUAN'!$C$7:$C$1492,0),0)),0,OFFSET('HARGA SATUAN'!$I$6,MATCH(RAB!C85,'HARGA SATUAN'!$C$7:$C$1492,0),0))</f>
        <v>28100</v>
      </c>
      <c r="H85" s="359">
        <f t="shared" ca="1" si="12"/>
        <v>0</v>
      </c>
      <c r="I85" s="359">
        <f t="shared" ca="1" si="13"/>
        <v>112400</v>
      </c>
      <c r="J85" s="359">
        <f t="shared" ca="1" si="14"/>
        <v>0</v>
      </c>
      <c r="K85" s="360">
        <f t="shared" ca="1" si="15"/>
        <v>112400</v>
      </c>
      <c r="L85" s="367"/>
      <c r="M85" s="367"/>
      <c r="N85" s="367"/>
      <c r="O85" s="361"/>
      <c r="P85" s="361"/>
      <c r="Q85" s="344"/>
      <c r="R85" s="336"/>
      <c r="S85" s="362"/>
      <c r="T85" s="341"/>
      <c r="U85" s="341"/>
      <c r="V85" s="341"/>
    </row>
    <row r="86" spans="1:22" s="368" customFormat="1">
      <c r="A86" s="336"/>
      <c r="B86" s="696">
        <v>11</v>
      </c>
      <c r="C86" s="697" t="s">
        <v>593</v>
      </c>
      <c r="D86" s="356" t="str">
        <f ca="1">IF(ISERROR(OFFSET('HARGA SATUAN'!$D$6,MATCH(RAB!C86,'HARGA SATUAN'!$C$7:$C$1492,0),0)),"",OFFSET('HARGA SATUAN'!$D$6,MATCH(RAB!C86,'HARGA SATUAN'!$C$7:$C$1492,0),0))</f>
        <v>HDW</v>
      </c>
      <c r="E86" s="357" t="str">
        <f ca="1">IF(B86="+","Unit",IF(ISERROR(OFFSET('HARGA SATUAN'!$E$6,MATCH(RAB!C86,'HARGA SATUAN'!$C$7:$C$1492,0),0)),"",OFFSET('HARGA SATUAN'!$E$6,MATCH(RAB!C86,'HARGA SATUAN'!$C$7:$C$1492,0),0)))</f>
        <v>Bh</v>
      </c>
      <c r="F86" s="716">
        <f>F75*4</f>
        <v>4</v>
      </c>
      <c r="G86" s="358">
        <f ca="1">IF(ISERROR(OFFSET('HARGA SATUAN'!$I$6,MATCH(RAB!C86,'HARGA SATUAN'!$C$7:$C$1492,0),0)),0,OFFSET('HARGA SATUAN'!$I$6,MATCH(RAB!C86,'HARGA SATUAN'!$C$7:$C$1492,0),0))</f>
        <v>380500</v>
      </c>
      <c r="H86" s="359">
        <f t="shared" ca="1" si="12"/>
        <v>0</v>
      </c>
      <c r="I86" s="359">
        <f t="shared" ca="1" si="13"/>
        <v>1522000</v>
      </c>
      <c r="J86" s="359">
        <f t="shared" ca="1" si="14"/>
        <v>0</v>
      </c>
      <c r="K86" s="360">
        <f t="shared" ca="1" si="15"/>
        <v>1522000</v>
      </c>
      <c r="L86" s="367"/>
      <c r="M86" s="367"/>
      <c r="N86" s="367"/>
      <c r="O86" s="361"/>
      <c r="P86" s="361"/>
      <c r="Q86" s="344"/>
      <c r="R86" s="336"/>
      <c r="S86" s="362"/>
      <c r="T86" s="341"/>
      <c r="U86" s="341"/>
      <c r="V86" s="341"/>
    </row>
    <row r="87" spans="1:22" s="368" customFormat="1">
      <c r="A87" s="336"/>
      <c r="B87" s="696">
        <v>12</v>
      </c>
      <c r="C87" s="697" t="s">
        <v>218</v>
      </c>
      <c r="D87" s="356" t="str">
        <f ca="1">IF(ISERROR(OFFSET('HARGA SATUAN'!$D$6,MATCH(RAB!C87,'HARGA SATUAN'!$C$7:$C$1492,0),0)),"",OFFSET('HARGA SATUAN'!$D$6,MATCH(RAB!C87,'HARGA SATUAN'!$C$7:$C$1492,0),0))</f>
        <v>HDW</v>
      </c>
      <c r="E87" s="357" t="str">
        <f ca="1">IF(B87="+","Unit",IF(ISERROR(OFFSET('HARGA SATUAN'!$E$6,MATCH(RAB!C87,'HARGA SATUAN'!$C$7:$C$1492,0),0)),"",OFFSET('HARGA SATUAN'!$E$6,MATCH(RAB!C87,'HARGA SATUAN'!$C$7:$C$1492,0),0)))</f>
        <v>Bh</v>
      </c>
      <c r="F87" s="716">
        <f>F75*4</f>
        <v>4</v>
      </c>
      <c r="G87" s="358">
        <f ca="1">IF(ISERROR(OFFSET('HARGA SATUAN'!$I$6,MATCH(RAB!C87,'HARGA SATUAN'!$C$7:$C$1492,0),0)),0,OFFSET('HARGA SATUAN'!$I$6,MATCH(RAB!C87,'HARGA SATUAN'!$C$7:$C$1492,0),0))</f>
        <v>29600</v>
      </c>
      <c r="H87" s="359">
        <f t="shared" ca="1" si="12"/>
        <v>0</v>
      </c>
      <c r="I87" s="359">
        <f t="shared" ca="1" si="13"/>
        <v>118400</v>
      </c>
      <c r="J87" s="359">
        <f t="shared" ca="1" si="14"/>
        <v>0</v>
      </c>
      <c r="K87" s="360">
        <f t="shared" ca="1" si="15"/>
        <v>118400</v>
      </c>
      <c r="L87" s="367"/>
      <c r="M87" s="367"/>
      <c r="N87" s="367"/>
      <c r="O87" s="361"/>
      <c r="P87" s="361"/>
      <c r="Q87" s="344"/>
      <c r="R87" s="336"/>
      <c r="S87" s="362"/>
      <c r="T87" s="341"/>
      <c r="U87" s="341"/>
      <c r="V87" s="341"/>
    </row>
    <row r="88" spans="1:22" s="368" customFormat="1">
      <c r="A88" s="336"/>
      <c r="B88" s="696">
        <v>13</v>
      </c>
      <c r="C88" s="697" t="s">
        <v>217</v>
      </c>
      <c r="D88" s="356" t="str">
        <f ca="1">IF(ISERROR(OFFSET('HARGA SATUAN'!$D$6,MATCH(RAB!C88,'HARGA SATUAN'!$C$7:$C$1492,0),0)),"",OFFSET('HARGA SATUAN'!$D$6,MATCH(RAB!C88,'HARGA SATUAN'!$C$7:$C$1492,0),0))</f>
        <v>HDW</v>
      </c>
      <c r="E88" s="357" t="str">
        <f ca="1">IF(B88="+","Unit",IF(ISERROR(OFFSET('HARGA SATUAN'!$E$6,MATCH(RAB!C88,'HARGA SATUAN'!$C$7:$C$1492,0),0)),"",OFFSET('HARGA SATUAN'!$E$6,MATCH(RAB!C88,'HARGA SATUAN'!$C$7:$C$1492,0),0)))</f>
        <v>Bh</v>
      </c>
      <c r="F88" s="716">
        <f>F75*9</f>
        <v>9</v>
      </c>
      <c r="G88" s="358">
        <f ca="1">IF(ISERROR(OFFSET('HARGA SATUAN'!$I$6,MATCH(RAB!C88,'HARGA SATUAN'!$C$7:$C$1492,0),0)),0,OFFSET('HARGA SATUAN'!$I$6,MATCH(RAB!C88,'HARGA SATUAN'!$C$7:$C$1492,0),0))</f>
        <v>11400</v>
      </c>
      <c r="H88" s="359">
        <f t="shared" ca="1" si="12"/>
        <v>0</v>
      </c>
      <c r="I88" s="359">
        <f t="shared" ca="1" si="13"/>
        <v>102600</v>
      </c>
      <c r="J88" s="359">
        <f t="shared" ca="1" si="14"/>
        <v>0</v>
      </c>
      <c r="K88" s="360">
        <f t="shared" ca="1" si="15"/>
        <v>102600</v>
      </c>
      <c r="L88" s="367"/>
      <c r="M88" s="367"/>
      <c r="N88" s="367"/>
      <c r="O88" s="361"/>
      <c r="P88" s="361"/>
      <c r="Q88" s="344"/>
      <c r="R88" s="336"/>
      <c r="S88" s="362"/>
      <c r="T88" s="341"/>
      <c r="U88" s="341"/>
      <c r="V88" s="341"/>
    </row>
    <row r="89" spans="1:22" s="368" customFormat="1">
      <c r="A89" s="336"/>
      <c r="B89" s="696">
        <v>14</v>
      </c>
      <c r="C89" s="697" t="s">
        <v>223</v>
      </c>
      <c r="D89" s="356" t="str">
        <f ca="1">IF(ISERROR(OFFSET('HARGA SATUAN'!$D$6,MATCH(RAB!C89,'HARGA SATUAN'!$C$7:$C$1492,0),0)),"",OFFSET('HARGA SATUAN'!$D$6,MATCH(RAB!C89,'HARGA SATUAN'!$C$7:$C$1492,0),0))</f>
        <v>HDW</v>
      </c>
      <c r="E89" s="357" t="str">
        <f ca="1">IF(B89="+","Unit",IF(ISERROR(OFFSET('HARGA SATUAN'!$E$6,MATCH(RAB!C89,'HARGA SATUAN'!$C$7:$C$1492,0),0)),"",OFFSET('HARGA SATUAN'!$E$6,MATCH(RAB!C89,'HARGA SATUAN'!$C$7:$C$1492,0),0)))</f>
        <v>Bh</v>
      </c>
      <c r="F89" s="716">
        <f>F75*2</f>
        <v>2</v>
      </c>
      <c r="G89" s="358">
        <f ca="1">IF(ISERROR(OFFSET('HARGA SATUAN'!$I$6,MATCH(RAB!C89,'HARGA SATUAN'!$C$7:$C$1492,0),0)),0,OFFSET('HARGA SATUAN'!$I$6,MATCH(RAB!C89,'HARGA SATUAN'!$C$7:$C$1492,0),0))</f>
        <v>27815</v>
      </c>
      <c r="H89" s="359">
        <f t="shared" ca="1" si="12"/>
        <v>0</v>
      </c>
      <c r="I89" s="359">
        <f t="shared" ca="1" si="13"/>
        <v>55630</v>
      </c>
      <c r="J89" s="359">
        <f t="shared" ca="1" si="14"/>
        <v>0</v>
      </c>
      <c r="K89" s="360">
        <f t="shared" ca="1" si="15"/>
        <v>55630</v>
      </c>
      <c r="L89" s="367"/>
      <c r="M89" s="367"/>
      <c r="N89" s="367"/>
      <c r="O89" s="361"/>
      <c r="P89" s="361"/>
      <c r="Q89" s="344"/>
      <c r="R89" s="336"/>
      <c r="S89" s="362"/>
      <c r="T89" s="341"/>
      <c r="U89" s="341"/>
      <c r="V89" s="341"/>
    </row>
    <row r="90" spans="1:22" s="368" customFormat="1">
      <c r="A90" s="336"/>
      <c r="B90" s="696">
        <v>15</v>
      </c>
      <c r="C90" s="697" t="s">
        <v>25</v>
      </c>
      <c r="D90" s="356" t="str">
        <f ca="1">IF(ISERROR(OFFSET('HARGA SATUAN'!$D$6,MATCH(RAB!C90,'HARGA SATUAN'!$C$7:$C$1492,0),0)),"",OFFSET('HARGA SATUAN'!$D$6,MATCH(RAB!C90,'HARGA SATUAN'!$C$7:$C$1492,0),0))</f>
        <v>HDW</v>
      </c>
      <c r="E90" s="357" t="str">
        <f ca="1">IF(B90="+","Unit",IF(ISERROR(OFFSET('HARGA SATUAN'!$E$6,MATCH(RAB!C90,'HARGA SATUAN'!$C$7:$C$1492,0),0)),"",OFFSET('HARGA SATUAN'!$E$6,MATCH(RAB!C90,'HARGA SATUAN'!$C$7:$C$1492,0),0)))</f>
        <v>Bh</v>
      </c>
      <c r="F90" s="716">
        <f>F75*6</f>
        <v>6</v>
      </c>
      <c r="G90" s="358">
        <f ca="1">IF(ISERROR(OFFSET('HARGA SATUAN'!$I$6,MATCH(RAB!C90,'HARGA SATUAN'!$C$7:$C$1492,0),0)),0,OFFSET('HARGA SATUAN'!$I$6,MATCH(RAB!C90,'HARGA SATUAN'!$C$7:$C$1492,0),0))</f>
        <v>23936</v>
      </c>
      <c r="H90" s="359">
        <f t="shared" ca="1" si="12"/>
        <v>0</v>
      </c>
      <c r="I90" s="359">
        <f t="shared" ca="1" si="13"/>
        <v>143616</v>
      </c>
      <c r="J90" s="359">
        <f t="shared" ca="1" si="14"/>
        <v>0</v>
      </c>
      <c r="K90" s="360">
        <f t="shared" ca="1" si="15"/>
        <v>143616</v>
      </c>
      <c r="L90" s="367"/>
      <c r="M90" s="367"/>
      <c r="N90" s="367"/>
      <c r="O90" s="361"/>
      <c r="P90" s="361"/>
      <c r="Q90" s="344"/>
      <c r="R90" s="336"/>
      <c r="S90" s="362"/>
      <c r="T90" s="341"/>
      <c r="U90" s="341"/>
      <c r="V90" s="341"/>
    </row>
    <row r="91" spans="1:22" s="368" customFormat="1">
      <c r="A91" s="336"/>
      <c r="B91" s="696">
        <v>16</v>
      </c>
      <c r="C91" s="697" t="s">
        <v>37</v>
      </c>
      <c r="D91" s="356" t="str">
        <f ca="1">IF(ISERROR(OFFSET('HARGA SATUAN'!$D$6,MATCH(RAB!C91,'HARGA SATUAN'!$C$7:$C$1492,0),0)),"",OFFSET('HARGA SATUAN'!$D$6,MATCH(RAB!C91,'HARGA SATUAN'!$C$7:$C$1492,0),0))</f>
        <v>HDW</v>
      </c>
      <c r="E91" s="357" t="str">
        <f ca="1">IF(B91="+","Unit",IF(ISERROR(OFFSET('HARGA SATUAN'!$E$6,MATCH(RAB!C91,'HARGA SATUAN'!$C$7:$C$1492,0),0)),"",OFFSET('HARGA SATUAN'!$E$6,MATCH(RAB!C91,'HARGA SATUAN'!$C$7:$C$1492,0),0)))</f>
        <v>Bh</v>
      </c>
      <c r="F91" s="716">
        <f>F75*3</f>
        <v>3</v>
      </c>
      <c r="G91" s="358">
        <f ca="1">IF(ISERROR(OFFSET('HARGA SATUAN'!$I$6,MATCH(RAB!C91,'HARGA SATUAN'!$C$7:$C$1492,0),0)),0,OFFSET('HARGA SATUAN'!$I$6,MATCH(RAB!C91,'HARGA SATUAN'!$C$7:$C$1492,0),0))</f>
        <v>63500</v>
      </c>
      <c r="H91" s="359">
        <f t="shared" ca="1" si="12"/>
        <v>0</v>
      </c>
      <c r="I91" s="359">
        <f t="shared" ca="1" si="13"/>
        <v>190500</v>
      </c>
      <c r="J91" s="359">
        <f t="shared" ca="1" si="14"/>
        <v>0</v>
      </c>
      <c r="K91" s="360">
        <f t="shared" ca="1" si="15"/>
        <v>190500</v>
      </c>
      <c r="L91" s="367"/>
      <c r="M91" s="367"/>
      <c r="N91" s="367"/>
      <c r="O91" s="361"/>
      <c r="P91" s="361"/>
      <c r="Q91" s="344"/>
      <c r="R91" s="336"/>
      <c r="S91" s="362"/>
      <c r="T91" s="341"/>
      <c r="U91" s="341"/>
      <c r="V91" s="341"/>
    </row>
    <row r="92" spans="1:22" s="368" customFormat="1">
      <c r="A92" s="336"/>
      <c r="B92" s="696">
        <v>17</v>
      </c>
      <c r="C92" s="697" t="s">
        <v>247</v>
      </c>
      <c r="D92" s="356" t="str">
        <f ca="1">IF(ISERROR(OFFSET('HARGA SATUAN'!$D$6,MATCH(RAB!C92,'HARGA SATUAN'!$C$7:$C$1492,0),0)),"",OFFSET('HARGA SATUAN'!$D$6,MATCH(RAB!C92,'HARGA SATUAN'!$C$7:$C$1492,0),0))</f>
        <v>HDW</v>
      </c>
      <c r="E92" s="357" t="str">
        <f ca="1">IF(B92="+","Unit",IF(ISERROR(OFFSET('HARGA SATUAN'!$E$6,MATCH(RAB!C92,'HARGA SATUAN'!$C$7:$C$1492,0),0)),"",OFFSET('HARGA SATUAN'!$E$6,MATCH(RAB!C92,'HARGA SATUAN'!$C$7:$C$1492,0),0)))</f>
        <v>Bh</v>
      </c>
      <c r="F92" s="716">
        <f>F75*3</f>
        <v>3</v>
      </c>
      <c r="G92" s="358">
        <f ca="1">IF(ISERROR(OFFSET('HARGA SATUAN'!$I$6,MATCH(RAB!C92,'HARGA SATUAN'!$C$7:$C$1492,0),0)),0,OFFSET('HARGA SATUAN'!$I$6,MATCH(RAB!C92,'HARGA SATUAN'!$C$7:$C$1492,0),0))</f>
        <v>57690</v>
      </c>
      <c r="H92" s="359">
        <f t="shared" ca="1" si="12"/>
        <v>0</v>
      </c>
      <c r="I92" s="359">
        <f t="shared" ca="1" si="13"/>
        <v>173070</v>
      </c>
      <c r="J92" s="359">
        <f t="shared" ca="1" si="14"/>
        <v>0</v>
      </c>
      <c r="K92" s="360">
        <f t="shared" ca="1" si="15"/>
        <v>173070</v>
      </c>
      <c r="L92" s="367"/>
      <c r="M92" s="367"/>
      <c r="N92" s="367"/>
      <c r="O92" s="361"/>
      <c r="P92" s="361"/>
      <c r="Q92" s="344"/>
      <c r="R92" s="336"/>
      <c r="S92" s="362"/>
      <c r="T92" s="341"/>
      <c r="U92" s="341"/>
      <c r="V92" s="341"/>
    </row>
    <row r="93" spans="1:22" s="368" customFormat="1">
      <c r="A93" s="336"/>
      <c r="B93" s="696">
        <v>18</v>
      </c>
      <c r="C93" s="697" t="s">
        <v>27</v>
      </c>
      <c r="D93" s="356" t="str">
        <f ca="1">IF(ISERROR(OFFSET('HARGA SATUAN'!$D$6,MATCH(RAB!C93,'HARGA SATUAN'!$C$7:$C$1492,0),0)),"",OFFSET('HARGA SATUAN'!$D$6,MATCH(RAB!C93,'HARGA SATUAN'!$C$7:$C$1492,0),0))</f>
        <v>HDW</v>
      </c>
      <c r="E93" s="357" t="str">
        <f ca="1">IF(B93="+","Unit",IF(ISERROR(OFFSET('HARGA SATUAN'!$E$6,MATCH(RAB!C93,'HARGA SATUAN'!$C$7:$C$1492,0),0)),"",OFFSET('HARGA SATUAN'!$E$6,MATCH(RAB!C93,'HARGA SATUAN'!$C$7:$C$1492,0),0)))</f>
        <v>Bh</v>
      </c>
      <c r="F93" s="716">
        <f>F75*6</f>
        <v>6</v>
      </c>
      <c r="G93" s="358">
        <f ca="1">IF(ISERROR(OFFSET('HARGA SATUAN'!$I$6,MATCH(RAB!C93,'HARGA SATUAN'!$C$7:$C$1492,0),0)),0,OFFSET('HARGA SATUAN'!$I$6,MATCH(RAB!C93,'HARGA SATUAN'!$C$7:$C$1492,0),0))</f>
        <v>16000</v>
      </c>
      <c r="H93" s="359">
        <f t="shared" ca="1" si="12"/>
        <v>0</v>
      </c>
      <c r="I93" s="359">
        <f t="shared" ca="1" si="13"/>
        <v>96000</v>
      </c>
      <c r="J93" s="359">
        <f t="shared" ca="1" si="14"/>
        <v>0</v>
      </c>
      <c r="K93" s="360">
        <f t="shared" ca="1" si="15"/>
        <v>96000</v>
      </c>
      <c r="L93" s="367"/>
      <c r="M93" s="367"/>
      <c r="N93" s="367"/>
      <c r="O93" s="361"/>
      <c r="P93" s="361"/>
      <c r="Q93" s="344"/>
      <c r="R93" s="336"/>
      <c r="S93" s="362"/>
      <c r="T93" s="341"/>
      <c r="U93" s="341"/>
      <c r="V93" s="341"/>
    </row>
    <row r="94" spans="1:22" s="368" customFormat="1">
      <c r="A94" s="336"/>
      <c r="B94" s="696">
        <v>19</v>
      </c>
      <c r="C94" s="697" t="s">
        <v>265</v>
      </c>
      <c r="D94" s="356" t="str">
        <f ca="1">IF(ISERROR(OFFSET('HARGA SATUAN'!$D$6,MATCH(RAB!C94,'HARGA SATUAN'!$C$7:$C$1492,0),0)),"",OFFSET('HARGA SATUAN'!$D$6,MATCH(RAB!C94,'HARGA SATUAN'!$C$7:$C$1492,0),0))</f>
        <v>HDW</v>
      </c>
      <c r="E94" s="357" t="str">
        <f ca="1">IF(B94="+","Unit",IF(ISERROR(OFFSET('HARGA SATUAN'!$E$6,MATCH(RAB!C94,'HARGA SATUAN'!$C$7:$C$1492,0),0)),"",OFFSET('HARGA SATUAN'!$E$6,MATCH(RAB!C94,'HARGA SATUAN'!$C$7:$C$1492,0),0)))</f>
        <v>Bh</v>
      </c>
      <c r="F94" s="716">
        <f>F75*2</f>
        <v>2</v>
      </c>
      <c r="G94" s="358">
        <f ca="1">IF(ISERROR(OFFSET('HARGA SATUAN'!$I$6,MATCH(RAB!C94,'HARGA SATUAN'!$C$7:$C$1492,0),0)),0,OFFSET('HARGA SATUAN'!$I$6,MATCH(RAB!C94,'HARGA SATUAN'!$C$7:$C$1492,0),0))</f>
        <v>33501.866666666669</v>
      </c>
      <c r="H94" s="359">
        <f t="shared" ca="1" si="12"/>
        <v>0</v>
      </c>
      <c r="I94" s="359">
        <f t="shared" ca="1" si="13"/>
        <v>67003.733333333337</v>
      </c>
      <c r="J94" s="359">
        <f t="shared" ca="1" si="14"/>
        <v>0</v>
      </c>
      <c r="K94" s="360">
        <f t="shared" ca="1" si="15"/>
        <v>67003.733333333337</v>
      </c>
      <c r="L94" s="367"/>
      <c r="M94" s="367"/>
      <c r="N94" s="367"/>
      <c r="O94" s="361"/>
      <c r="P94" s="361"/>
      <c r="Q94" s="344"/>
      <c r="R94" s="336"/>
      <c r="S94" s="362"/>
      <c r="T94" s="341"/>
      <c r="U94" s="341"/>
      <c r="V94" s="341"/>
    </row>
    <row r="95" spans="1:22" s="368" customFormat="1">
      <c r="A95" s="336"/>
      <c r="B95" s="696">
        <v>20</v>
      </c>
      <c r="C95" s="697" t="s">
        <v>38</v>
      </c>
      <c r="D95" s="356" t="str">
        <f ca="1">IF(ISERROR(OFFSET('HARGA SATUAN'!$D$6,MATCH(RAB!C95,'HARGA SATUAN'!$C$7:$C$1492,0),0)),"",OFFSET('HARGA SATUAN'!$D$6,MATCH(RAB!C95,'HARGA SATUAN'!$C$7:$C$1492,0),0))</f>
        <v>HDW</v>
      </c>
      <c r="E95" s="357" t="str">
        <f ca="1">IF(B95="+","Unit",IF(ISERROR(OFFSET('HARGA SATUAN'!$E$6,MATCH(RAB!C95,'HARGA SATUAN'!$C$7:$C$1492,0),0)),"",OFFSET('HARGA SATUAN'!$E$6,MATCH(RAB!C95,'HARGA SATUAN'!$C$7:$C$1492,0),0)))</f>
        <v>Mtr</v>
      </c>
      <c r="F95" s="716">
        <f>3.6*F75</f>
        <v>3.6</v>
      </c>
      <c r="G95" s="358">
        <f ca="1">IF(ISERROR(OFFSET('HARGA SATUAN'!$I$6,MATCH(RAB!C95,'HARGA SATUAN'!$C$7:$C$1492,0),0)),0,OFFSET('HARGA SATUAN'!$I$6,MATCH(RAB!C95,'HARGA SATUAN'!$C$7:$C$1492,0),0))</f>
        <v>8550</v>
      </c>
      <c r="H95" s="359">
        <f t="shared" ca="1" si="12"/>
        <v>0</v>
      </c>
      <c r="I95" s="359">
        <f t="shared" ca="1" si="13"/>
        <v>30780</v>
      </c>
      <c r="J95" s="359">
        <f t="shared" ca="1" si="14"/>
        <v>0</v>
      </c>
      <c r="K95" s="360">
        <f t="shared" ca="1" si="15"/>
        <v>30780</v>
      </c>
      <c r="L95" s="367"/>
      <c r="M95" s="367"/>
      <c r="N95" s="367"/>
      <c r="O95" s="361"/>
      <c r="P95" s="361"/>
      <c r="Q95" s="344"/>
      <c r="R95" s="336"/>
      <c r="S95" s="362"/>
      <c r="T95" s="341"/>
      <c r="U95" s="341"/>
      <c r="V95" s="341"/>
    </row>
    <row r="96" spans="1:22" s="368" customFormat="1">
      <c r="A96" s="336"/>
      <c r="B96" s="696">
        <v>21</v>
      </c>
      <c r="C96" s="697" t="s">
        <v>26</v>
      </c>
      <c r="D96" s="356" t="str">
        <f ca="1">IF(ISERROR(OFFSET('HARGA SATUAN'!$D$6,MATCH(RAB!C96,'HARGA SATUAN'!$C$7:$C$1492,0),0)),"",OFFSET('HARGA SATUAN'!$D$6,MATCH(RAB!C96,'HARGA SATUAN'!$C$7:$C$1492,0),0))</f>
        <v>HDW</v>
      </c>
      <c r="E96" s="357" t="str">
        <f ca="1">IF(B96="+","Unit",IF(ISERROR(OFFSET('HARGA SATUAN'!$E$6,MATCH(RAB!C96,'HARGA SATUAN'!$C$7:$C$1492,0),0)),"",OFFSET('HARGA SATUAN'!$E$6,MATCH(RAB!C96,'HARGA SATUAN'!$C$7:$C$1492,0),0)))</f>
        <v>Bh</v>
      </c>
      <c r="F96" s="716">
        <f>F75*22</f>
        <v>22</v>
      </c>
      <c r="G96" s="358">
        <f ca="1">IF(ISERROR(OFFSET('HARGA SATUAN'!$I$6,MATCH(RAB!C96,'HARGA SATUAN'!$C$7:$C$1492,0),0)),0,OFFSET('HARGA SATUAN'!$I$6,MATCH(RAB!C96,'HARGA SATUAN'!$C$7:$C$1492,0),0))</f>
        <v>2500</v>
      </c>
      <c r="H96" s="359">
        <f t="shared" ca="1" si="12"/>
        <v>0</v>
      </c>
      <c r="I96" s="359">
        <f t="shared" ca="1" si="13"/>
        <v>55000</v>
      </c>
      <c r="J96" s="359">
        <f t="shared" ca="1" si="14"/>
        <v>0</v>
      </c>
      <c r="K96" s="360">
        <f t="shared" ca="1" si="15"/>
        <v>55000</v>
      </c>
      <c r="L96" s="367"/>
      <c r="M96" s="367"/>
      <c r="N96" s="367"/>
      <c r="O96" s="361"/>
      <c r="P96" s="361"/>
      <c r="Q96" s="344"/>
      <c r="R96" s="336"/>
      <c r="S96" s="362"/>
      <c r="T96" s="341"/>
      <c r="U96" s="341"/>
      <c r="V96" s="341"/>
    </row>
    <row r="97" spans="1:22" s="368" customFormat="1">
      <c r="A97" s="336"/>
      <c r="B97" s="696">
        <v>22</v>
      </c>
      <c r="C97" s="693" t="s">
        <v>709</v>
      </c>
      <c r="D97" s="356" t="str">
        <f ca="1">IF(ISERROR(OFFSET('HARGA SATUAN'!$D$6,MATCH(RAB!C97,'HARGA SATUAN'!$C$7:$C$1492,0),0)),"",OFFSET('HARGA SATUAN'!$D$6,MATCH(RAB!C97,'HARGA SATUAN'!$C$7:$C$1492,0),0))</f>
        <v>JASA</v>
      </c>
      <c r="E97" s="357" t="str">
        <f ca="1">IF(B97="+","Unit",IF(ISERROR(OFFSET('HARGA SATUAN'!$E$6,MATCH(RAB!C97,'HARGA SATUAN'!$C$7:$C$1492,0),0)),"",OFFSET('HARGA SATUAN'!$E$6,MATCH(RAB!C97,'HARGA SATUAN'!$C$7:$C$1492,0),0)))</f>
        <v>Unit</v>
      </c>
      <c r="F97" s="716">
        <f>F75*1</f>
        <v>1</v>
      </c>
      <c r="G97" s="358">
        <f ca="1">IF(ISERROR(OFFSET('HARGA SATUAN'!$I$6,MATCH(RAB!C97,'HARGA SATUAN'!$C$7:$C$1492,0),0)),0,OFFSET('HARGA SATUAN'!$I$6,MATCH(RAB!C97,'HARGA SATUAN'!$C$7:$C$1492,0),0))</f>
        <v>197500</v>
      </c>
      <c r="H97" s="359">
        <f t="shared" ca="1" si="12"/>
        <v>0</v>
      </c>
      <c r="I97" s="359">
        <f t="shared" ca="1" si="13"/>
        <v>0</v>
      </c>
      <c r="J97" s="359">
        <f t="shared" ca="1" si="14"/>
        <v>197500</v>
      </c>
      <c r="K97" s="360">
        <f t="shared" ca="1" si="15"/>
        <v>197500</v>
      </c>
      <c r="L97" s="367"/>
      <c r="M97" s="367"/>
      <c r="N97" s="367"/>
      <c r="O97" s="361"/>
      <c r="P97" s="361"/>
      <c r="Q97" s="344"/>
      <c r="R97" s="336"/>
      <c r="S97" s="362"/>
      <c r="T97" s="341"/>
      <c r="U97" s="341"/>
      <c r="V97" s="341"/>
    </row>
    <row r="98" spans="1:22" s="368" customFormat="1">
      <c r="A98" s="336"/>
      <c r="B98" s="692"/>
      <c r="C98" s="693"/>
      <c r="D98" s="356" t="str">
        <f ca="1">IF(ISERROR(OFFSET('HARGA SATUAN'!$D$6,MATCH(RAB!C98,'HARGA SATUAN'!$C$7:$C$1492,0),0)),"",OFFSET('HARGA SATUAN'!$D$6,MATCH(RAB!C98,'HARGA SATUAN'!$C$7:$C$1492,0),0))</f>
        <v/>
      </c>
      <c r="E98" s="357" t="str">
        <f ca="1">IF(B98="+","Unit",IF(ISERROR(OFFSET('HARGA SATUAN'!$E$6,MATCH(RAB!C98,'HARGA SATUAN'!$C$7:$C$1492,0),0)),"",OFFSET('HARGA SATUAN'!$E$6,MATCH(RAB!C98,'HARGA SATUAN'!$C$7:$C$1492,0),0)))</f>
        <v/>
      </c>
      <c r="F98" s="714"/>
      <c r="G98" s="358">
        <f ca="1">IF(ISERROR(OFFSET('HARGA SATUAN'!$I$6,MATCH(RAB!C98,'HARGA SATUAN'!$C$7:$C$1492,0),0)),0,OFFSET('HARGA SATUAN'!$I$6,MATCH(RAB!C98,'HARGA SATUAN'!$C$7:$C$1492,0),0))</f>
        <v>0</v>
      </c>
      <c r="H98" s="359">
        <f t="shared" ca="1" si="12"/>
        <v>0</v>
      </c>
      <c r="I98" s="359">
        <f t="shared" ca="1" si="13"/>
        <v>0</v>
      </c>
      <c r="J98" s="359">
        <f t="shared" ca="1" si="14"/>
        <v>0</v>
      </c>
      <c r="K98" s="360">
        <f t="shared" ca="1" si="15"/>
        <v>0</v>
      </c>
      <c r="L98" s="367"/>
      <c r="M98" s="367"/>
      <c r="N98" s="367"/>
      <c r="O98" s="361"/>
      <c r="P98" s="361"/>
      <c r="Q98" s="344"/>
      <c r="R98" s="336"/>
      <c r="S98" s="362"/>
      <c r="T98" s="341"/>
      <c r="U98" s="341"/>
      <c r="V98" s="341"/>
    </row>
    <row r="99" spans="1:22" s="368" customFormat="1">
      <c r="A99" s="336"/>
      <c r="B99" s="692" t="s">
        <v>1035</v>
      </c>
      <c r="C99" s="693" t="s">
        <v>1652</v>
      </c>
      <c r="D99" s="356" t="str">
        <f ca="1">IF(ISERROR(OFFSET('HARGA SATUAN'!$D$6,MATCH(RAB!C99,'HARGA SATUAN'!$C$7:$C$1492,0),0)),"",OFFSET('HARGA SATUAN'!$D$6,MATCH(RAB!C99,'HARGA SATUAN'!$C$7:$C$1492,0),0))</f>
        <v/>
      </c>
      <c r="E99" s="357" t="str">
        <f ca="1">IF(B99="+","Unit",IF(ISERROR(OFFSET('HARGA SATUAN'!$E$6,MATCH(RAB!C99,'HARGA SATUAN'!$C$7:$C$1492,0),0)),"",OFFSET('HARGA SATUAN'!$E$6,MATCH(RAB!C99,'HARGA SATUAN'!$C$7:$C$1492,0),0)))</f>
        <v>Unit</v>
      </c>
      <c r="F99" s="489">
        <v>4</v>
      </c>
      <c r="G99" s="358">
        <f ca="1">IF(ISERROR(OFFSET('HARGA SATUAN'!$I$6,MATCH(RAB!C99,'HARGA SATUAN'!$C$7:$C$1492,0),0)),0,OFFSET('HARGA SATUAN'!$I$6,MATCH(RAB!C99,'HARGA SATUAN'!$C$7:$C$1492,0),0))</f>
        <v>0</v>
      </c>
      <c r="H99" s="359">
        <f t="shared" ref="H99:H106" ca="1" si="16">IF(OR(D99="MDU",D99="MDU-KD"),(IF($O$3="RAB NON MDU","PLN KD",G99*F99)),0)</f>
        <v>0</v>
      </c>
      <c r="I99" s="359">
        <f t="shared" ref="I99:I106" ca="1" si="17">IF(D99="HDW",G99*F99,0)</f>
        <v>0</v>
      </c>
      <c r="J99" s="359">
        <f t="shared" ref="J99:J106" ca="1" si="18">IF(D99="JASA",G99*F99,0)</f>
        <v>0</v>
      </c>
      <c r="K99" s="360">
        <f t="shared" ref="K99:K106" ca="1" si="19">SUM(H99:J99)</f>
        <v>0</v>
      </c>
      <c r="L99" s="367"/>
      <c r="M99" s="367"/>
      <c r="N99" s="367"/>
      <c r="O99" s="361"/>
      <c r="P99" s="361"/>
      <c r="Q99" s="344"/>
      <c r="R99" s="336"/>
      <c r="S99" s="362"/>
      <c r="T99" s="341"/>
      <c r="U99" s="341"/>
      <c r="V99" s="341"/>
    </row>
    <row r="100" spans="1:22" s="368" customFormat="1">
      <c r="A100" s="336"/>
      <c r="B100" s="692">
        <v>1</v>
      </c>
      <c r="C100" s="693" t="s">
        <v>593</v>
      </c>
      <c r="D100" s="356" t="str">
        <f ca="1">IF(ISERROR(OFFSET('HARGA SATUAN'!$D$6,MATCH(RAB!C100,'HARGA SATUAN'!$C$7:$C$1492,0),0)),"",OFFSET('HARGA SATUAN'!$D$6,MATCH(RAB!C100,'HARGA SATUAN'!$C$7:$C$1492,0),0))</f>
        <v>HDW</v>
      </c>
      <c r="E100" s="357" t="str">
        <f ca="1">IF(B100="+","Unit",IF(ISERROR(OFFSET('HARGA SATUAN'!$E$6,MATCH(RAB!C100,'HARGA SATUAN'!$C$7:$C$1492,0),0)),"",OFFSET('HARGA SATUAN'!$E$6,MATCH(RAB!C100,'HARGA SATUAN'!$C$7:$C$1492,0),0)))</f>
        <v>Bh</v>
      </c>
      <c r="F100" s="489">
        <f>F99*2</f>
        <v>8</v>
      </c>
      <c r="G100" s="358">
        <f ca="1">IF(ISERROR(OFFSET('HARGA SATUAN'!$I$6,MATCH(RAB!C100,'HARGA SATUAN'!$C$7:$C$1492,0),0)),0,OFFSET('HARGA SATUAN'!$I$6,MATCH(RAB!C100,'HARGA SATUAN'!$C$7:$C$1492,0),0))</f>
        <v>380500</v>
      </c>
      <c r="H100" s="359">
        <f t="shared" ca="1" si="16"/>
        <v>0</v>
      </c>
      <c r="I100" s="359">
        <f t="shared" ca="1" si="17"/>
        <v>3044000</v>
      </c>
      <c r="J100" s="359">
        <f t="shared" ca="1" si="18"/>
        <v>0</v>
      </c>
      <c r="K100" s="360">
        <f t="shared" ca="1" si="19"/>
        <v>3044000</v>
      </c>
      <c r="L100" s="367"/>
      <c r="M100" s="367"/>
      <c r="N100" s="367"/>
      <c r="O100" s="361"/>
      <c r="P100" s="361"/>
      <c r="Q100" s="344"/>
      <c r="R100" s="336"/>
      <c r="S100" s="362"/>
      <c r="T100" s="341"/>
      <c r="U100" s="341"/>
      <c r="V100" s="341"/>
    </row>
    <row r="101" spans="1:22" s="368" customFormat="1">
      <c r="A101" s="336"/>
      <c r="B101" s="692">
        <v>2</v>
      </c>
      <c r="C101" s="693" t="s">
        <v>28</v>
      </c>
      <c r="D101" s="356" t="str">
        <f ca="1">IF(ISERROR(OFFSET('HARGA SATUAN'!$D$6,MATCH(RAB!C101,'HARGA SATUAN'!$C$7:$C$1492,0),0)),"",OFFSET('HARGA SATUAN'!$D$6,MATCH(RAB!C101,'HARGA SATUAN'!$C$7:$C$1492,0),0))</f>
        <v>HDW</v>
      </c>
      <c r="E101" s="357" t="str">
        <f ca="1">IF(B101="+","Unit",IF(ISERROR(OFFSET('HARGA SATUAN'!$E$6,MATCH(RAB!C101,'HARGA SATUAN'!$C$7:$C$1492,0),0)),"",OFFSET('HARGA SATUAN'!$E$6,MATCH(RAB!C101,'HARGA SATUAN'!$C$7:$C$1492,0),0)))</f>
        <v>Bh</v>
      </c>
      <c r="F101" s="489">
        <f>F99*2</f>
        <v>8</v>
      </c>
      <c r="G101" s="358">
        <f ca="1">IF(ISERROR(OFFSET('HARGA SATUAN'!$I$6,MATCH(RAB!C101,'HARGA SATUAN'!$C$7:$C$1492,0),0)),0,OFFSET('HARGA SATUAN'!$I$6,MATCH(RAB!C101,'HARGA SATUAN'!$C$7:$C$1492,0),0))</f>
        <v>26500</v>
      </c>
      <c r="H101" s="359">
        <f t="shared" ca="1" si="16"/>
        <v>0</v>
      </c>
      <c r="I101" s="359">
        <f t="shared" ca="1" si="17"/>
        <v>212000</v>
      </c>
      <c r="J101" s="359">
        <f t="shared" ca="1" si="18"/>
        <v>0</v>
      </c>
      <c r="K101" s="360">
        <f t="shared" ca="1" si="19"/>
        <v>212000</v>
      </c>
      <c r="L101" s="367"/>
      <c r="M101" s="367"/>
      <c r="N101" s="367"/>
      <c r="O101" s="361"/>
      <c r="P101" s="361"/>
      <c r="Q101" s="344"/>
      <c r="R101" s="336"/>
      <c r="S101" s="362"/>
      <c r="T101" s="341"/>
      <c r="U101" s="341"/>
      <c r="V101" s="341"/>
    </row>
    <row r="102" spans="1:22" s="368" customFormat="1">
      <c r="A102" s="336"/>
      <c r="B102" s="692">
        <v>3</v>
      </c>
      <c r="C102" s="693" t="s">
        <v>26</v>
      </c>
      <c r="D102" s="356" t="str">
        <f ca="1">IF(ISERROR(OFFSET('HARGA SATUAN'!$D$6,MATCH(RAB!C102,'HARGA SATUAN'!$C$7:$C$1492,0),0)),"",OFFSET('HARGA SATUAN'!$D$6,MATCH(RAB!C102,'HARGA SATUAN'!$C$7:$C$1492,0),0))</f>
        <v>HDW</v>
      </c>
      <c r="E102" s="357" t="str">
        <f ca="1">IF(B102="+","Unit",IF(ISERROR(OFFSET('HARGA SATUAN'!$E$6,MATCH(RAB!C102,'HARGA SATUAN'!$C$7:$C$1492,0),0)),"",OFFSET('HARGA SATUAN'!$E$6,MATCH(RAB!C102,'HARGA SATUAN'!$C$7:$C$1492,0),0)))</f>
        <v>Bh</v>
      </c>
      <c r="F102" s="489">
        <f>F99*2</f>
        <v>8</v>
      </c>
      <c r="G102" s="358">
        <f ca="1">IF(ISERROR(OFFSET('HARGA SATUAN'!$I$6,MATCH(RAB!C102,'HARGA SATUAN'!$C$7:$C$1492,0),0)),0,OFFSET('HARGA SATUAN'!$I$6,MATCH(RAB!C102,'HARGA SATUAN'!$C$7:$C$1492,0),0))</f>
        <v>2500</v>
      </c>
      <c r="H102" s="359">
        <f t="shared" ca="1" si="16"/>
        <v>0</v>
      </c>
      <c r="I102" s="359">
        <f t="shared" ca="1" si="17"/>
        <v>20000</v>
      </c>
      <c r="J102" s="359">
        <f t="shared" ca="1" si="18"/>
        <v>0</v>
      </c>
      <c r="K102" s="360">
        <f t="shared" ca="1" si="19"/>
        <v>20000</v>
      </c>
      <c r="L102" s="367"/>
      <c r="M102" s="367"/>
      <c r="N102" s="367"/>
      <c r="O102" s="361"/>
      <c r="P102" s="361"/>
      <c r="Q102" s="344"/>
      <c r="R102" s="336"/>
      <c r="S102" s="362"/>
      <c r="T102" s="341"/>
      <c r="U102" s="341"/>
      <c r="V102" s="341"/>
    </row>
    <row r="103" spans="1:22" s="368" customFormat="1">
      <c r="A103" s="336"/>
      <c r="B103" s="692">
        <v>4</v>
      </c>
      <c r="C103" s="693" t="s">
        <v>157</v>
      </c>
      <c r="D103" s="356" t="str">
        <f ca="1">IF(ISERROR(OFFSET('HARGA SATUAN'!$D$6,MATCH(RAB!C103,'HARGA SATUAN'!$C$7:$C$1492,0),0)),"",OFFSET('HARGA SATUAN'!$D$6,MATCH(RAB!C103,'HARGA SATUAN'!$C$7:$C$1492,0),0))</f>
        <v>HDW</v>
      </c>
      <c r="E103" s="357" t="str">
        <f ca="1">IF(B103="+","Unit",IF(ISERROR(OFFSET('HARGA SATUAN'!$E$6,MATCH(RAB!C103,'HARGA SATUAN'!$C$7:$C$1492,0),0)),"",OFFSET('HARGA SATUAN'!$E$6,MATCH(RAB!C103,'HARGA SATUAN'!$C$7:$C$1492,0),0)))</f>
        <v>Bh</v>
      </c>
      <c r="F103" s="489">
        <f>F99*2</f>
        <v>8</v>
      </c>
      <c r="G103" s="358">
        <f ca="1">IF(ISERROR(OFFSET('HARGA SATUAN'!$I$6,MATCH(RAB!C103,'HARGA SATUAN'!$C$7:$C$1492,0),0)),0,OFFSET('HARGA SATUAN'!$I$6,MATCH(RAB!C103,'HARGA SATUAN'!$C$7:$C$1492,0),0))</f>
        <v>40000</v>
      </c>
      <c r="H103" s="359">
        <f t="shared" ca="1" si="16"/>
        <v>0</v>
      </c>
      <c r="I103" s="359">
        <f t="shared" ca="1" si="17"/>
        <v>320000</v>
      </c>
      <c r="J103" s="359">
        <f t="shared" ca="1" si="18"/>
        <v>0</v>
      </c>
      <c r="K103" s="360">
        <f t="shared" ca="1" si="19"/>
        <v>320000</v>
      </c>
      <c r="L103" s="367"/>
      <c r="M103" s="367"/>
      <c r="N103" s="367"/>
      <c r="O103" s="361"/>
      <c r="P103" s="361"/>
      <c r="Q103" s="344"/>
      <c r="R103" s="336"/>
      <c r="S103" s="362"/>
      <c r="T103" s="341"/>
      <c r="U103" s="341"/>
      <c r="V103" s="341"/>
    </row>
    <row r="104" spans="1:22" s="368" customFormat="1">
      <c r="A104" s="336"/>
      <c r="B104" s="692">
        <v>5</v>
      </c>
      <c r="C104" s="693" t="s">
        <v>755</v>
      </c>
      <c r="D104" s="356" t="str">
        <f ca="1">IF(ISERROR(OFFSET('HARGA SATUAN'!$D$6,MATCH(RAB!C104,'HARGA SATUAN'!$C$7:$C$1492,0),0)),"",OFFSET('HARGA SATUAN'!$D$6,MATCH(RAB!C104,'HARGA SATUAN'!$C$7:$C$1492,0),0))</f>
        <v>JASA</v>
      </c>
      <c r="E104" s="357" t="str">
        <f ca="1">IF(B104="+","Unit",IF(ISERROR(OFFSET('HARGA SATUAN'!$E$6,MATCH(RAB!C104,'HARGA SATUAN'!$C$7:$C$1492,0),0)),"",OFFSET('HARGA SATUAN'!$E$6,MATCH(RAB!C104,'HARGA SATUAN'!$C$7:$C$1492,0),0)))</f>
        <v>Unit</v>
      </c>
      <c r="F104" s="489">
        <f>F99*1</f>
        <v>4</v>
      </c>
      <c r="G104" s="358">
        <f ca="1">IF(ISERROR(OFFSET('HARGA SATUAN'!$I$6,MATCH(RAB!C104,'HARGA SATUAN'!$C$7:$C$1492,0),0)),0,OFFSET('HARGA SATUAN'!$I$6,MATCH(RAB!C104,'HARGA SATUAN'!$C$7:$C$1492,0),0))</f>
        <v>69000</v>
      </c>
      <c r="H104" s="359">
        <f t="shared" ca="1" si="16"/>
        <v>0</v>
      </c>
      <c r="I104" s="359">
        <f t="shared" ca="1" si="17"/>
        <v>0</v>
      </c>
      <c r="J104" s="359">
        <f t="shared" ca="1" si="18"/>
        <v>276000</v>
      </c>
      <c r="K104" s="360">
        <f t="shared" ca="1" si="19"/>
        <v>276000</v>
      </c>
      <c r="L104" s="367"/>
      <c r="M104" s="367"/>
      <c r="N104" s="367"/>
      <c r="O104" s="361"/>
      <c r="P104" s="361"/>
      <c r="Q104" s="344"/>
      <c r="R104" s="336"/>
      <c r="S104" s="362"/>
      <c r="T104" s="341"/>
      <c r="U104" s="341"/>
      <c r="V104" s="341"/>
    </row>
    <row r="105" spans="1:22" s="368" customFormat="1">
      <c r="A105" s="336"/>
      <c r="B105" s="692"/>
      <c r="C105" s="693"/>
      <c r="D105" s="356" t="str">
        <f ca="1">IF(ISERROR(OFFSET('HARGA SATUAN'!$D$6,MATCH(RAB!C105,'HARGA SATUAN'!$C$7:$C$1492,0),0)),"",OFFSET('HARGA SATUAN'!$D$6,MATCH(RAB!C105,'HARGA SATUAN'!$C$7:$C$1492,0),0))</f>
        <v/>
      </c>
      <c r="E105" s="357" t="str">
        <f ca="1">IF(B105="+","Unit",IF(ISERROR(OFFSET('HARGA SATUAN'!$E$6,MATCH(RAB!C105,'HARGA SATUAN'!$C$7:$C$1492,0),0)),"",OFFSET('HARGA SATUAN'!$E$6,MATCH(RAB!C105,'HARGA SATUAN'!$C$7:$C$1492,0),0)))</f>
        <v/>
      </c>
      <c r="F105" s="714"/>
      <c r="G105" s="358">
        <f ca="1">IF(ISERROR(OFFSET('HARGA SATUAN'!$I$6,MATCH(RAB!C105,'HARGA SATUAN'!$C$7:$C$1492,0),0)),0,OFFSET('HARGA SATUAN'!$I$6,MATCH(RAB!C105,'HARGA SATUAN'!$C$7:$C$1492,0),0))</f>
        <v>0</v>
      </c>
      <c r="H105" s="359">
        <f t="shared" ca="1" si="16"/>
        <v>0</v>
      </c>
      <c r="I105" s="359">
        <f t="shared" ca="1" si="17"/>
        <v>0</v>
      </c>
      <c r="J105" s="359">
        <f t="shared" ca="1" si="18"/>
        <v>0</v>
      </c>
      <c r="K105" s="360">
        <f t="shared" ca="1" si="19"/>
        <v>0</v>
      </c>
      <c r="L105" s="367"/>
      <c r="M105" s="367"/>
      <c r="N105" s="367"/>
      <c r="O105" s="361"/>
      <c r="P105" s="361"/>
      <c r="Q105" s="344"/>
      <c r="R105" s="336"/>
      <c r="S105" s="362"/>
      <c r="T105" s="341"/>
      <c r="U105" s="341"/>
      <c r="V105" s="341"/>
    </row>
    <row r="106" spans="1:22" s="368" customFormat="1">
      <c r="A106" s="336"/>
      <c r="B106" s="692"/>
      <c r="C106" s="735" t="s">
        <v>1665</v>
      </c>
      <c r="D106" s="356" t="str">
        <f ca="1">IF(ISERROR(OFFSET('HARGA SATUAN'!$D$6,MATCH(RAB!C106,'HARGA SATUAN'!$C$7:$C$1492,0),0)),"",OFFSET('HARGA SATUAN'!$D$6,MATCH(RAB!C106,'HARGA SATUAN'!$C$7:$C$1492,0),0))</f>
        <v/>
      </c>
      <c r="E106" s="357" t="str">
        <f ca="1">IF(B106="+","Unit",IF(ISERROR(OFFSET('HARGA SATUAN'!$E$6,MATCH(RAB!C106,'HARGA SATUAN'!$C$7:$C$1492,0),0)),"",OFFSET('HARGA SATUAN'!$E$6,MATCH(RAB!C106,'HARGA SATUAN'!$C$7:$C$1492,0),0)))</f>
        <v/>
      </c>
      <c r="F106" s="714"/>
      <c r="G106" s="358">
        <f ca="1">IF(ISERROR(OFFSET('HARGA SATUAN'!$I$6,MATCH(RAB!C106,'HARGA SATUAN'!$C$7:$C$1492,0),0)),0,OFFSET('HARGA SATUAN'!$I$6,MATCH(RAB!C106,'HARGA SATUAN'!$C$7:$C$1492,0),0))</f>
        <v>0</v>
      </c>
      <c r="H106" s="359">
        <f t="shared" ca="1" si="16"/>
        <v>0</v>
      </c>
      <c r="I106" s="359">
        <f t="shared" ca="1" si="17"/>
        <v>0</v>
      </c>
      <c r="J106" s="359">
        <f t="shared" ca="1" si="18"/>
        <v>0</v>
      </c>
      <c r="K106" s="360">
        <f t="shared" ca="1" si="19"/>
        <v>0</v>
      </c>
      <c r="L106" s="367"/>
      <c r="M106" s="367"/>
      <c r="N106" s="367"/>
      <c r="O106" s="361"/>
      <c r="P106" s="361"/>
      <c r="Q106" s="344"/>
      <c r="R106" s="336"/>
      <c r="S106" s="362"/>
      <c r="T106" s="341"/>
      <c r="U106" s="341"/>
      <c r="V106" s="341"/>
    </row>
    <row r="107" spans="1:22" s="368" customFormat="1">
      <c r="A107" s="336"/>
      <c r="B107" s="692" t="s">
        <v>1035</v>
      </c>
      <c r="C107" s="693" t="s">
        <v>1623</v>
      </c>
      <c r="D107" s="356" t="str">
        <f ca="1">IF(ISERROR(OFFSET('HARGA SATUAN'!$D$6,MATCH(RAB!C107,'HARGA SATUAN'!$C$7:$C$1492,0),0)),"",OFFSET('HARGA SATUAN'!$D$6,MATCH(RAB!C107,'HARGA SATUAN'!$C$7:$C$1492,0),0))</f>
        <v/>
      </c>
      <c r="E107" s="357" t="str">
        <f ca="1">IF(B107="+","Unit",IF(ISERROR(OFFSET('HARGA SATUAN'!$E$6,MATCH(RAB!C107,'HARGA SATUAN'!$C$7:$C$1492,0),0)),"",OFFSET('HARGA SATUAN'!$E$6,MATCH(RAB!C107,'HARGA SATUAN'!$C$7:$C$1492,0),0)))</f>
        <v>Unit</v>
      </c>
      <c r="F107" s="489">
        <v>9</v>
      </c>
      <c r="G107" s="358">
        <f ca="1">IF(ISERROR(OFFSET('HARGA SATUAN'!$I$6,MATCH(RAB!C107,'HARGA SATUAN'!$C$7:$C$1492,0),0)),0,OFFSET('HARGA SATUAN'!$I$6,MATCH(RAB!C107,'HARGA SATUAN'!$C$7:$C$1492,0),0))</f>
        <v>0</v>
      </c>
      <c r="H107" s="359">
        <f t="shared" ca="1" si="8"/>
        <v>0</v>
      </c>
      <c r="I107" s="359">
        <f t="shared" ca="1" si="9"/>
        <v>0</v>
      </c>
      <c r="J107" s="359">
        <f t="shared" ca="1" si="10"/>
        <v>0</v>
      </c>
      <c r="K107" s="360">
        <f t="shared" ca="1" si="11"/>
        <v>0</v>
      </c>
      <c r="L107" s="367"/>
      <c r="M107" s="367"/>
      <c r="N107" s="367"/>
      <c r="O107" s="361"/>
      <c r="P107" s="361"/>
      <c r="Q107" s="344"/>
      <c r="R107" s="336"/>
      <c r="S107" s="362"/>
      <c r="T107" s="341"/>
      <c r="U107" s="341"/>
      <c r="V107" s="341"/>
    </row>
    <row r="108" spans="1:22" s="368" customFormat="1">
      <c r="A108" s="336"/>
      <c r="B108" s="692">
        <v>1</v>
      </c>
      <c r="C108" s="693" t="s">
        <v>30</v>
      </c>
      <c r="D108" s="356" t="str">
        <f ca="1">IF(ISERROR(OFFSET('HARGA SATUAN'!$D$6,MATCH(RAB!C108,'HARGA SATUAN'!$C$7:$C$1492,0),0)),"",OFFSET('HARGA SATUAN'!$D$6,MATCH(RAB!C108,'HARGA SATUAN'!$C$7:$C$1492,0),0))</f>
        <v>HDW</v>
      </c>
      <c r="E108" s="357" t="str">
        <f ca="1">IF(B108="+","Unit",IF(ISERROR(OFFSET('HARGA SATUAN'!$E$6,MATCH(RAB!C108,'HARGA SATUAN'!$C$7:$C$1492,0),0)),"",OFFSET('HARGA SATUAN'!$E$6,MATCH(RAB!C108,'HARGA SATUAN'!$C$7:$C$1492,0),0)))</f>
        <v>Bh</v>
      </c>
      <c r="F108" s="489">
        <f>F107*1</f>
        <v>9</v>
      </c>
      <c r="G108" s="358">
        <f ca="1">IF(ISERROR(OFFSET('HARGA SATUAN'!$I$6,MATCH(RAB!C108,'HARGA SATUAN'!$C$7:$C$1492,0),0)),0,OFFSET('HARGA SATUAN'!$I$6,MATCH(RAB!C108,'HARGA SATUAN'!$C$7:$C$1492,0),0))</f>
        <v>47459</v>
      </c>
      <c r="H108" s="359">
        <f t="shared" ca="1" si="8"/>
        <v>0</v>
      </c>
      <c r="I108" s="359">
        <f t="shared" ca="1" si="9"/>
        <v>427131</v>
      </c>
      <c r="J108" s="359">
        <f t="shared" ca="1" si="10"/>
        <v>0</v>
      </c>
      <c r="K108" s="360">
        <f t="shared" ca="1" si="11"/>
        <v>427131</v>
      </c>
      <c r="L108" s="367"/>
      <c r="M108" s="367"/>
      <c r="N108" s="367"/>
      <c r="O108" s="361"/>
      <c r="P108" s="361"/>
      <c r="Q108" s="344"/>
      <c r="R108" s="336"/>
      <c r="S108" s="362"/>
      <c r="T108" s="341"/>
      <c r="U108" s="341"/>
      <c r="V108" s="341"/>
    </row>
    <row r="109" spans="1:22" s="368" customFormat="1">
      <c r="A109" s="336"/>
      <c r="B109" s="692">
        <v>2</v>
      </c>
      <c r="C109" s="693" t="s">
        <v>32</v>
      </c>
      <c r="D109" s="356" t="str">
        <f ca="1">IF(ISERROR(OFFSET('HARGA SATUAN'!$D$6,MATCH(RAB!C109,'HARGA SATUAN'!$C$7:$C$1492,0),0)),"",OFFSET('HARGA SATUAN'!$D$6,MATCH(RAB!C109,'HARGA SATUAN'!$C$7:$C$1492,0),0))</f>
        <v>HDW</v>
      </c>
      <c r="E109" s="357" t="str">
        <f ca="1">IF(B109="+","Unit",IF(ISERROR(OFFSET('HARGA SATUAN'!$E$6,MATCH(RAB!C109,'HARGA SATUAN'!$C$7:$C$1492,0),0)),"",OFFSET('HARGA SATUAN'!$E$6,MATCH(RAB!C109,'HARGA SATUAN'!$C$7:$C$1492,0),0)))</f>
        <v>Mtr</v>
      </c>
      <c r="F109" s="489">
        <f>F107*0.8</f>
        <v>7.2</v>
      </c>
      <c r="G109" s="358">
        <f ca="1">IF(ISERROR(OFFSET('HARGA SATUAN'!$I$6,MATCH(RAB!C109,'HARGA SATUAN'!$C$7:$C$1492,0),0)),0,OFFSET('HARGA SATUAN'!$I$6,MATCH(RAB!C109,'HARGA SATUAN'!$C$7:$C$1492,0),0))</f>
        <v>30000</v>
      </c>
      <c r="H109" s="359">
        <f t="shared" ca="1" si="8"/>
        <v>0</v>
      </c>
      <c r="I109" s="359">
        <f t="shared" ca="1" si="9"/>
        <v>216000</v>
      </c>
      <c r="J109" s="359">
        <f t="shared" ca="1" si="10"/>
        <v>0</v>
      </c>
      <c r="K109" s="360">
        <f t="shared" ca="1" si="11"/>
        <v>216000</v>
      </c>
      <c r="L109" s="367"/>
      <c r="M109" s="367"/>
      <c r="N109" s="367"/>
      <c r="O109" s="361"/>
      <c r="P109" s="361"/>
      <c r="Q109" s="344"/>
      <c r="R109" s="336"/>
      <c r="S109" s="362"/>
      <c r="T109" s="341"/>
      <c r="U109" s="341"/>
      <c r="V109" s="341"/>
    </row>
    <row r="110" spans="1:22" s="368" customFormat="1">
      <c r="A110" s="336"/>
      <c r="B110" s="692">
        <v>3</v>
      </c>
      <c r="C110" s="693" t="s">
        <v>33</v>
      </c>
      <c r="D110" s="356" t="str">
        <f ca="1">IF(ISERROR(OFFSET('HARGA SATUAN'!$D$6,MATCH(RAB!C110,'HARGA SATUAN'!$C$7:$C$1492,0),0)),"",OFFSET('HARGA SATUAN'!$D$6,MATCH(RAB!C110,'HARGA SATUAN'!$C$7:$C$1492,0),0))</f>
        <v>HDW</v>
      </c>
      <c r="E110" s="357" t="str">
        <f ca="1">IF(B110="+","Unit",IF(ISERROR(OFFSET('HARGA SATUAN'!$E$6,MATCH(RAB!C110,'HARGA SATUAN'!$C$7:$C$1492,0),0)),"",OFFSET('HARGA SATUAN'!$E$6,MATCH(RAB!C110,'HARGA SATUAN'!$C$7:$C$1492,0),0)))</f>
        <v>Bh</v>
      </c>
      <c r="F110" s="489">
        <f>F107*1</f>
        <v>9</v>
      </c>
      <c r="G110" s="358">
        <f ca="1">IF(ISERROR(OFFSET('HARGA SATUAN'!$I$6,MATCH(RAB!C110,'HARGA SATUAN'!$C$7:$C$1492,0),0)),0,OFFSET('HARGA SATUAN'!$I$6,MATCH(RAB!C110,'HARGA SATUAN'!$C$7:$C$1492,0),0))</f>
        <v>9500</v>
      </c>
      <c r="H110" s="359">
        <f t="shared" ca="1" si="8"/>
        <v>0</v>
      </c>
      <c r="I110" s="359">
        <f t="shared" ca="1" si="9"/>
        <v>85500</v>
      </c>
      <c r="J110" s="359">
        <f t="shared" ca="1" si="10"/>
        <v>0</v>
      </c>
      <c r="K110" s="360">
        <f t="shared" ca="1" si="11"/>
        <v>85500</v>
      </c>
      <c r="L110" s="367"/>
      <c r="M110" s="367"/>
      <c r="N110" s="367"/>
      <c r="O110" s="361"/>
      <c r="P110" s="361"/>
      <c r="Q110" s="344"/>
      <c r="R110" s="336"/>
      <c r="S110" s="362"/>
      <c r="T110" s="341"/>
      <c r="U110" s="341"/>
      <c r="V110" s="341"/>
    </row>
    <row r="111" spans="1:22" s="368" customFormat="1">
      <c r="A111" s="336"/>
      <c r="B111" s="692">
        <v>4</v>
      </c>
      <c r="C111" s="693" t="s">
        <v>737</v>
      </c>
      <c r="D111" s="356" t="str">
        <f ca="1">IF(ISERROR(OFFSET('HARGA SATUAN'!$D$6,MATCH(RAB!C111,'HARGA SATUAN'!$C$7:$C$1492,0),0)),"",OFFSET('HARGA SATUAN'!$D$6,MATCH(RAB!C111,'HARGA SATUAN'!$C$7:$C$1492,0),0))</f>
        <v>JASA</v>
      </c>
      <c r="E111" s="357" t="str">
        <f ca="1">IF(B111="+","Unit",IF(ISERROR(OFFSET('HARGA SATUAN'!$E$6,MATCH(RAB!C111,'HARGA SATUAN'!$C$7:$C$1492,0),0)),"",OFFSET('HARGA SATUAN'!$E$6,MATCH(RAB!C111,'HARGA SATUAN'!$C$7:$C$1492,0),0)))</f>
        <v>Unit</v>
      </c>
      <c r="F111" s="489">
        <f>F107*1</f>
        <v>9</v>
      </c>
      <c r="G111" s="358">
        <f ca="1">IF(ISERROR(OFFSET('HARGA SATUAN'!$I$6,MATCH(RAB!C111,'HARGA SATUAN'!$C$7:$C$1492,0),0)),0,OFFSET('HARGA SATUAN'!$I$6,MATCH(RAB!C111,'HARGA SATUAN'!$C$7:$C$1492,0),0))</f>
        <v>16200</v>
      </c>
      <c r="H111" s="359">
        <f t="shared" ca="1" si="8"/>
        <v>0</v>
      </c>
      <c r="I111" s="359">
        <f t="shared" ca="1" si="9"/>
        <v>0</v>
      </c>
      <c r="J111" s="359">
        <f t="shared" ca="1" si="10"/>
        <v>145800</v>
      </c>
      <c r="K111" s="360">
        <f t="shared" ca="1" si="11"/>
        <v>145800</v>
      </c>
      <c r="L111" s="367"/>
      <c r="M111" s="367"/>
      <c r="N111" s="367"/>
      <c r="O111" s="361"/>
      <c r="P111" s="361"/>
      <c r="Q111" s="344"/>
      <c r="R111" s="336"/>
      <c r="S111" s="362"/>
      <c r="T111" s="341"/>
      <c r="U111" s="341"/>
      <c r="V111" s="341"/>
    </row>
    <row r="112" spans="1:22" s="368" customFormat="1">
      <c r="A112" s="336"/>
      <c r="B112" s="692"/>
      <c r="C112" s="693"/>
      <c r="D112" s="356"/>
      <c r="E112" s="357"/>
      <c r="F112" s="489"/>
      <c r="G112" s="358"/>
      <c r="H112" s="359"/>
      <c r="I112" s="359"/>
      <c r="J112" s="359"/>
      <c r="K112" s="360"/>
      <c r="L112" s="367"/>
      <c r="M112" s="367"/>
      <c r="N112" s="367"/>
      <c r="O112" s="361"/>
      <c r="P112" s="361"/>
      <c r="Q112" s="344"/>
      <c r="R112" s="336"/>
      <c r="S112" s="362"/>
      <c r="T112" s="341"/>
      <c r="U112" s="341"/>
      <c r="V112" s="341"/>
    </row>
    <row r="113" spans="1:22" s="368" customFormat="1">
      <c r="A113" s="336"/>
      <c r="B113" s="692"/>
      <c r="C113" s="736" t="s">
        <v>1666</v>
      </c>
      <c r="D113" s="356" t="str">
        <f ca="1">IF(ISERROR(OFFSET('HARGA SATUAN'!$D$6,MATCH(RAB!C113,'HARGA SATUAN'!$C$7:$C$1492,0),0)),"",OFFSET('HARGA SATUAN'!$D$6,MATCH(RAB!C113,'HARGA SATUAN'!$C$7:$C$1492,0),0))</f>
        <v/>
      </c>
      <c r="E113" s="357" t="str">
        <f ca="1">IF(B113="+","Unit",IF(ISERROR(OFFSET('HARGA SATUAN'!$E$6,MATCH(RAB!C113,'HARGA SATUAN'!$C$7:$C$1492,0),0)),"",OFFSET('HARGA SATUAN'!$E$6,MATCH(RAB!C113,'HARGA SATUAN'!$C$7:$C$1492,0),0)))</f>
        <v/>
      </c>
      <c r="F113" s="714"/>
      <c r="G113" s="358">
        <f ca="1">IF(ISERROR(OFFSET('HARGA SATUAN'!$I$6,MATCH(RAB!C113,'HARGA SATUAN'!$C$7:$C$1492,0),0)),0,OFFSET('HARGA SATUAN'!$I$6,MATCH(RAB!C113,'HARGA SATUAN'!$C$7:$C$1492,0),0))</f>
        <v>0</v>
      </c>
      <c r="H113" s="359">
        <f t="shared" ref="H113:H181" ca="1" si="20">IF(OR(D113="MDU",D113="MDU-KD"),(IF($O$3="RAB NON MDU","PLN KD",G113*F113)),0)</f>
        <v>0</v>
      </c>
      <c r="I113" s="359">
        <f t="shared" ref="I113:I181" ca="1" si="21">IF(D113="HDW",G113*F113,0)</f>
        <v>0</v>
      </c>
      <c r="J113" s="359">
        <f t="shared" ref="J113:J181" ca="1" si="22">IF(D113="JASA",G113*F113,0)</f>
        <v>0</v>
      </c>
      <c r="K113" s="360">
        <f t="shared" ref="K113:K181" ca="1" si="23">SUM(H113:J113)</f>
        <v>0</v>
      </c>
      <c r="L113" s="367"/>
      <c r="M113" s="367"/>
      <c r="N113" s="367"/>
      <c r="O113" s="361"/>
      <c r="P113" s="361"/>
      <c r="Q113" s="344"/>
      <c r="R113" s="336"/>
      <c r="S113" s="362"/>
      <c r="T113" s="341"/>
      <c r="U113" s="341"/>
      <c r="V113" s="341"/>
    </row>
    <row r="114" spans="1:22" s="368" customFormat="1">
      <c r="A114" s="336"/>
      <c r="B114" s="692"/>
      <c r="C114" s="740"/>
      <c r="D114" s="356"/>
      <c r="E114" s="357"/>
      <c r="F114" s="714"/>
      <c r="G114" s="358"/>
      <c r="H114" s="359"/>
      <c r="I114" s="359"/>
      <c r="J114" s="359"/>
      <c r="K114" s="360"/>
      <c r="L114" s="367"/>
      <c r="M114" s="367"/>
      <c r="N114" s="367"/>
      <c r="O114" s="361"/>
      <c r="P114" s="361"/>
      <c r="Q114" s="344"/>
      <c r="R114" s="336"/>
      <c r="S114" s="362"/>
      <c r="T114" s="341"/>
      <c r="U114" s="341"/>
      <c r="V114" s="341"/>
    </row>
    <row r="115" spans="1:22" s="368" customFormat="1">
      <c r="A115" s="336"/>
      <c r="B115" s="692" t="s">
        <v>1035</v>
      </c>
      <c r="C115" s="693" t="s">
        <v>1663</v>
      </c>
      <c r="D115" s="356" t="str">
        <f ca="1">IF(ISERROR(OFFSET('HARGA SATUAN'!$D$6,MATCH(RAB!C115,'HARGA SATUAN'!$C$7:$C$1492,0),0)),"",OFFSET('HARGA SATUAN'!$D$6,MATCH(RAB!C115,'HARGA SATUAN'!$C$7:$C$1492,0),0))</f>
        <v/>
      </c>
      <c r="E115" s="357" t="str">
        <f ca="1">IF(B115="+","Unit",IF(ISERROR(OFFSET('HARGA SATUAN'!$E$6,MATCH(RAB!C115,'HARGA SATUAN'!$C$7:$C$1492,0),0)),"",OFFSET('HARGA SATUAN'!$E$6,MATCH(RAB!C115,'HARGA SATUAN'!$C$7:$C$1492,0),0)))</f>
        <v>Unit</v>
      </c>
      <c r="F115" s="489">
        <v>2</v>
      </c>
      <c r="G115" s="358">
        <f ca="1">IF(ISERROR(OFFSET('HARGA SATUAN'!$I$6,MATCH(RAB!C115,'HARGA SATUAN'!$C$7:$C$1492,0),0)),0,OFFSET('HARGA SATUAN'!$I$6,MATCH(RAB!C115,'HARGA SATUAN'!$C$7:$C$1492,0),0))</f>
        <v>0</v>
      </c>
      <c r="H115" s="359">
        <f t="shared" ca="1" si="20"/>
        <v>0</v>
      </c>
      <c r="I115" s="359">
        <f t="shared" ca="1" si="21"/>
        <v>0</v>
      </c>
      <c r="J115" s="359">
        <f t="shared" ca="1" si="22"/>
        <v>0</v>
      </c>
      <c r="K115" s="360">
        <f t="shared" ca="1" si="23"/>
        <v>0</v>
      </c>
      <c r="L115" s="367"/>
      <c r="M115" s="367"/>
      <c r="N115" s="367"/>
      <c r="O115" s="361"/>
      <c r="P115" s="361"/>
      <c r="Q115" s="344"/>
      <c r="R115" s="336"/>
      <c r="S115" s="362"/>
      <c r="T115" s="341"/>
      <c r="U115" s="341"/>
      <c r="V115" s="341"/>
    </row>
    <row r="116" spans="1:22" s="368" customFormat="1">
      <c r="A116" s="336"/>
      <c r="B116" s="692">
        <v>1</v>
      </c>
      <c r="C116" s="693" t="s">
        <v>28</v>
      </c>
      <c r="D116" s="356" t="str">
        <f ca="1">IF(ISERROR(OFFSET('HARGA SATUAN'!$D$6,MATCH(RAB!C116,'HARGA SATUAN'!$C$7:$C$1492,0),0)),"",OFFSET('HARGA SATUAN'!$D$6,MATCH(RAB!C116,'HARGA SATUAN'!$C$7:$C$1492,0),0))</f>
        <v>HDW</v>
      </c>
      <c r="E116" s="357" t="str">
        <f ca="1">IF(B116="+","Unit",IF(ISERROR(OFFSET('HARGA SATUAN'!$E$6,MATCH(RAB!C116,'HARGA SATUAN'!$C$7:$C$1492,0),0)),"",OFFSET('HARGA SATUAN'!$E$6,MATCH(RAB!C116,'HARGA SATUAN'!$C$7:$C$1492,0),0)))</f>
        <v>Bh</v>
      </c>
      <c r="F116" s="489">
        <f>F115*1</f>
        <v>2</v>
      </c>
      <c r="G116" s="358">
        <f ca="1">IF(ISERROR(OFFSET('HARGA SATUAN'!$I$6,MATCH(RAB!C116,'HARGA SATUAN'!$C$7:$C$1492,0),0)),0,OFFSET('HARGA SATUAN'!$I$6,MATCH(RAB!C116,'HARGA SATUAN'!$C$7:$C$1492,0),0))</f>
        <v>26500</v>
      </c>
      <c r="H116" s="359">
        <f t="shared" ca="1" si="20"/>
        <v>0</v>
      </c>
      <c r="I116" s="359">
        <f t="shared" ca="1" si="21"/>
        <v>53000</v>
      </c>
      <c r="J116" s="359">
        <f t="shared" ca="1" si="22"/>
        <v>0</v>
      </c>
      <c r="K116" s="360">
        <f t="shared" ca="1" si="23"/>
        <v>53000</v>
      </c>
      <c r="L116" s="367"/>
      <c r="M116" s="367"/>
      <c r="N116" s="367"/>
      <c r="O116" s="361"/>
      <c r="P116" s="361"/>
      <c r="Q116" s="344"/>
      <c r="R116" s="336"/>
      <c r="S116" s="362"/>
      <c r="T116" s="341"/>
      <c r="U116" s="341"/>
      <c r="V116" s="341"/>
    </row>
    <row r="117" spans="1:22" s="368" customFormat="1">
      <c r="A117" s="336"/>
      <c r="B117" s="692">
        <v>2</v>
      </c>
      <c r="C117" s="693" t="s">
        <v>203</v>
      </c>
      <c r="D117" s="356" t="str">
        <f ca="1">IF(ISERROR(OFFSET('HARGA SATUAN'!$D$6,MATCH(RAB!C117,'HARGA SATUAN'!$C$7:$C$1492,0),0)),"",OFFSET('HARGA SATUAN'!$D$6,MATCH(RAB!C117,'HARGA SATUAN'!$C$7:$C$1492,0),0))</f>
        <v>HDW</v>
      </c>
      <c r="E117" s="357" t="str">
        <f ca="1">IF(B117="+","Unit",IF(ISERROR(OFFSET('HARGA SATUAN'!$E$6,MATCH(RAB!C117,'HARGA SATUAN'!$C$7:$C$1492,0),0)),"",OFFSET('HARGA SATUAN'!$E$6,MATCH(RAB!C117,'HARGA SATUAN'!$C$7:$C$1492,0),0)))</f>
        <v>Bh</v>
      </c>
      <c r="F117" s="489">
        <f>F115*1</f>
        <v>2</v>
      </c>
      <c r="G117" s="358">
        <f ca="1">IF(ISERROR(OFFSET('HARGA SATUAN'!$I$6,MATCH(RAB!C117,'HARGA SATUAN'!$C$7:$C$1492,0),0)),0,OFFSET('HARGA SATUAN'!$I$6,MATCH(RAB!C117,'HARGA SATUAN'!$C$7:$C$1492,0),0))</f>
        <v>12500</v>
      </c>
      <c r="H117" s="359">
        <f t="shared" ca="1" si="20"/>
        <v>0</v>
      </c>
      <c r="I117" s="359">
        <f t="shared" ca="1" si="21"/>
        <v>25000</v>
      </c>
      <c r="J117" s="359">
        <f t="shared" ca="1" si="22"/>
        <v>0</v>
      </c>
      <c r="K117" s="360">
        <f t="shared" ca="1" si="23"/>
        <v>25000</v>
      </c>
      <c r="L117" s="367"/>
      <c r="M117" s="367"/>
      <c r="N117" s="367"/>
      <c r="O117" s="361"/>
      <c r="P117" s="361"/>
      <c r="Q117" s="344"/>
      <c r="R117" s="336"/>
      <c r="S117" s="362"/>
      <c r="T117" s="341"/>
      <c r="U117" s="341"/>
      <c r="V117" s="341"/>
    </row>
    <row r="118" spans="1:22" s="368" customFormat="1">
      <c r="A118" s="336"/>
      <c r="B118" s="692">
        <v>3</v>
      </c>
      <c r="C118" s="693" t="s">
        <v>206</v>
      </c>
      <c r="D118" s="356" t="str">
        <f ca="1">IF(ISERROR(OFFSET('HARGA SATUAN'!$D$6,MATCH(RAB!C118,'HARGA SATUAN'!$C$7:$C$1492,0),0)),"",OFFSET('HARGA SATUAN'!$D$6,MATCH(RAB!C118,'HARGA SATUAN'!$C$7:$C$1492,0),0))</f>
        <v>HDW</v>
      </c>
      <c r="E118" s="357" t="str">
        <f ca="1">IF(B118="+","Unit",IF(ISERROR(OFFSET('HARGA SATUAN'!$E$6,MATCH(RAB!C118,'HARGA SATUAN'!$C$7:$C$1492,0),0)),"",OFFSET('HARGA SATUAN'!$E$6,MATCH(RAB!C118,'HARGA SATUAN'!$C$7:$C$1492,0),0)))</f>
        <v>Mtr</v>
      </c>
      <c r="F118" s="489">
        <f>F115*12</f>
        <v>24</v>
      </c>
      <c r="G118" s="358">
        <f ca="1">IF(ISERROR(OFFSET('HARGA SATUAN'!$I$6,MATCH(RAB!C118,'HARGA SATUAN'!$C$7:$C$1492,0),0)),0,OFFSET('HARGA SATUAN'!$I$6,MATCH(RAB!C118,'HARGA SATUAN'!$C$7:$C$1492,0),0))</f>
        <v>39204</v>
      </c>
      <c r="H118" s="359">
        <f t="shared" ca="1" si="20"/>
        <v>0</v>
      </c>
      <c r="I118" s="359">
        <f t="shared" ca="1" si="21"/>
        <v>940896</v>
      </c>
      <c r="J118" s="359">
        <f t="shared" ca="1" si="22"/>
        <v>0</v>
      </c>
      <c r="K118" s="360">
        <f t="shared" ca="1" si="23"/>
        <v>940896</v>
      </c>
      <c r="L118" s="367"/>
      <c r="M118" s="367"/>
      <c r="N118" s="367"/>
      <c r="O118" s="361"/>
      <c r="P118" s="361"/>
      <c r="Q118" s="344"/>
      <c r="R118" s="336"/>
      <c r="S118" s="362"/>
      <c r="T118" s="341"/>
      <c r="U118" s="341"/>
      <c r="V118" s="341"/>
    </row>
    <row r="119" spans="1:22" s="368" customFormat="1">
      <c r="A119" s="336"/>
      <c r="B119" s="692">
        <v>4</v>
      </c>
      <c r="C119" s="693" t="s">
        <v>287</v>
      </c>
      <c r="D119" s="356" t="str">
        <f ca="1">IF(ISERROR(OFFSET('HARGA SATUAN'!$D$6,MATCH(RAB!C119,'HARGA SATUAN'!$C$7:$C$1492,0),0)),"",OFFSET('HARGA SATUAN'!$D$6,MATCH(RAB!C119,'HARGA SATUAN'!$C$7:$C$1492,0),0))</f>
        <v>HDW</v>
      </c>
      <c r="E119" s="357" t="str">
        <f ca="1">IF(B119="+","Unit",IF(ISERROR(OFFSET('HARGA SATUAN'!$E$6,MATCH(RAB!C119,'HARGA SATUAN'!$C$7:$C$1492,0),0)),"",OFFSET('HARGA SATUAN'!$E$6,MATCH(RAB!C119,'HARGA SATUAN'!$C$7:$C$1492,0),0)))</f>
        <v>Bh</v>
      </c>
      <c r="F119" s="489">
        <f>F115*2</f>
        <v>4</v>
      </c>
      <c r="G119" s="358">
        <f ca="1">IF(ISERROR(OFFSET('HARGA SATUAN'!$I$6,MATCH(RAB!C119,'HARGA SATUAN'!$C$7:$C$1492,0),0)),0,OFFSET('HARGA SATUAN'!$I$6,MATCH(RAB!C119,'HARGA SATUAN'!$C$7:$C$1492,0),0))</f>
        <v>40000</v>
      </c>
      <c r="H119" s="359">
        <f t="shared" ca="1" si="20"/>
        <v>0</v>
      </c>
      <c r="I119" s="359">
        <f t="shared" ca="1" si="21"/>
        <v>160000</v>
      </c>
      <c r="J119" s="359">
        <f t="shared" ca="1" si="22"/>
        <v>0</v>
      </c>
      <c r="K119" s="360">
        <f t="shared" ca="1" si="23"/>
        <v>160000</v>
      </c>
      <c r="L119" s="367"/>
      <c r="M119" s="367"/>
      <c r="N119" s="367"/>
      <c r="O119" s="361"/>
      <c r="P119" s="361"/>
      <c r="Q119" s="344"/>
      <c r="R119" s="336"/>
      <c r="S119" s="362"/>
      <c r="T119" s="341"/>
      <c r="U119" s="341"/>
      <c r="V119" s="341"/>
    </row>
    <row r="120" spans="1:22" s="368" customFormat="1">
      <c r="A120" s="336"/>
      <c r="B120" s="692">
        <v>5</v>
      </c>
      <c r="C120" s="693" t="s">
        <v>26</v>
      </c>
      <c r="D120" s="356" t="str">
        <f ca="1">IF(ISERROR(OFFSET('HARGA SATUAN'!$D$6,MATCH(RAB!C120,'HARGA SATUAN'!$C$7:$C$1492,0),0)),"",OFFSET('HARGA SATUAN'!$D$6,MATCH(RAB!C120,'HARGA SATUAN'!$C$7:$C$1492,0),0))</f>
        <v>HDW</v>
      </c>
      <c r="E120" s="357" t="str">
        <f ca="1">IF(B120="+","Unit",IF(ISERROR(OFFSET('HARGA SATUAN'!$E$6,MATCH(RAB!C120,'HARGA SATUAN'!$C$7:$C$1492,0),0)),"",OFFSET('HARGA SATUAN'!$E$6,MATCH(RAB!C120,'HARGA SATUAN'!$C$7:$C$1492,0),0)))</f>
        <v>Bh</v>
      </c>
      <c r="F120" s="489">
        <f>F115*1</f>
        <v>2</v>
      </c>
      <c r="G120" s="358">
        <f ca="1">IF(ISERROR(OFFSET('HARGA SATUAN'!$I$6,MATCH(RAB!C120,'HARGA SATUAN'!$C$7:$C$1492,0),0)),0,OFFSET('HARGA SATUAN'!$I$6,MATCH(RAB!C120,'HARGA SATUAN'!$C$7:$C$1492,0),0))</f>
        <v>2500</v>
      </c>
      <c r="H120" s="359">
        <f t="shared" ca="1" si="20"/>
        <v>0</v>
      </c>
      <c r="I120" s="359">
        <f t="shared" ca="1" si="21"/>
        <v>5000</v>
      </c>
      <c r="J120" s="359">
        <f t="shared" ca="1" si="22"/>
        <v>0</v>
      </c>
      <c r="K120" s="360">
        <f t="shared" ca="1" si="23"/>
        <v>5000</v>
      </c>
      <c r="L120" s="367"/>
      <c r="M120" s="367"/>
      <c r="N120" s="367"/>
      <c r="O120" s="361"/>
      <c r="P120" s="361"/>
      <c r="Q120" s="344"/>
      <c r="R120" s="336"/>
      <c r="S120" s="362"/>
      <c r="T120" s="341"/>
      <c r="U120" s="341"/>
      <c r="V120" s="341"/>
    </row>
    <row r="121" spans="1:22" s="368" customFormat="1">
      <c r="A121" s="336"/>
      <c r="B121" s="692">
        <v>6</v>
      </c>
      <c r="C121" s="693" t="s">
        <v>760</v>
      </c>
      <c r="D121" s="356" t="str">
        <f ca="1">IF(ISERROR(OFFSET('HARGA SATUAN'!$D$6,MATCH(RAB!C121,'HARGA SATUAN'!$C$7:$C$1492,0),0)),"",OFFSET('HARGA SATUAN'!$D$6,MATCH(RAB!C121,'HARGA SATUAN'!$C$7:$C$1492,0),0))</f>
        <v>JASA</v>
      </c>
      <c r="E121" s="357" t="str">
        <f ca="1">IF(B121="+","Unit",IF(ISERROR(OFFSET('HARGA SATUAN'!$E$6,MATCH(RAB!C121,'HARGA SATUAN'!$C$7:$C$1492,0),0)),"",OFFSET('HARGA SATUAN'!$E$6,MATCH(RAB!C121,'HARGA SATUAN'!$C$7:$C$1492,0),0)))</f>
        <v>Unit</v>
      </c>
      <c r="F121" s="489">
        <f>F115*1</f>
        <v>2</v>
      </c>
      <c r="G121" s="358">
        <f ca="1">IF(ISERROR(OFFSET('HARGA SATUAN'!$I$6,MATCH(RAB!C121,'HARGA SATUAN'!$C$7:$C$1492,0),0)),0,OFFSET('HARGA SATUAN'!$I$6,MATCH(RAB!C121,'HARGA SATUAN'!$C$7:$C$1492,0),0))</f>
        <v>36600</v>
      </c>
      <c r="H121" s="359">
        <f t="shared" ca="1" si="20"/>
        <v>0</v>
      </c>
      <c r="I121" s="359">
        <f t="shared" ca="1" si="21"/>
        <v>0</v>
      </c>
      <c r="J121" s="359">
        <f t="shared" ca="1" si="22"/>
        <v>73200</v>
      </c>
      <c r="K121" s="360">
        <f t="shared" ca="1" si="23"/>
        <v>73200</v>
      </c>
      <c r="L121" s="367"/>
      <c r="M121" s="367"/>
      <c r="N121" s="367"/>
      <c r="O121" s="361"/>
      <c r="P121" s="361"/>
      <c r="Q121" s="344"/>
      <c r="R121" s="336"/>
      <c r="S121" s="362"/>
      <c r="T121" s="341"/>
      <c r="U121" s="341"/>
      <c r="V121" s="341"/>
    </row>
    <row r="122" spans="1:22" s="368" customFormat="1">
      <c r="A122" s="336"/>
      <c r="B122" s="694"/>
      <c r="C122" s="695"/>
      <c r="D122" s="356" t="str">
        <f ca="1">IF(ISERROR(OFFSET('HARGA SATUAN'!$D$6,MATCH(RAB!C122,'HARGA SATUAN'!$C$7:$C$1492,0),0)),"",OFFSET('HARGA SATUAN'!$D$6,MATCH(RAB!C122,'HARGA SATUAN'!$C$7:$C$1492,0),0))</f>
        <v/>
      </c>
      <c r="E122" s="357" t="str">
        <f ca="1">IF(B122="+","Unit",IF(ISERROR(OFFSET('HARGA SATUAN'!$E$6,MATCH(RAB!C122,'HARGA SATUAN'!$C$7:$C$1492,0),0)),"",OFFSET('HARGA SATUAN'!$E$6,MATCH(RAB!C122,'HARGA SATUAN'!$C$7:$C$1492,0),0)))</f>
        <v/>
      </c>
      <c r="F122" s="715"/>
      <c r="G122" s="358">
        <f ca="1">IF(ISERROR(OFFSET('HARGA SATUAN'!$I$6,MATCH(RAB!C122,'HARGA SATUAN'!$C$7:$C$1492,0),0)),0,OFFSET('HARGA SATUAN'!$I$6,MATCH(RAB!C122,'HARGA SATUAN'!$C$7:$C$1492,0),0))</f>
        <v>0</v>
      </c>
      <c r="H122" s="359">
        <f t="shared" ca="1" si="20"/>
        <v>0</v>
      </c>
      <c r="I122" s="359">
        <f t="shared" ca="1" si="21"/>
        <v>0</v>
      </c>
      <c r="J122" s="359">
        <f t="shared" ca="1" si="22"/>
        <v>0</v>
      </c>
      <c r="K122" s="360">
        <f t="shared" ca="1" si="23"/>
        <v>0</v>
      </c>
      <c r="L122" s="367"/>
      <c r="M122" s="367"/>
      <c r="N122" s="367"/>
      <c r="O122" s="361"/>
      <c r="P122" s="361"/>
      <c r="Q122" s="344"/>
      <c r="R122" s="336"/>
      <c r="S122" s="362"/>
      <c r="T122" s="341"/>
      <c r="U122" s="341"/>
      <c r="V122" s="341"/>
    </row>
    <row r="123" spans="1:22" s="368" customFormat="1">
      <c r="A123" s="336"/>
      <c r="B123" s="692" t="s">
        <v>1035</v>
      </c>
      <c r="C123" s="693" t="s">
        <v>1664</v>
      </c>
      <c r="D123" s="356" t="str">
        <f ca="1">IF(ISERROR(OFFSET('HARGA SATUAN'!$D$6,MATCH(RAB!C123,'HARGA SATUAN'!$C$7:$C$1492,0),0)),"",OFFSET('HARGA SATUAN'!$D$6,MATCH(RAB!C123,'HARGA SATUAN'!$C$7:$C$1492,0),0))</f>
        <v/>
      </c>
      <c r="E123" s="357" t="str">
        <f ca="1">IF(B123="+","Unit",IF(ISERROR(OFFSET('HARGA SATUAN'!$E$6,MATCH(RAB!C123,'HARGA SATUAN'!$C$7:$C$1492,0),0)),"",OFFSET('HARGA SATUAN'!$E$6,MATCH(RAB!C123,'HARGA SATUAN'!$C$7:$C$1492,0),0)))</f>
        <v>Unit</v>
      </c>
      <c r="F123" s="714">
        <f>F115</f>
        <v>2</v>
      </c>
      <c r="G123" s="358">
        <f ca="1">IF(ISERROR(OFFSET('HARGA SATUAN'!$I$6,MATCH(RAB!C123,'HARGA SATUAN'!$C$7:$C$1492,0),0)),0,OFFSET('HARGA SATUAN'!$I$6,MATCH(RAB!C123,'HARGA SATUAN'!$C$7:$C$1492,0),0))</f>
        <v>0</v>
      </c>
      <c r="H123" s="359">
        <f t="shared" ca="1" si="20"/>
        <v>0</v>
      </c>
      <c r="I123" s="359">
        <f t="shared" ca="1" si="21"/>
        <v>0</v>
      </c>
      <c r="J123" s="359">
        <f t="shared" ca="1" si="22"/>
        <v>0</v>
      </c>
      <c r="K123" s="360">
        <f t="shared" ca="1" si="23"/>
        <v>0</v>
      </c>
      <c r="L123" s="367"/>
      <c r="M123" s="367"/>
      <c r="N123" s="367"/>
      <c r="O123" s="361"/>
      <c r="P123" s="361"/>
      <c r="Q123" s="344"/>
      <c r="R123" s="336"/>
      <c r="S123" s="362"/>
      <c r="T123" s="341"/>
      <c r="U123" s="341"/>
      <c r="V123" s="341"/>
    </row>
    <row r="124" spans="1:22" s="368" customFormat="1">
      <c r="A124" s="336"/>
      <c r="B124" s="698">
        <v>1</v>
      </c>
      <c r="C124" s="734" t="s">
        <v>597</v>
      </c>
      <c r="D124" s="356" t="str">
        <f ca="1">IF(ISERROR(OFFSET('HARGA SATUAN'!$D$6,MATCH(RAB!C124,'HARGA SATUAN'!$C$7:$C$1492,0),0)),"",OFFSET('HARGA SATUAN'!$D$6,MATCH(RAB!C124,'HARGA SATUAN'!$C$7:$C$1492,0),0))</f>
        <v>HDW</v>
      </c>
      <c r="E124" s="357" t="str">
        <f ca="1">IF(B124="+","Unit",IF(ISERROR(OFFSET('HARGA SATUAN'!$E$6,MATCH(RAB!C124,'HARGA SATUAN'!$C$7:$C$1492,0),0)),"",OFFSET('HARGA SATUAN'!$E$6,MATCH(RAB!C124,'HARGA SATUAN'!$C$7:$C$1492,0),0)))</f>
        <v>Bh</v>
      </c>
      <c r="F124" s="714">
        <f>F123*1</f>
        <v>2</v>
      </c>
      <c r="G124" s="358">
        <f ca="1">IF(ISERROR(OFFSET('HARGA SATUAN'!$I$6,MATCH(RAB!C124,'HARGA SATUAN'!$C$7:$C$1492,0),0)),0,OFFSET('HARGA SATUAN'!$I$6,MATCH(RAB!C124,'HARGA SATUAN'!$C$7:$C$1492,0),0))</f>
        <v>120900</v>
      </c>
      <c r="H124" s="359">
        <f t="shared" ca="1" si="20"/>
        <v>0</v>
      </c>
      <c r="I124" s="359">
        <f t="shared" ca="1" si="21"/>
        <v>241800</v>
      </c>
      <c r="J124" s="359">
        <f t="shared" ca="1" si="22"/>
        <v>0</v>
      </c>
      <c r="K124" s="360">
        <f t="shared" ca="1" si="23"/>
        <v>241800</v>
      </c>
      <c r="L124" s="367"/>
      <c r="M124" s="367"/>
      <c r="N124" s="367"/>
      <c r="O124" s="361"/>
      <c r="P124" s="361"/>
      <c r="Q124" s="344"/>
      <c r="R124" s="336"/>
      <c r="S124" s="362"/>
      <c r="T124" s="341"/>
      <c r="U124" s="341"/>
      <c r="V124" s="341"/>
    </row>
    <row r="125" spans="1:22" s="368" customFormat="1">
      <c r="A125" s="336"/>
      <c r="B125" s="700">
        <v>2</v>
      </c>
      <c r="C125" s="707" t="s">
        <v>261</v>
      </c>
      <c r="D125" s="356" t="str">
        <f ca="1">IF(ISERROR(OFFSET('HARGA SATUAN'!$D$6,MATCH(RAB!C125,'HARGA SATUAN'!$C$7:$C$1492,0),0)),"",OFFSET('HARGA SATUAN'!$D$6,MATCH(RAB!C125,'HARGA SATUAN'!$C$7:$C$1492,0),0))</f>
        <v>HDW</v>
      </c>
      <c r="E125" s="357" t="str">
        <f ca="1">IF(B125="+","Unit",IF(ISERROR(OFFSET('HARGA SATUAN'!$E$6,MATCH(RAB!C125,'HARGA SATUAN'!$C$7:$C$1492,0),0)),"",OFFSET('HARGA SATUAN'!$E$6,MATCH(RAB!C125,'HARGA SATUAN'!$C$7:$C$1492,0),0)))</f>
        <v>Bh</v>
      </c>
      <c r="F125" s="714">
        <f>F123*1</f>
        <v>2</v>
      </c>
      <c r="G125" s="358">
        <f ca="1">IF(ISERROR(OFFSET('HARGA SATUAN'!$I$6,MATCH(RAB!C125,'HARGA SATUAN'!$C$7:$C$1492,0),0)),0,OFFSET('HARGA SATUAN'!$I$6,MATCH(RAB!C125,'HARGA SATUAN'!$C$7:$C$1492,0),0))</f>
        <v>135800</v>
      </c>
      <c r="H125" s="359">
        <f t="shared" ca="1" si="20"/>
        <v>0</v>
      </c>
      <c r="I125" s="359">
        <f t="shared" ca="1" si="21"/>
        <v>271600</v>
      </c>
      <c r="J125" s="359">
        <f t="shared" ca="1" si="22"/>
        <v>0</v>
      </c>
      <c r="K125" s="360">
        <f t="shared" ca="1" si="23"/>
        <v>271600</v>
      </c>
      <c r="L125" s="367"/>
      <c r="M125" s="367"/>
      <c r="N125" s="367"/>
      <c r="O125" s="361"/>
      <c r="P125" s="361"/>
      <c r="Q125" s="344"/>
      <c r="R125" s="336"/>
      <c r="S125" s="362"/>
      <c r="T125" s="341"/>
      <c r="U125" s="341"/>
      <c r="V125" s="341"/>
    </row>
    <row r="126" spans="1:22" s="368" customFormat="1">
      <c r="A126" s="336"/>
      <c r="B126" s="700">
        <v>3</v>
      </c>
      <c r="C126" s="702" t="s">
        <v>214</v>
      </c>
      <c r="D126" s="356" t="str">
        <f ca="1">IF(ISERROR(OFFSET('HARGA SATUAN'!$D$6,MATCH(RAB!C126,'HARGA SATUAN'!$C$7:$C$1492,0),0)),"",OFFSET('HARGA SATUAN'!$D$6,MATCH(RAB!C126,'HARGA SATUAN'!$C$7:$C$1492,0),0))</f>
        <v>HDW</v>
      </c>
      <c r="E126" s="357" t="str">
        <f ca="1">IF(B126="+","Unit",IF(ISERROR(OFFSET('HARGA SATUAN'!$E$6,MATCH(RAB!C126,'HARGA SATUAN'!$C$7:$C$1492,0),0)),"",OFFSET('HARGA SATUAN'!$E$6,MATCH(RAB!C126,'HARGA SATUAN'!$C$7:$C$1492,0),0)))</f>
        <v>Bh</v>
      </c>
      <c r="F126" s="489">
        <f>F123*1</f>
        <v>2</v>
      </c>
      <c r="G126" s="358">
        <f ca="1">IF(ISERROR(OFFSET('HARGA SATUAN'!$I$6,MATCH(RAB!C126,'HARGA SATUAN'!$C$7:$C$1492,0),0)),0,OFFSET('HARGA SATUAN'!$I$6,MATCH(RAB!C126,'HARGA SATUAN'!$C$7:$C$1492,0),0))</f>
        <v>4500</v>
      </c>
      <c r="H126" s="359">
        <f t="shared" ca="1" si="20"/>
        <v>0</v>
      </c>
      <c r="I126" s="359">
        <f t="shared" ca="1" si="21"/>
        <v>9000</v>
      </c>
      <c r="J126" s="359">
        <f t="shared" ca="1" si="22"/>
        <v>0</v>
      </c>
      <c r="K126" s="360">
        <f t="shared" ca="1" si="23"/>
        <v>9000</v>
      </c>
      <c r="L126" s="367"/>
      <c r="M126" s="367"/>
      <c r="N126" s="367"/>
      <c r="O126" s="361"/>
      <c r="P126" s="361"/>
      <c r="Q126" s="344"/>
      <c r="R126" s="336"/>
      <c r="S126" s="362"/>
      <c r="T126" s="341"/>
      <c r="U126" s="341"/>
      <c r="V126" s="341"/>
    </row>
    <row r="127" spans="1:22" s="368" customFormat="1">
      <c r="A127" s="336"/>
      <c r="B127" s="692">
        <v>4</v>
      </c>
      <c r="C127" s="693" t="s">
        <v>768</v>
      </c>
      <c r="D127" s="356" t="str">
        <f ca="1">IF(ISERROR(OFFSET('HARGA SATUAN'!$D$6,MATCH(RAB!C127,'HARGA SATUAN'!$C$7:$C$1492,0),0)),"",OFFSET('HARGA SATUAN'!$D$6,MATCH(RAB!C127,'HARGA SATUAN'!$C$7:$C$1492,0),0))</f>
        <v>JASA</v>
      </c>
      <c r="E127" s="357" t="str">
        <f ca="1">IF(B127="+","Unit",IF(ISERROR(OFFSET('HARGA SATUAN'!$E$6,MATCH(RAB!C127,'HARGA SATUAN'!$C$7:$C$1492,0),0)),"",OFFSET('HARGA SATUAN'!$E$6,MATCH(RAB!C127,'HARGA SATUAN'!$C$7:$C$1492,0),0)))</f>
        <v>Unit</v>
      </c>
      <c r="F127" s="714">
        <f>F123*1</f>
        <v>2</v>
      </c>
      <c r="G127" s="358">
        <f ca="1">IF(ISERROR(OFFSET('HARGA SATUAN'!$I$6,MATCH(RAB!C127,'HARGA SATUAN'!$C$7:$C$1492,0),0)),0,OFFSET('HARGA SATUAN'!$I$6,MATCH(RAB!C127,'HARGA SATUAN'!$C$7:$C$1492,0),0))</f>
        <v>55500</v>
      </c>
      <c r="H127" s="359">
        <f t="shared" ca="1" si="20"/>
        <v>0</v>
      </c>
      <c r="I127" s="359">
        <f t="shared" ca="1" si="21"/>
        <v>0</v>
      </c>
      <c r="J127" s="359">
        <f t="shared" ca="1" si="22"/>
        <v>111000</v>
      </c>
      <c r="K127" s="360">
        <f t="shared" ca="1" si="23"/>
        <v>111000</v>
      </c>
      <c r="L127" s="367"/>
      <c r="M127" s="367"/>
      <c r="N127" s="367"/>
      <c r="O127" s="361"/>
      <c r="P127" s="361"/>
      <c r="Q127" s="344"/>
      <c r="R127" s="336"/>
      <c r="S127" s="362"/>
      <c r="T127" s="341"/>
      <c r="U127" s="341"/>
      <c r="V127" s="341"/>
    </row>
    <row r="128" spans="1:22" s="368" customFormat="1">
      <c r="A128" s="336"/>
      <c r="B128" s="692"/>
      <c r="C128" s="693"/>
      <c r="D128" s="356" t="str">
        <f ca="1">IF(ISERROR(OFFSET('HARGA SATUAN'!$D$6,MATCH(RAB!C128,'HARGA SATUAN'!$C$7:$C$1492,0),0)),"",OFFSET('HARGA SATUAN'!$D$6,MATCH(RAB!C128,'HARGA SATUAN'!$C$7:$C$1492,0),0))</f>
        <v/>
      </c>
      <c r="E128" s="357" t="str">
        <f ca="1">IF(B128="+","Unit",IF(ISERROR(OFFSET('HARGA SATUAN'!$E$6,MATCH(RAB!C128,'HARGA SATUAN'!$C$7:$C$1492,0),0)),"",OFFSET('HARGA SATUAN'!$E$6,MATCH(RAB!C128,'HARGA SATUAN'!$C$7:$C$1492,0),0)))</f>
        <v/>
      </c>
      <c r="F128" s="714"/>
      <c r="G128" s="358">
        <f ca="1">IF(ISERROR(OFFSET('HARGA SATUAN'!$I$6,MATCH(RAB!C128,'HARGA SATUAN'!$C$7:$C$1492,0),0)),0,OFFSET('HARGA SATUAN'!$I$6,MATCH(RAB!C128,'HARGA SATUAN'!$C$7:$C$1492,0),0))</f>
        <v>0</v>
      </c>
      <c r="H128" s="359">
        <f t="shared" ca="1" si="20"/>
        <v>0</v>
      </c>
      <c r="I128" s="359">
        <f t="shared" ca="1" si="21"/>
        <v>0</v>
      </c>
      <c r="J128" s="359">
        <f t="shared" ca="1" si="22"/>
        <v>0</v>
      </c>
      <c r="K128" s="360">
        <f t="shared" ca="1" si="23"/>
        <v>0</v>
      </c>
      <c r="L128" s="367"/>
      <c r="M128" s="367"/>
      <c r="N128" s="367"/>
      <c r="O128" s="361"/>
      <c r="P128" s="361"/>
      <c r="Q128" s="344"/>
      <c r="R128" s="336"/>
      <c r="S128" s="362"/>
      <c r="T128" s="341"/>
      <c r="U128" s="341"/>
      <c r="V128" s="341"/>
    </row>
    <row r="129" spans="1:22" s="368" customFormat="1">
      <c r="A129" s="336"/>
      <c r="B129" s="692" t="s">
        <v>1035</v>
      </c>
      <c r="C129" s="693" t="s">
        <v>1667</v>
      </c>
      <c r="D129" s="356" t="str">
        <f ca="1">IF(ISERROR(OFFSET('HARGA SATUAN'!$D$6,MATCH(RAB!C129,'HARGA SATUAN'!$C$7:$C$1492,0),0)),"",OFFSET('HARGA SATUAN'!$D$6,MATCH(RAB!C129,'HARGA SATUAN'!$C$7:$C$1492,0),0))</f>
        <v/>
      </c>
      <c r="E129" s="357" t="str">
        <f ca="1">IF(B129="+","Unit",IF(ISERROR(OFFSET('HARGA SATUAN'!$E$6,MATCH(RAB!C129,'HARGA SATUAN'!$C$7:$C$1492,0),0)),"",OFFSET('HARGA SATUAN'!$E$6,MATCH(RAB!C129,'HARGA SATUAN'!$C$7:$C$1492,0),0)))</f>
        <v>Unit</v>
      </c>
      <c r="F129" s="489">
        <v>1</v>
      </c>
      <c r="G129" s="358">
        <f ca="1">IF(ISERROR(OFFSET('HARGA SATUAN'!$I$6,MATCH(RAB!C129,'HARGA SATUAN'!$C$7:$C$1492,0),0)),0,OFFSET('HARGA SATUAN'!$I$6,MATCH(RAB!C129,'HARGA SATUAN'!$C$7:$C$1492,0),0))</f>
        <v>0</v>
      </c>
      <c r="H129" s="359">
        <f t="shared" ref="H129:H134" ca="1" si="24">IF(OR(D129="MDU",D129="MDU-KD"),(IF($O$3="RAB NON MDU","PLN KD",G129*F129)),0)</f>
        <v>0</v>
      </c>
      <c r="I129" s="359">
        <f t="shared" ref="I129:I134" ca="1" si="25">IF(D129="HDW",G129*F129,0)</f>
        <v>0</v>
      </c>
      <c r="J129" s="359">
        <f t="shared" ref="J129:J134" ca="1" si="26">IF(D129="JASA",G129*F129,0)</f>
        <v>0</v>
      </c>
      <c r="K129" s="360">
        <f t="shared" ref="K129:K134" ca="1" si="27">SUM(H129:J129)</f>
        <v>0</v>
      </c>
      <c r="L129" s="367"/>
      <c r="M129" s="367"/>
      <c r="N129" s="367"/>
      <c r="O129" s="361"/>
      <c r="P129" s="361"/>
      <c r="Q129" s="344"/>
      <c r="R129" s="336"/>
      <c r="S129" s="362"/>
      <c r="T129" s="341"/>
      <c r="U129" s="341"/>
      <c r="V129" s="341"/>
    </row>
    <row r="130" spans="1:22" s="368" customFormat="1">
      <c r="A130" s="336"/>
      <c r="B130" s="692">
        <v>1</v>
      </c>
      <c r="C130" s="693" t="s">
        <v>102</v>
      </c>
      <c r="D130" s="356" t="str">
        <f ca="1">IF(ISERROR(OFFSET('HARGA SATUAN'!$D$6,MATCH(RAB!C130,'HARGA SATUAN'!$C$7:$C$1492,0),0)),"",OFFSET('HARGA SATUAN'!$D$6,MATCH(RAB!C130,'HARGA SATUAN'!$C$7:$C$1492,0),0))</f>
        <v>HDW</v>
      </c>
      <c r="E130" s="357" t="str">
        <f ca="1">IF(B130="+","Unit",IF(ISERROR(OFFSET('HARGA SATUAN'!$E$6,MATCH(RAB!C130,'HARGA SATUAN'!$C$7:$C$1492,0),0)),"",OFFSET('HARGA SATUAN'!$E$6,MATCH(RAB!C130,'HARGA SATUAN'!$C$7:$C$1492,0),0)))</f>
        <v>Btg</v>
      </c>
      <c r="F130" s="489">
        <f>F129*1</f>
        <v>1</v>
      </c>
      <c r="G130" s="358">
        <f ca="1">IF(ISERROR(OFFSET('HARGA SATUAN'!$I$6,MATCH(RAB!C130,'HARGA SATUAN'!$C$7:$C$1492,0),0)),0,OFFSET('HARGA SATUAN'!$I$6,MATCH(RAB!C130,'HARGA SATUAN'!$C$7:$C$1492,0),0))</f>
        <v>4609000</v>
      </c>
      <c r="H130" s="359">
        <f t="shared" ca="1" si="24"/>
        <v>0</v>
      </c>
      <c r="I130" s="359">
        <f t="shared" ca="1" si="25"/>
        <v>4609000</v>
      </c>
      <c r="J130" s="359">
        <f t="shared" ca="1" si="26"/>
        <v>0</v>
      </c>
      <c r="K130" s="360">
        <f t="shared" ca="1" si="27"/>
        <v>4609000</v>
      </c>
      <c r="L130" s="367"/>
      <c r="M130" s="367"/>
      <c r="N130" s="367"/>
      <c r="O130" s="361"/>
      <c r="P130" s="361"/>
      <c r="Q130" s="344"/>
      <c r="R130" s="336"/>
      <c r="S130" s="362"/>
      <c r="T130" s="341"/>
      <c r="U130" s="341"/>
      <c r="V130" s="341"/>
    </row>
    <row r="131" spans="1:22" s="368" customFormat="1">
      <c r="A131" s="336"/>
      <c r="B131" s="692">
        <v>2</v>
      </c>
      <c r="C131" s="693" t="s">
        <v>37</v>
      </c>
      <c r="D131" s="356" t="str">
        <f ca="1">IF(ISERROR(OFFSET('HARGA SATUAN'!$D$6,MATCH(RAB!C131,'HARGA SATUAN'!$C$7:$C$1492,0),0)),"",OFFSET('HARGA SATUAN'!$D$6,MATCH(RAB!C131,'HARGA SATUAN'!$C$7:$C$1492,0),0))</f>
        <v>HDW</v>
      </c>
      <c r="E131" s="357" t="str">
        <f ca="1">IF(B131="+","Unit",IF(ISERROR(OFFSET('HARGA SATUAN'!$E$6,MATCH(RAB!C131,'HARGA SATUAN'!$C$7:$C$1492,0),0)),"",OFFSET('HARGA SATUAN'!$E$6,MATCH(RAB!C131,'HARGA SATUAN'!$C$7:$C$1492,0),0)))</f>
        <v>Bh</v>
      </c>
      <c r="F131" s="489">
        <f>F129*4</f>
        <v>4</v>
      </c>
      <c r="G131" s="358">
        <f ca="1">IF(ISERROR(OFFSET('HARGA SATUAN'!$I$6,MATCH(RAB!C131,'HARGA SATUAN'!$C$7:$C$1492,0),0)),0,OFFSET('HARGA SATUAN'!$I$6,MATCH(RAB!C131,'HARGA SATUAN'!$C$7:$C$1492,0),0))</f>
        <v>63500</v>
      </c>
      <c r="H131" s="359">
        <f t="shared" ca="1" si="24"/>
        <v>0</v>
      </c>
      <c r="I131" s="359">
        <f t="shared" ca="1" si="25"/>
        <v>254000</v>
      </c>
      <c r="J131" s="359">
        <f t="shared" ca="1" si="26"/>
        <v>0</v>
      </c>
      <c r="K131" s="360">
        <f t="shared" ca="1" si="27"/>
        <v>254000</v>
      </c>
      <c r="L131" s="367"/>
      <c r="M131" s="367"/>
      <c r="N131" s="367"/>
      <c r="O131" s="361"/>
      <c r="P131" s="361"/>
      <c r="Q131" s="344"/>
      <c r="R131" s="336"/>
      <c r="S131" s="362"/>
      <c r="T131" s="341"/>
      <c r="U131" s="341"/>
      <c r="V131" s="341"/>
    </row>
    <row r="132" spans="1:22" s="368" customFormat="1">
      <c r="A132" s="336"/>
      <c r="B132" s="692">
        <v>3</v>
      </c>
      <c r="C132" s="693" t="s">
        <v>604</v>
      </c>
      <c r="D132" s="356" t="str">
        <f ca="1">IF(ISERROR(OFFSET('HARGA SATUAN'!$D$6,MATCH(RAB!C132,'HARGA SATUAN'!$C$7:$C$1492,0),0)),"",OFFSET('HARGA SATUAN'!$D$6,MATCH(RAB!C132,'HARGA SATUAN'!$C$7:$C$1492,0),0))</f>
        <v>HDW</v>
      </c>
      <c r="E132" s="357" t="str">
        <f ca="1">IF(B132="+","Unit",IF(ISERROR(OFFSET('HARGA SATUAN'!$E$6,MATCH(RAB!C132,'HARGA SATUAN'!$C$7:$C$1492,0),0)),"",OFFSET('HARGA SATUAN'!$E$6,MATCH(RAB!C132,'HARGA SATUAN'!$C$7:$C$1492,0),0)))</f>
        <v>Bh</v>
      </c>
      <c r="F132" s="489">
        <f>F129*2</f>
        <v>2</v>
      </c>
      <c r="G132" s="358">
        <f ca="1">IF(ISERROR(OFFSET('HARGA SATUAN'!$I$6,MATCH(RAB!C132,'HARGA SATUAN'!$C$7:$C$1492,0),0)),0,OFFSET('HARGA SATUAN'!$I$6,MATCH(RAB!C132,'HARGA SATUAN'!$C$7:$C$1492,0),0))</f>
        <v>50000</v>
      </c>
      <c r="H132" s="359">
        <f t="shared" ca="1" si="24"/>
        <v>0</v>
      </c>
      <c r="I132" s="359">
        <f t="shared" ca="1" si="25"/>
        <v>100000</v>
      </c>
      <c r="J132" s="359">
        <f t="shared" ca="1" si="26"/>
        <v>0</v>
      </c>
      <c r="K132" s="360">
        <f t="shared" ca="1" si="27"/>
        <v>100000</v>
      </c>
      <c r="L132" s="367"/>
      <c r="M132" s="367"/>
      <c r="N132" s="367"/>
      <c r="O132" s="361"/>
      <c r="P132" s="361"/>
      <c r="Q132" s="344"/>
      <c r="R132" s="336"/>
      <c r="S132" s="362"/>
      <c r="T132" s="341"/>
      <c r="U132" s="341"/>
      <c r="V132" s="341"/>
    </row>
    <row r="133" spans="1:22" s="368" customFormat="1">
      <c r="A133" s="336"/>
      <c r="B133" s="692">
        <v>3</v>
      </c>
      <c r="C133" s="693" t="s">
        <v>769</v>
      </c>
      <c r="D133" s="356" t="str">
        <f ca="1">IF(ISERROR(OFFSET('HARGA SATUAN'!$D$6,MATCH(RAB!C133,'HARGA SATUAN'!$C$7:$C$1492,0),0)),"",OFFSET('HARGA SATUAN'!$D$6,MATCH(RAB!C133,'HARGA SATUAN'!$C$7:$C$1492,0),0))</f>
        <v>JASA</v>
      </c>
      <c r="E133" s="357" t="str">
        <f ca="1">IF(B133="+","Unit",IF(ISERROR(OFFSET('HARGA SATUAN'!$E$6,MATCH(RAB!C133,'HARGA SATUAN'!$C$7:$C$1492,0),0)),"",OFFSET('HARGA SATUAN'!$E$6,MATCH(RAB!C133,'HARGA SATUAN'!$C$7:$C$1492,0),0)))</f>
        <v>Unit</v>
      </c>
      <c r="F133" s="489">
        <f>F129*1</f>
        <v>1</v>
      </c>
      <c r="G133" s="358">
        <f ca="1">IF(ISERROR(OFFSET('HARGA SATUAN'!$I$6,MATCH(RAB!C133,'HARGA SATUAN'!$C$7:$C$1492,0),0)),0,OFFSET('HARGA SATUAN'!$I$6,MATCH(RAB!C133,'HARGA SATUAN'!$C$7:$C$1492,0),0))</f>
        <v>762100</v>
      </c>
      <c r="H133" s="359">
        <f t="shared" ca="1" si="24"/>
        <v>0</v>
      </c>
      <c r="I133" s="359">
        <f t="shared" ca="1" si="25"/>
        <v>0</v>
      </c>
      <c r="J133" s="359">
        <f t="shared" ca="1" si="26"/>
        <v>762100</v>
      </c>
      <c r="K133" s="360">
        <f t="shared" ca="1" si="27"/>
        <v>762100</v>
      </c>
      <c r="L133" s="367"/>
      <c r="M133" s="367"/>
      <c r="N133" s="367"/>
      <c r="O133" s="361"/>
      <c r="P133" s="361"/>
      <c r="Q133" s="344"/>
      <c r="R133" s="336"/>
      <c r="S133" s="362"/>
      <c r="T133" s="341"/>
      <c r="U133" s="341"/>
      <c r="V133" s="341"/>
    </row>
    <row r="134" spans="1:22" s="368" customFormat="1">
      <c r="A134" s="336"/>
      <c r="B134" s="692"/>
      <c r="C134" s="693"/>
      <c r="D134" s="356" t="str">
        <f ca="1">IF(ISERROR(OFFSET('HARGA SATUAN'!$D$6,MATCH(RAB!C134,'HARGA SATUAN'!$C$7:$C$1492,0),0)),"",OFFSET('HARGA SATUAN'!$D$6,MATCH(RAB!C134,'HARGA SATUAN'!$C$7:$C$1492,0),0))</f>
        <v/>
      </c>
      <c r="E134" s="357" t="str">
        <f ca="1">IF(B134="+","Unit",IF(ISERROR(OFFSET('HARGA SATUAN'!$E$6,MATCH(RAB!C134,'HARGA SATUAN'!$C$7:$C$1492,0),0)),"",OFFSET('HARGA SATUAN'!$E$6,MATCH(RAB!C134,'HARGA SATUAN'!$C$7:$C$1492,0),0)))</f>
        <v/>
      </c>
      <c r="F134" s="714"/>
      <c r="G134" s="358">
        <f ca="1">IF(ISERROR(OFFSET('HARGA SATUAN'!$I$6,MATCH(RAB!C134,'HARGA SATUAN'!$C$7:$C$1492,0),0)),0,OFFSET('HARGA SATUAN'!$I$6,MATCH(RAB!C134,'HARGA SATUAN'!$C$7:$C$1492,0),0))</f>
        <v>0</v>
      </c>
      <c r="H134" s="359">
        <f t="shared" ca="1" si="24"/>
        <v>0</v>
      </c>
      <c r="I134" s="359">
        <f t="shared" ca="1" si="25"/>
        <v>0</v>
      </c>
      <c r="J134" s="359">
        <f t="shared" ca="1" si="26"/>
        <v>0</v>
      </c>
      <c r="K134" s="360">
        <f t="shared" ca="1" si="27"/>
        <v>0</v>
      </c>
      <c r="L134" s="367"/>
      <c r="M134" s="367"/>
      <c r="N134" s="367"/>
      <c r="O134" s="361"/>
      <c r="P134" s="361"/>
      <c r="Q134" s="344"/>
      <c r="R134" s="336"/>
      <c r="S134" s="362"/>
      <c r="T134" s="341"/>
      <c r="U134" s="341"/>
      <c r="V134" s="341"/>
    </row>
    <row r="135" spans="1:22" s="368" customFormat="1">
      <c r="A135" s="336"/>
      <c r="B135" s="692" t="s">
        <v>1035</v>
      </c>
      <c r="C135" s="693" t="s">
        <v>1626</v>
      </c>
      <c r="D135" s="356" t="str">
        <f ca="1">IF(ISERROR(OFFSET('HARGA SATUAN'!$D$6,MATCH(RAB!C135,'HARGA SATUAN'!$C$7:$C$1492,0),0)),"",OFFSET('HARGA SATUAN'!$D$6,MATCH(RAB!C135,'HARGA SATUAN'!$C$7:$C$1492,0),0))</f>
        <v/>
      </c>
      <c r="E135" s="357" t="str">
        <f ca="1">IF(B135="+","Unit",IF(ISERROR(OFFSET('HARGA SATUAN'!$E$6,MATCH(RAB!C135,'HARGA SATUAN'!$C$7:$C$1492,0),0)),"",OFFSET('HARGA SATUAN'!$E$6,MATCH(RAB!C135,'HARGA SATUAN'!$C$7:$C$1492,0),0)))</f>
        <v>Unit</v>
      </c>
      <c r="F135" s="489">
        <v>3</v>
      </c>
      <c r="G135" s="358">
        <f ca="1">IF(ISERROR(OFFSET('HARGA SATUAN'!$I$6,MATCH(RAB!C135,'HARGA SATUAN'!$C$7:$C$1492,0),0)),0,OFFSET('HARGA SATUAN'!$I$6,MATCH(RAB!C135,'HARGA SATUAN'!$C$7:$C$1492,0),0))</f>
        <v>0</v>
      </c>
      <c r="H135" s="359">
        <f t="shared" ca="1" si="20"/>
        <v>0</v>
      </c>
      <c r="I135" s="359">
        <f t="shared" ca="1" si="21"/>
        <v>0</v>
      </c>
      <c r="J135" s="359">
        <f t="shared" ca="1" si="22"/>
        <v>0</v>
      </c>
      <c r="K135" s="360">
        <f t="shared" ca="1" si="23"/>
        <v>0</v>
      </c>
      <c r="L135" s="367"/>
      <c r="M135" s="367"/>
      <c r="N135" s="367"/>
      <c r="O135" s="361"/>
      <c r="P135" s="361"/>
      <c r="Q135" s="344"/>
      <c r="R135" s="336"/>
      <c r="S135" s="362"/>
      <c r="T135" s="341"/>
      <c r="U135" s="341"/>
      <c r="V135" s="341"/>
    </row>
    <row r="136" spans="1:22" s="368" customFormat="1">
      <c r="A136" s="336"/>
      <c r="B136" s="692">
        <v>1</v>
      </c>
      <c r="C136" s="693" t="s">
        <v>30</v>
      </c>
      <c r="D136" s="356" t="str">
        <f ca="1">IF(ISERROR(OFFSET('HARGA SATUAN'!$D$6,MATCH(RAB!C136,'HARGA SATUAN'!$C$7:$C$1492,0),0)),"",OFFSET('HARGA SATUAN'!$D$6,MATCH(RAB!C136,'HARGA SATUAN'!$C$7:$C$1492,0),0))</f>
        <v>HDW</v>
      </c>
      <c r="E136" s="357" t="str">
        <f ca="1">IF(B136="+","Unit",IF(ISERROR(OFFSET('HARGA SATUAN'!$E$6,MATCH(RAB!C136,'HARGA SATUAN'!$C$7:$C$1492,0),0)),"",OFFSET('HARGA SATUAN'!$E$6,MATCH(RAB!C136,'HARGA SATUAN'!$C$7:$C$1492,0),0)))</f>
        <v>Bh</v>
      </c>
      <c r="F136" s="489">
        <f>F135*1</f>
        <v>3</v>
      </c>
      <c r="G136" s="358">
        <f ca="1">IF(ISERROR(OFFSET('HARGA SATUAN'!$I$6,MATCH(RAB!C136,'HARGA SATUAN'!$C$7:$C$1492,0),0)),0,OFFSET('HARGA SATUAN'!$I$6,MATCH(RAB!C136,'HARGA SATUAN'!$C$7:$C$1492,0),0))</f>
        <v>47459</v>
      </c>
      <c r="H136" s="359">
        <f t="shared" ca="1" si="20"/>
        <v>0</v>
      </c>
      <c r="I136" s="359">
        <f t="shared" ca="1" si="21"/>
        <v>142377</v>
      </c>
      <c r="J136" s="359">
        <f t="shared" ca="1" si="22"/>
        <v>0</v>
      </c>
      <c r="K136" s="360">
        <f t="shared" ca="1" si="23"/>
        <v>142377</v>
      </c>
      <c r="L136" s="367"/>
      <c r="M136" s="367"/>
      <c r="N136" s="367"/>
      <c r="O136" s="361"/>
      <c r="P136" s="361"/>
      <c r="Q136" s="344"/>
      <c r="R136" s="336"/>
      <c r="S136" s="362"/>
      <c r="T136" s="341"/>
      <c r="U136" s="341"/>
      <c r="V136" s="341"/>
    </row>
    <row r="137" spans="1:22" s="368" customFormat="1">
      <c r="A137" s="336"/>
      <c r="B137" s="692">
        <v>2</v>
      </c>
      <c r="C137" s="693" t="s">
        <v>32</v>
      </c>
      <c r="D137" s="356" t="str">
        <f ca="1">IF(ISERROR(OFFSET('HARGA SATUAN'!$D$6,MATCH(RAB!C137,'HARGA SATUAN'!$C$7:$C$1492,0),0)),"",OFFSET('HARGA SATUAN'!$D$6,MATCH(RAB!C137,'HARGA SATUAN'!$C$7:$C$1492,0),0))</f>
        <v>HDW</v>
      </c>
      <c r="E137" s="357" t="str">
        <f ca="1">IF(B137="+","Unit",IF(ISERROR(OFFSET('HARGA SATUAN'!$E$6,MATCH(RAB!C137,'HARGA SATUAN'!$C$7:$C$1492,0),0)),"",OFFSET('HARGA SATUAN'!$E$6,MATCH(RAB!C137,'HARGA SATUAN'!$C$7:$C$1492,0),0)))</f>
        <v>Mtr</v>
      </c>
      <c r="F137" s="489">
        <f>F135*1</f>
        <v>3</v>
      </c>
      <c r="G137" s="358">
        <f ca="1">IF(ISERROR(OFFSET('HARGA SATUAN'!$I$6,MATCH(RAB!C137,'HARGA SATUAN'!$C$7:$C$1492,0),0)),0,OFFSET('HARGA SATUAN'!$I$6,MATCH(RAB!C137,'HARGA SATUAN'!$C$7:$C$1492,0),0))</f>
        <v>30000</v>
      </c>
      <c r="H137" s="359">
        <f t="shared" ca="1" si="20"/>
        <v>0</v>
      </c>
      <c r="I137" s="359">
        <f t="shared" ca="1" si="21"/>
        <v>90000</v>
      </c>
      <c r="J137" s="359">
        <f t="shared" ca="1" si="22"/>
        <v>0</v>
      </c>
      <c r="K137" s="360">
        <f t="shared" ca="1" si="23"/>
        <v>90000</v>
      </c>
      <c r="L137" s="367"/>
      <c r="M137" s="367"/>
      <c r="N137" s="367"/>
      <c r="O137" s="361"/>
      <c r="P137" s="361"/>
      <c r="Q137" s="344"/>
      <c r="R137" s="336"/>
      <c r="S137" s="362"/>
      <c r="T137" s="341"/>
      <c r="U137" s="341"/>
      <c r="V137" s="341"/>
    </row>
    <row r="138" spans="1:22" s="368" customFormat="1">
      <c r="A138" s="336"/>
      <c r="B138" s="692">
        <v>3</v>
      </c>
      <c r="C138" s="693" t="s">
        <v>33</v>
      </c>
      <c r="D138" s="356" t="str">
        <f ca="1">IF(ISERROR(OFFSET('HARGA SATUAN'!$D$6,MATCH(RAB!C138,'HARGA SATUAN'!$C$7:$C$1492,0),0)),"",OFFSET('HARGA SATUAN'!$D$6,MATCH(RAB!C138,'HARGA SATUAN'!$C$7:$C$1492,0),0))</f>
        <v>HDW</v>
      </c>
      <c r="E138" s="357" t="str">
        <f ca="1">IF(B138="+","Unit",IF(ISERROR(OFFSET('HARGA SATUAN'!$E$6,MATCH(RAB!C138,'HARGA SATUAN'!$C$7:$C$1492,0),0)),"",OFFSET('HARGA SATUAN'!$E$6,MATCH(RAB!C138,'HARGA SATUAN'!$C$7:$C$1492,0),0)))</f>
        <v>Bh</v>
      </c>
      <c r="F138" s="489">
        <f>F135*1</f>
        <v>3</v>
      </c>
      <c r="G138" s="358">
        <f ca="1">IF(ISERROR(OFFSET('HARGA SATUAN'!$I$6,MATCH(RAB!C138,'HARGA SATUAN'!$C$7:$C$1492,0),0)),0,OFFSET('HARGA SATUAN'!$I$6,MATCH(RAB!C138,'HARGA SATUAN'!$C$7:$C$1492,0),0))</f>
        <v>9500</v>
      </c>
      <c r="H138" s="359">
        <f t="shared" ca="1" si="20"/>
        <v>0</v>
      </c>
      <c r="I138" s="359">
        <f t="shared" ca="1" si="21"/>
        <v>28500</v>
      </c>
      <c r="J138" s="359">
        <f t="shared" ca="1" si="22"/>
        <v>0</v>
      </c>
      <c r="K138" s="360">
        <f t="shared" ca="1" si="23"/>
        <v>28500</v>
      </c>
      <c r="L138" s="367"/>
      <c r="M138" s="367"/>
      <c r="N138" s="367"/>
      <c r="O138" s="361"/>
      <c r="P138" s="361"/>
      <c r="Q138" s="344"/>
      <c r="R138" s="336"/>
      <c r="S138" s="362"/>
      <c r="T138" s="341"/>
      <c r="U138" s="341"/>
      <c r="V138" s="341"/>
    </row>
    <row r="139" spans="1:22" s="368" customFormat="1">
      <c r="A139" s="336"/>
      <c r="B139" s="692">
        <v>4</v>
      </c>
      <c r="C139" s="693" t="s">
        <v>738</v>
      </c>
      <c r="D139" s="356" t="str">
        <f ca="1">IF(ISERROR(OFFSET('HARGA SATUAN'!$D$6,MATCH(RAB!C139,'HARGA SATUAN'!$C$7:$C$1492,0),0)),"",OFFSET('HARGA SATUAN'!$D$6,MATCH(RAB!C139,'HARGA SATUAN'!$C$7:$C$1492,0),0))</f>
        <v>JASA</v>
      </c>
      <c r="E139" s="357" t="str">
        <f ca="1">IF(B139="+","Unit",IF(ISERROR(OFFSET('HARGA SATUAN'!$E$6,MATCH(RAB!C139,'HARGA SATUAN'!$C$7:$C$1492,0),0)),"",OFFSET('HARGA SATUAN'!$E$6,MATCH(RAB!C139,'HARGA SATUAN'!$C$7:$C$1492,0),0)))</f>
        <v>Unit</v>
      </c>
      <c r="F139" s="489">
        <f>F135*1</f>
        <v>3</v>
      </c>
      <c r="G139" s="358">
        <f ca="1">IF(ISERROR(OFFSET('HARGA SATUAN'!$I$6,MATCH(RAB!C139,'HARGA SATUAN'!$C$7:$C$1492,0),0)),0,OFFSET('HARGA SATUAN'!$I$6,MATCH(RAB!C139,'HARGA SATUAN'!$C$7:$C$1492,0),0))</f>
        <v>21200</v>
      </c>
      <c r="H139" s="359">
        <f t="shared" ca="1" si="20"/>
        <v>0</v>
      </c>
      <c r="I139" s="359">
        <f t="shared" ca="1" si="21"/>
        <v>0</v>
      </c>
      <c r="J139" s="359">
        <f t="shared" ca="1" si="22"/>
        <v>63600</v>
      </c>
      <c r="K139" s="360">
        <f t="shared" ca="1" si="23"/>
        <v>63600</v>
      </c>
      <c r="L139" s="367"/>
      <c r="M139" s="367"/>
      <c r="N139" s="367"/>
      <c r="O139" s="361"/>
      <c r="P139" s="361"/>
      <c r="Q139" s="344"/>
      <c r="R139" s="336"/>
      <c r="S139" s="362"/>
      <c r="T139" s="341"/>
      <c r="U139" s="341"/>
      <c r="V139" s="341"/>
    </row>
    <row r="140" spans="1:22" s="368" customFormat="1">
      <c r="A140" s="336"/>
      <c r="B140" s="692"/>
      <c r="C140" s="693"/>
      <c r="D140" s="356" t="str">
        <f ca="1">IF(ISERROR(OFFSET('HARGA SATUAN'!$D$6,MATCH(RAB!C140,'HARGA SATUAN'!$C$7:$C$1492,0),0)),"",OFFSET('HARGA SATUAN'!$D$6,MATCH(RAB!C140,'HARGA SATUAN'!$C$7:$C$1492,0),0))</f>
        <v/>
      </c>
      <c r="E140" s="357" t="str">
        <f ca="1">IF(B140="+","Unit",IF(ISERROR(OFFSET('HARGA SATUAN'!$E$6,MATCH(RAB!C140,'HARGA SATUAN'!$C$7:$C$1492,0),0)),"",OFFSET('HARGA SATUAN'!$E$6,MATCH(RAB!C140,'HARGA SATUAN'!$C$7:$C$1492,0),0)))</f>
        <v/>
      </c>
      <c r="F140" s="714"/>
      <c r="G140" s="358">
        <f ca="1">IF(ISERROR(OFFSET('HARGA SATUAN'!$I$6,MATCH(RAB!C140,'HARGA SATUAN'!$C$7:$C$1492,0),0)),0,OFFSET('HARGA SATUAN'!$I$6,MATCH(RAB!C140,'HARGA SATUAN'!$C$7:$C$1492,0),0))</f>
        <v>0</v>
      </c>
      <c r="H140" s="359">
        <f t="shared" ca="1" si="20"/>
        <v>0</v>
      </c>
      <c r="I140" s="359">
        <f t="shared" ca="1" si="21"/>
        <v>0</v>
      </c>
      <c r="J140" s="359">
        <f t="shared" ca="1" si="22"/>
        <v>0</v>
      </c>
      <c r="K140" s="360">
        <f t="shared" ca="1" si="23"/>
        <v>0</v>
      </c>
      <c r="L140" s="367"/>
      <c r="M140" s="367"/>
      <c r="N140" s="367"/>
      <c r="O140" s="361"/>
      <c r="P140" s="361"/>
      <c r="Q140" s="344"/>
      <c r="R140" s="336"/>
      <c r="S140" s="362"/>
      <c r="T140" s="341"/>
      <c r="U140" s="341"/>
      <c r="V140" s="341"/>
    </row>
    <row r="141" spans="1:22" s="368" customFormat="1">
      <c r="A141" s="336"/>
      <c r="B141" s="737" t="s">
        <v>1035</v>
      </c>
      <c r="C141" s="735" t="s">
        <v>1627</v>
      </c>
      <c r="D141" s="356" t="str">
        <f ca="1">IF(ISERROR(OFFSET('HARGA SATUAN'!$D$6,MATCH(RAB!C141,'HARGA SATUAN'!$C$7:$C$1492,0),0)),"",OFFSET('HARGA SATUAN'!$D$6,MATCH(RAB!C141,'HARGA SATUAN'!$C$7:$C$1492,0),0))</f>
        <v/>
      </c>
      <c r="E141" s="357" t="str">
        <f ca="1">IF(B141="+","Unit",IF(ISERROR(OFFSET('HARGA SATUAN'!$E$6,MATCH(RAB!C141,'HARGA SATUAN'!$C$7:$C$1492,0),0)),"",OFFSET('HARGA SATUAN'!$E$6,MATCH(RAB!C141,'HARGA SATUAN'!$C$7:$C$1492,0),0)))</f>
        <v>Unit</v>
      </c>
      <c r="F141" s="714"/>
      <c r="G141" s="358">
        <f ca="1">IF(ISERROR(OFFSET('HARGA SATUAN'!$I$6,MATCH(RAB!C141,'HARGA SATUAN'!$C$7:$C$1492,0),0)),0,OFFSET('HARGA SATUAN'!$I$6,MATCH(RAB!C141,'HARGA SATUAN'!$C$7:$C$1492,0),0))</f>
        <v>0</v>
      </c>
      <c r="H141" s="359">
        <f t="shared" ca="1" si="20"/>
        <v>0</v>
      </c>
      <c r="I141" s="359">
        <f t="shared" ca="1" si="21"/>
        <v>0</v>
      </c>
      <c r="J141" s="359">
        <f t="shared" ca="1" si="22"/>
        <v>0</v>
      </c>
      <c r="K141" s="360">
        <f t="shared" ca="1" si="23"/>
        <v>0</v>
      </c>
      <c r="L141" s="367"/>
      <c r="M141" s="367"/>
      <c r="N141" s="367"/>
      <c r="O141" s="361"/>
      <c r="P141" s="361"/>
      <c r="Q141" s="344"/>
      <c r="R141" s="336"/>
      <c r="S141" s="362"/>
      <c r="T141" s="341"/>
      <c r="U141" s="341"/>
      <c r="V141" s="341"/>
    </row>
    <row r="142" spans="1:22" s="368" customFormat="1">
      <c r="A142" s="336"/>
      <c r="B142" s="694">
        <v>1</v>
      </c>
      <c r="C142" s="109" t="s">
        <v>66</v>
      </c>
      <c r="D142" s="356" t="str">
        <f ca="1">IF(ISERROR(OFFSET('HARGA SATUAN'!$D$6,MATCH(RAB!C142,'HARGA SATUAN'!$C$7:$C$1492,0),0)),"",OFFSET('HARGA SATUAN'!$D$6,MATCH(RAB!C142,'HARGA SATUAN'!$C$7:$C$1492,0),0))</f>
        <v>MDU-KD</v>
      </c>
      <c r="E142" s="357" t="str">
        <f ca="1">IF(B142="+","Unit",IF(ISERROR(OFFSET('HARGA SATUAN'!$E$6,MATCH(RAB!C142,'HARGA SATUAN'!$C$7:$C$1492,0),0)),"",OFFSET('HARGA SATUAN'!$E$6,MATCH(RAB!C142,'HARGA SATUAN'!$C$7:$C$1492,0),0)))</f>
        <v>Mtr</v>
      </c>
      <c r="F142" s="714">
        <v>1900</v>
      </c>
      <c r="G142" s="358">
        <f ca="1">IF(ISERROR(OFFSET('HARGA SATUAN'!$I$6,MATCH(RAB!C142,'HARGA SATUAN'!$C$7:$C$1492,0),0)),0,OFFSET('HARGA SATUAN'!$I$6,MATCH(RAB!C142,'HARGA SATUAN'!$C$7:$C$1492,0),0))</f>
        <v>25300</v>
      </c>
      <c r="H142" s="359">
        <f t="shared" ca="1" si="20"/>
        <v>48070000</v>
      </c>
      <c r="I142" s="359">
        <f t="shared" ca="1" si="21"/>
        <v>0</v>
      </c>
      <c r="J142" s="359">
        <f t="shared" ca="1" si="22"/>
        <v>0</v>
      </c>
      <c r="K142" s="360">
        <f t="shared" ca="1" si="23"/>
        <v>48070000</v>
      </c>
      <c r="L142" s="367"/>
      <c r="M142" s="367"/>
      <c r="N142" s="367"/>
      <c r="O142" s="361"/>
      <c r="P142" s="361"/>
      <c r="Q142" s="344"/>
      <c r="R142" s="336"/>
      <c r="S142" s="362"/>
      <c r="T142" s="341"/>
      <c r="U142" s="341"/>
      <c r="V142" s="341"/>
    </row>
    <row r="143" spans="1:22" s="368" customFormat="1" ht="30">
      <c r="A143" s="336"/>
      <c r="B143" s="694">
        <v>2</v>
      </c>
      <c r="C143" s="109" t="s">
        <v>1202</v>
      </c>
      <c r="D143" s="356" t="str">
        <f ca="1">IF(ISERROR(OFFSET('HARGA SATUAN'!$D$6,MATCH(RAB!C143,'HARGA SATUAN'!$C$7:$C$1492,0),0)),"",OFFSET('HARGA SATUAN'!$D$6,MATCH(RAB!C143,'HARGA SATUAN'!$C$7:$C$1492,0),0))</f>
        <v>JASA</v>
      </c>
      <c r="E143" s="357" t="str">
        <f ca="1">IF(B143="+","Unit",IF(ISERROR(OFFSET('HARGA SATUAN'!$E$6,MATCH(RAB!C143,'HARGA SATUAN'!$C$7:$C$1492,0),0)),"",OFFSET('HARGA SATUAN'!$E$6,MATCH(RAB!C143,'HARGA SATUAN'!$C$7:$C$1492,0),0)))</f>
        <v>Per Kms</v>
      </c>
      <c r="F143" s="714">
        <v>0.25</v>
      </c>
      <c r="G143" s="358">
        <f ca="1">IF(ISERROR(OFFSET('HARGA SATUAN'!$I$6,MATCH(RAB!C143,'HARGA SATUAN'!$C$7:$C$1492,0),0)),0,OFFSET('HARGA SATUAN'!$I$6,MATCH(RAB!C143,'HARGA SATUAN'!$C$7:$C$1492,0),0))</f>
        <v>7034000</v>
      </c>
      <c r="H143" s="359">
        <f t="shared" ca="1" si="20"/>
        <v>0</v>
      </c>
      <c r="I143" s="359">
        <f t="shared" ca="1" si="21"/>
        <v>0</v>
      </c>
      <c r="J143" s="359">
        <f t="shared" ca="1" si="22"/>
        <v>1758500</v>
      </c>
      <c r="K143" s="360">
        <f t="shared" ca="1" si="23"/>
        <v>1758500</v>
      </c>
      <c r="L143" s="367"/>
      <c r="M143" s="367"/>
      <c r="N143" s="367"/>
      <c r="O143" s="361"/>
      <c r="P143" s="361"/>
      <c r="Q143" s="344"/>
      <c r="R143" s="336"/>
      <c r="S143" s="362"/>
      <c r="T143" s="341"/>
      <c r="U143" s="341"/>
      <c r="V143" s="341"/>
    </row>
    <row r="144" spans="1:22" s="368" customFormat="1">
      <c r="A144" s="336"/>
      <c r="B144" s="692"/>
      <c r="C144" s="693"/>
      <c r="D144" s="356" t="str">
        <f ca="1">IF(ISERROR(OFFSET('HARGA SATUAN'!$D$6,MATCH(RAB!C144,'HARGA SATUAN'!$C$7:$C$1492,0),0)),"",OFFSET('HARGA SATUAN'!$D$6,MATCH(RAB!C144,'HARGA SATUAN'!$C$7:$C$1492,0),0))</f>
        <v/>
      </c>
      <c r="E144" s="357" t="str">
        <f ca="1">IF(B144="+","Unit",IF(ISERROR(OFFSET('HARGA SATUAN'!$E$6,MATCH(RAB!C144,'HARGA SATUAN'!$C$7:$C$1492,0),0)),"",OFFSET('HARGA SATUAN'!$E$6,MATCH(RAB!C144,'HARGA SATUAN'!$C$7:$C$1492,0),0)))</f>
        <v/>
      </c>
      <c r="F144" s="714"/>
      <c r="G144" s="358">
        <f ca="1">IF(ISERROR(OFFSET('HARGA SATUAN'!$I$6,MATCH(RAB!C144,'HARGA SATUAN'!$C$7:$C$1492,0),0)),0,OFFSET('HARGA SATUAN'!$I$6,MATCH(RAB!C144,'HARGA SATUAN'!$C$7:$C$1492,0),0))</f>
        <v>0</v>
      </c>
      <c r="H144" s="359">
        <f t="shared" ca="1" si="20"/>
        <v>0</v>
      </c>
      <c r="I144" s="359">
        <f t="shared" ca="1" si="21"/>
        <v>0</v>
      </c>
      <c r="J144" s="359">
        <f t="shared" ca="1" si="22"/>
        <v>0</v>
      </c>
      <c r="K144" s="360">
        <f t="shared" ca="1" si="23"/>
        <v>0</v>
      </c>
      <c r="L144" s="367"/>
      <c r="M144" s="367"/>
      <c r="N144" s="367"/>
      <c r="O144" s="361"/>
      <c r="P144" s="361"/>
      <c r="Q144" s="344"/>
      <c r="R144" s="336"/>
      <c r="S144" s="362"/>
      <c r="T144" s="341"/>
      <c r="U144" s="341"/>
      <c r="V144" s="341"/>
    </row>
    <row r="145" spans="1:22" s="368" customFormat="1">
      <c r="A145" s="336"/>
      <c r="B145" s="738" t="s">
        <v>1035</v>
      </c>
      <c r="C145" s="739" t="s">
        <v>1668</v>
      </c>
      <c r="D145" s="356" t="str">
        <f ca="1">IF(ISERROR(OFFSET('HARGA SATUAN'!$D$6,MATCH(RAB!C145,'HARGA SATUAN'!$C$7:$C$1492,0),0)),"",OFFSET('HARGA SATUAN'!$D$6,MATCH(RAB!C145,'HARGA SATUAN'!$C$7:$C$1492,0),0))</f>
        <v/>
      </c>
      <c r="E145" s="357" t="str">
        <f ca="1">IF(B145="+","Unit",IF(ISERROR(OFFSET('HARGA SATUAN'!$E$6,MATCH(RAB!C145,'HARGA SATUAN'!$C$7:$C$1492,0),0)),"",OFFSET('HARGA SATUAN'!$E$6,MATCH(RAB!C145,'HARGA SATUAN'!$C$7:$C$1492,0),0)))</f>
        <v>Unit</v>
      </c>
      <c r="F145" s="714"/>
      <c r="G145" s="358">
        <f ca="1">IF(ISERROR(OFFSET('HARGA SATUAN'!$I$6,MATCH(RAB!C145,'HARGA SATUAN'!$C$7:$C$1492,0),0)),0,OFFSET('HARGA SATUAN'!$I$6,MATCH(RAB!C145,'HARGA SATUAN'!$C$7:$C$1492,0),0))</f>
        <v>0</v>
      </c>
      <c r="H145" s="359">
        <f t="shared" ca="1" si="20"/>
        <v>0</v>
      </c>
      <c r="I145" s="359">
        <f t="shared" ca="1" si="21"/>
        <v>0</v>
      </c>
      <c r="J145" s="359">
        <f t="shared" ca="1" si="22"/>
        <v>0</v>
      </c>
      <c r="K145" s="360">
        <f t="shared" ca="1" si="23"/>
        <v>0</v>
      </c>
      <c r="L145" s="367"/>
      <c r="M145" s="367"/>
      <c r="N145" s="367"/>
      <c r="O145" s="361"/>
      <c r="P145" s="361"/>
      <c r="Q145" s="344"/>
      <c r="R145" s="336"/>
      <c r="S145" s="362"/>
      <c r="T145" s="341"/>
      <c r="U145" s="341"/>
      <c r="V145" s="341"/>
    </row>
    <row r="146" spans="1:22" s="368" customFormat="1">
      <c r="A146" s="336"/>
      <c r="B146" s="692"/>
      <c r="C146" s="693"/>
      <c r="D146" s="356" t="str">
        <f ca="1">IF(ISERROR(OFFSET('HARGA SATUAN'!$D$6,MATCH(RAB!C146,'HARGA SATUAN'!$C$7:$C$1492,0),0)),"",OFFSET('HARGA SATUAN'!$D$6,MATCH(RAB!C146,'HARGA SATUAN'!$C$7:$C$1492,0),0))</f>
        <v/>
      </c>
      <c r="E146" s="357" t="str">
        <f ca="1">IF(B146="+","Unit",IF(ISERROR(OFFSET('HARGA SATUAN'!$E$6,MATCH(RAB!C146,'HARGA SATUAN'!$C$7:$C$1492,0),0)),"",OFFSET('HARGA SATUAN'!$E$6,MATCH(RAB!C146,'HARGA SATUAN'!$C$7:$C$1492,0),0)))</f>
        <v/>
      </c>
      <c r="F146" s="714"/>
      <c r="G146" s="358">
        <f ca="1">IF(ISERROR(OFFSET('HARGA SATUAN'!$I$6,MATCH(RAB!C146,'HARGA SATUAN'!$C$7:$C$1492,0),0)),0,OFFSET('HARGA SATUAN'!$I$6,MATCH(RAB!C146,'HARGA SATUAN'!$C$7:$C$1492,0),0))</f>
        <v>0</v>
      </c>
      <c r="H146" s="359">
        <f t="shared" ca="1" si="20"/>
        <v>0</v>
      </c>
      <c r="I146" s="359">
        <f t="shared" ca="1" si="21"/>
        <v>0</v>
      </c>
      <c r="J146" s="359">
        <f t="shared" ca="1" si="22"/>
        <v>0</v>
      </c>
      <c r="K146" s="360">
        <f t="shared" ca="1" si="23"/>
        <v>0</v>
      </c>
      <c r="L146" s="367"/>
      <c r="M146" s="367"/>
      <c r="N146" s="367"/>
      <c r="O146" s="361"/>
      <c r="P146" s="361"/>
      <c r="Q146" s="344"/>
      <c r="R146" s="336"/>
      <c r="S146" s="362"/>
      <c r="T146" s="341"/>
      <c r="U146" s="341"/>
      <c r="V146" s="341"/>
    </row>
    <row r="147" spans="1:22" s="368" customFormat="1">
      <c r="A147" s="336"/>
      <c r="B147" s="692" t="s">
        <v>1035</v>
      </c>
      <c r="C147" s="693" t="s">
        <v>1621</v>
      </c>
      <c r="D147" s="356" t="str">
        <f ca="1">IF(ISERROR(OFFSET('HARGA SATUAN'!$D$6,MATCH(RAB!C147,'HARGA SATUAN'!$C$7:$C$1492,0),0)),"",OFFSET('HARGA SATUAN'!$D$6,MATCH(RAB!C147,'HARGA SATUAN'!$C$7:$C$1492,0),0))</f>
        <v/>
      </c>
      <c r="E147" s="357" t="str">
        <f ca="1">IF(B147="+","Unit",IF(ISERROR(OFFSET('HARGA SATUAN'!$E$6,MATCH(RAB!C147,'HARGA SATUAN'!$C$7:$C$1492,0),0)),"",OFFSET('HARGA SATUAN'!$E$6,MATCH(RAB!C147,'HARGA SATUAN'!$C$7:$C$1492,0),0)))</f>
        <v>Unit</v>
      </c>
      <c r="F147" s="489">
        <v>5</v>
      </c>
      <c r="G147" s="358">
        <f ca="1">IF(ISERROR(OFFSET('HARGA SATUAN'!$I$6,MATCH(RAB!C147,'HARGA SATUAN'!$C$7:$C$1492,0),0)),0,OFFSET('HARGA SATUAN'!$I$6,MATCH(RAB!C147,'HARGA SATUAN'!$C$7:$C$1492,0),0))</f>
        <v>0</v>
      </c>
      <c r="H147" s="359">
        <f t="shared" ca="1" si="20"/>
        <v>0</v>
      </c>
      <c r="I147" s="359">
        <f t="shared" ca="1" si="21"/>
        <v>0</v>
      </c>
      <c r="J147" s="359">
        <f t="shared" ca="1" si="22"/>
        <v>0</v>
      </c>
      <c r="K147" s="360">
        <f t="shared" ca="1" si="23"/>
        <v>0</v>
      </c>
      <c r="L147" s="367"/>
      <c r="M147" s="367"/>
      <c r="N147" s="367"/>
      <c r="O147" s="361"/>
      <c r="P147" s="361"/>
      <c r="Q147" s="344"/>
      <c r="R147" s="336"/>
      <c r="S147" s="362"/>
      <c r="T147" s="341"/>
      <c r="U147" s="341"/>
      <c r="V147" s="341"/>
    </row>
    <row r="148" spans="1:22" s="368" customFormat="1">
      <c r="A148" s="336"/>
      <c r="B148" s="692">
        <v>1</v>
      </c>
      <c r="C148" s="109" t="s">
        <v>1564</v>
      </c>
      <c r="D148" s="356" t="str">
        <f ca="1">IF(ISERROR(OFFSET('HARGA SATUAN'!$D$6,MATCH(RAB!C148,'HARGA SATUAN'!$C$7:$C$1492,0),0)),"",OFFSET('HARGA SATUAN'!$D$6,MATCH(RAB!C148,'HARGA SATUAN'!$C$7:$C$1492,0),0))</f>
        <v>MDU-KD</v>
      </c>
      <c r="E148" s="357" t="str">
        <f ca="1">IF(B148="+","Unit",IF(ISERROR(OFFSET('HARGA SATUAN'!$E$6,MATCH(RAB!C148,'HARGA SATUAN'!$C$7:$C$1492,0),0)),"",OFFSET('HARGA SATUAN'!$E$6,MATCH(RAB!C148,'HARGA SATUAN'!$C$7:$C$1492,0),0)))</f>
        <v>Bh</v>
      </c>
      <c r="F148" s="489">
        <f>F147*1</f>
        <v>5</v>
      </c>
      <c r="G148" s="358">
        <f ca="1">IF(ISERROR(OFFSET('HARGA SATUAN'!$I$6,MATCH(RAB!C148,'HARGA SATUAN'!$C$7:$C$1492,0),0)),0,OFFSET('HARGA SATUAN'!$I$6,MATCH(RAB!C148,'HARGA SATUAN'!$C$7:$C$1492,0),0))</f>
        <v>235900</v>
      </c>
      <c r="H148" s="359">
        <f t="shared" ca="1" si="20"/>
        <v>1179500</v>
      </c>
      <c r="I148" s="359">
        <f t="shared" ca="1" si="21"/>
        <v>0</v>
      </c>
      <c r="J148" s="359">
        <f t="shared" ca="1" si="22"/>
        <v>0</v>
      </c>
      <c r="K148" s="360">
        <f t="shared" ca="1" si="23"/>
        <v>1179500</v>
      </c>
      <c r="L148" s="367"/>
      <c r="M148" s="367"/>
      <c r="N148" s="367"/>
      <c r="O148" s="361"/>
      <c r="P148" s="361"/>
      <c r="Q148" s="344"/>
      <c r="R148" s="336"/>
      <c r="S148" s="362"/>
      <c r="T148" s="341"/>
      <c r="U148" s="341"/>
      <c r="V148" s="341"/>
    </row>
    <row r="149" spans="1:22" s="368" customFormat="1">
      <c r="A149" s="336"/>
      <c r="B149" s="692">
        <v>2</v>
      </c>
      <c r="C149" s="109" t="s">
        <v>1564</v>
      </c>
      <c r="D149" s="356" t="str">
        <f ca="1">IF(ISERROR(OFFSET('HARGA SATUAN'!$D$6,MATCH(RAB!C149,'HARGA SATUAN'!$C$7:$C$1492,0),0)),"",OFFSET('HARGA SATUAN'!$D$6,MATCH(RAB!C149,'HARGA SATUAN'!$C$7:$C$1492,0),0))</f>
        <v>MDU-KD</v>
      </c>
      <c r="E149" s="357" t="str">
        <f ca="1">IF(B149="+","Unit",IF(ISERROR(OFFSET('HARGA SATUAN'!$E$6,MATCH(RAB!C149,'HARGA SATUAN'!$C$7:$C$1492,0),0)),"",OFFSET('HARGA SATUAN'!$E$6,MATCH(RAB!C149,'HARGA SATUAN'!$C$7:$C$1492,0),0)))</f>
        <v>Bh</v>
      </c>
      <c r="F149" s="489">
        <f>F147*2</f>
        <v>10</v>
      </c>
      <c r="G149" s="358">
        <f ca="1">IF(ISERROR(OFFSET('HARGA SATUAN'!$I$6,MATCH(RAB!C149,'HARGA SATUAN'!$C$7:$C$1492,0),0)),0,OFFSET('HARGA SATUAN'!$I$6,MATCH(RAB!C149,'HARGA SATUAN'!$C$7:$C$1492,0),0))</f>
        <v>235900</v>
      </c>
      <c r="H149" s="359">
        <f t="shared" ca="1" si="20"/>
        <v>2359000</v>
      </c>
      <c r="I149" s="359">
        <f t="shared" ca="1" si="21"/>
        <v>0</v>
      </c>
      <c r="J149" s="359">
        <f t="shared" ca="1" si="22"/>
        <v>0</v>
      </c>
      <c r="K149" s="360">
        <f t="shared" ca="1" si="23"/>
        <v>2359000</v>
      </c>
      <c r="L149" s="367"/>
      <c r="M149" s="367"/>
      <c r="N149" s="367"/>
      <c r="O149" s="361"/>
      <c r="P149" s="361"/>
      <c r="Q149" s="344"/>
      <c r="R149" s="336"/>
      <c r="S149" s="362"/>
      <c r="T149" s="341"/>
      <c r="U149" s="341"/>
      <c r="V149" s="341"/>
    </row>
    <row r="150" spans="1:22" s="368" customFormat="1">
      <c r="A150" s="336"/>
      <c r="B150" s="692">
        <v>3</v>
      </c>
      <c r="C150" s="693" t="s">
        <v>28</v>
      </c>
      <c r="D150" s="356" t="str">
        <f ca="1">IF(ISERROR(OFFSET('HARGA SATUAN'!$D$6,MATCH(RAB!C150,'HARGA SATUAN'!$C$7:$C$1492,0),0)),"",OFFSET('HARGA SATUAN'!$D$6,MATCH(RAB!C150,'HARGA SATUAN'!$C$7:$C$1492,0),0))</f>
        <v>HDW</v>
      </c>
      <c r="E150" s="357" t="str">
        <f ca="1">IF(B150="+","Unit",IF(ISERROR(OFFSET('HARGA SATUAN'!$E$6,MATCH(RAB!C150,'HARGA SATUAN'!$C$7:$C$1492,0),0)),"",OFFSET('HARGA SATUAN'!$E$6,MATCH(RAB!C150,'HARGA SATUAN'!$C$7:$C$1492,0),0)))</f>
        <v>Bh</v>
      </c>
      <c r="F150" s="489">
        <f>F147*3</f>
        <v>15</v>
      </c>
      <c r="G150" s="358">
        <f ca="1">IF(ISERROR(OFFSET('HARGA SATUAN'!$I$6,MATCH(RAB!C150,'HARGA SATUAN'!$C$7:$C$1492,0),0)),0,OFFSET('HARGA SATUAN'!$I$6,MATCH(RAB!C150,'HARGA SATUAN'!$C$7:$C$1492,0),0))</f>
        <v>26500</v>
      </c>
      <c r="H150" s="359">
        <f t="shared" ca="1" si="20"/>
        <v>0</v>
      </c>
      <c r="I150" s="359">
        <f t="shared" ca="1" si="21"/>
        <v>397500</v>
      </c>
      <c r="J150" s="359">
        <f t="shared" ca="1" si="22"/>
        <v>0</v>
      </c>
      <c r="K150" s="360">
        <f t="shared" ca="1" si="23"/>
        <v>397500</v>
      </c>
      <c r="L150" s="367"/>
      <c r="M150" s="367"/>
      <c r="N150" s="367"/>
      <c r="O150" s="361"/>
      <c r="P150" s="361"/>
      <c r="Q150" s="344"/>
      <c r="R150" s="336"/>
      <c r="S150" s="362"/>
      <c r="T150" s="341"/>
      <c r="U150" s="341"/>
      <c r="V150" s="341"/>
    </row>
    <row r="151" spans="1:22" s="368" customFormat="1">
      <c r="A151" s="336"/>
      <c r="B151" s="692">
        <v>4</v>
      </c>
      <c r="C151" s="693" t="s">
        <v>163</v>
      </c>
      <c r="D151" s="356" t="str">
        <f ca="1">IF(ISERROR(OFFSET('HARGA SATUAN'!$D$6,MATCH(RAB!C151,'HARGA SATUAN'!$C$7:$C$1492,0),0)),"",OFFSET('HARGA SATUAN'!$D$6,MATCH(RAB!C151,'HARGA SATUAN'!$C$7:$C$1492,0),0))</f>
        <v>HDW</v>
      </c>
      <c r="E151" s="357" t="str">
        <f ca="1">IF(B151="+","Unit",IF(ISERROR(OFFSET('HARGA SATUAN'!$E$6,MATCH(RAB!C151,'HARGA SATUAN'!$C$7:$C$1492,0),0)),"",OFFSET('HARGA SATUAN'!$E$6,MATCH(RAB!C151,'HARGA SATUAN'!$C$7:$C$1492,0),0)))</f>
        <v>Bh</v>
      </c>
      <c r="F151" s="489">
        <f>F147*2</f>
        <v>10</v>
      </c>
      <c r="G151" s="358">
        <f ca="1">IF(ISERROR(OFFSET('HARGA SATUAN'!$I$6,MATCH(RAB!C151,'HARGA SATUAN'!$C$7:$C$1492,0),0)),0,OFFSET('HARGA SATUAN'!$I$6,MATCH(RAB!C151,'HARGA SATUAN'!$C$7:$C$1492,0),0))</f>
        <v>7938</v>
      </c>
      <c r="H151" s="359">
        <f t="shared" ca="1" si="20"/>
        <v>0</v>
      </c>
      <c r="I151" s="359">
        <f t="shared" ca="1" si="21"/>
        <v>79380</v>
      </c>
      <c r="J151" s="359">
        <f t="shared" ca="1" si="22"/>
        <v>0</v>
      </c>
      <c r="K151" s="360">
        <f t="shared" ca="1" si="23"/>
        <v>79380</v>
      </c>
      <c r="L151" s="367"/>
      <c r="M151" s="367"/>
      <c r="N151" s="367"/>
      <c r="O151" s="361"/>
      <c r="P151" s="361"/>
      <c r="Q151" s="344"/>
      <c r="R151" s="336"/>
      <c r="S151" s="362"/>
      <c r="T151" s="341"/>
      <c r="U151" s="341"/>
      <c r="V151" s="341"/>
    </row>
    <row r="152" spans="1:22" s="368" customFormat="1">
      <c r="A152" s="336"/>
      <c r="B152" s="692">
        <v>5</v>
      </c>
      <c r="C152" s="693" t="s">
        <v>168</v>
      </c>
      <c r="D152" s="356" t="str">
        <f ca="1">IF(ISERROR(OFFSET('HARGA SATUAN'!$D$6,MATCH(RAB!C152,'HARGA SATUAN'!$C$7:$C$1492,0),0)),"",OFFSET('HARGA SATUAN'!$D$6,MATCH(RAB!C152,'HARGA SATUAN'!$C$7:$C$1492,0),0))</f>
        <v>HDW</v>
      </c>
      <c r="E152" s="357" t="str">
        <f ca="1">IF(B152="+","Unit",IF(ISERROR(OFFSET('HARGA SATUAN'!$E$6,MATCH(RAB!C152,'HARGA SATUAN'!$C$7:$C$1492,0),0)),"",OFFSET('HARGA SATUAN'!$E$6,MATCH(RAB!C152,'HARGA SATUAN'!$C$7:$C$1492,0),0)))</f>
        <v>Bh</v>
      </c>
      <c r="F152" s="489">
        <f>F147*1</f>
        <v>5</v>
      </c>
      <c r="G152" s="358">
        <f ca="1">IF(ISERROR(OFFSET('HARGA SATUAN'!$I$6,MATCH(RAB!C152,'HARGA SATUAN'!$C$7:$C$1492,0),0)),0,OFFSET('HARGA SATUAN'!$I$6,MATCH(RAB!C152,'HARGA SATUAN'!$C$7:$C$1492,0),0))</f>
        <v>33600</v>
      </c>
      <c r="H152" s="359">
        <f t="shared" ca="1" si="20"/>
        <v>0</v>
      </c>
      <c r="I152" s="359">
        <f t="shared" ca="1" si="21"/>
        <v>168000</v>
      </c>
      <c r="J152" s="359">
        <f t="shared" ca="1" si="22"/>
        <v>0</v>
      </c>
      <c r="K152" s="360">
        <f t="shared" ca="1" si="23"/>
        <v>168000</v>
      </c>
      <c r="L152" s="367"/>
      <c r="M152" s="367"/>
      <c r="N152" s="367"/>
      <c r="O152" s="361"/>
      <c r="P152" s="361"/>
      <c r="Q152" s="344"/>
      <c r="R152" s="336"/>
      <c r="S152" s="362"/>
      <c r="T152" s="341"/>
      <c r="U152" s="341"/>
      <c r="V152" s="341"/>
    </row>
    <row r="153" spans="1:22" s="368" customFormat="1">
      <c r="A153" s="336"/>
      <c r="B153" s="692">
        <v>6</v>
      </c>
      <c r="C153" s="693" t="s">
        <v>173</v>
      </c>
      <c r="D153" s="356" t="str">
        <f ca="1">IF(ISERROR(OFFSET('HARGA SATUAN'!$D$6,MATCH(RAB!C153,'HARGA SATUAN'!$C$7:$C$1492,0),0)),"",OFFSET('HARGA SATUAN'!$D$6,MATCH(RAB!C153,'HARGA SATUAN'!$C$7:$C$1492,0),0))</f>
        <v>HDW</v>
      </c>
      <c r="E153" s="357" t="str">
        <f ca="1">IF(B153="+","Unit",IF(ISERROR(OFFSET('HARGA SATUAN'!$E$6,MATCH(RAB!C153,'HARGA SATUAN'!$C$7:$C$1492,0),0)),"",OFFSET('HARGA SATUAN'!$E$6,MATCH(RAB!C153,'HARGA SATUAN'!$C$7:$C$1492,0),0)))</f>
        <v>Bh</v>
      </c>
      <c r="F153" s="489">
        <f>F147*2</f>
        <v>10</v>
      </c>
      <c r="G153" s="358">
        <f ca="1">IF(ISERROR(OFFSET('HARGA SATUAN'!$I$6,MATCH(RAB!C153,'HARGA SATUAN'!$C$7:$C$1492,0),0)),0,OFFSET('HARGA SATUAN'!$I$6,MATCH(RAB!C153,'HARGA SATUAN'!$C$7:$C$1492,0),0))</f>
        <v>45000</v>
      </c>
      <c r="H153" s="359">
        <f t="shared" ca="1" si="20"/>
        <v>0</v>
      </c>
      <c r="I153" s="359">
        <f t="shared" ca="1" si="21"/>
        <v>450000</v>
      </c>
      <c r="J153" s="359">
        <f t="shared" ca="1" si="22"/>
        <v>0</v>
      </c>
      <c r="K153" s="360">
        <f t="shared" ca="1" si="23"/>
        <v>450000</v>
      </c>
      <c r="L153" s="367"/>
      <c r="M153" s="367"/>
      <c r="N153" s="367"/>
      <c r="O153" s="361"/>
      <c r="P153" s="361"/>
      <c r="Q153" s="344"/>
      <c r="R153" s="336"/>
      <c r="S153" s="362"/>
      <c r="T153" s="341"/>
      <c r="U153" s="341"/>
      <c r="V153" s="341"/>
    </row>
    <row r="154" spans="1:22" s="368" customFormat="1">
      <c r="A154" s="336"/>
      <c r="B154" s="692">
        <v>7</v>
      </c>
      <c r="C154" s="693" t="s">
        <v>178</v>
      </c>
      <c r="D154" s="356" t="str">
        <f ca="1">IF(ISERROR(OFFSET('HARGA SATUAN'!$D$6,MATCH(RAB!C154,'HARGA SATUAN'!$C$7:$C$1492,0),0)),"",OFFSET('HARGA SATUAN'!$D$6,MATCH(RAB!C154,'HARGA SATUAN'!$C$7:$C$1492,0),0))</f>
        <v>HDW</v>
      </c>
      <c r="E154" s="357" t="str">
        <f ca="1">IF(B154="+","Unit",IF(ISERROR(OFFSET('HARGA SATUAN'!$E$6,MATCH(RAB!C154,'HARGA SATUAN'!$C$7:$C$1492,0),0)),"",OFFSET('HARGA SATUAN'!$E$6,MATCH(RAB!C154,'HARGA SATUAN'!$C$7:$C$1492,0),0)))</f>
        <v>Bh</v>
      </c>
      <c r="F154" s="489">
        <f>F147*1</f>
        <v>5</v>
      </c>
      <c r="G154" s="358">
        <f ca="1">IF(ISERROR(OFFSET('HARGA SATUAN'!$I$6,MATCH(RAB!C154,'HARGA SATUAN'!$C$7:$C$1492,0),0)),0,OFFSET('HARGA SATUAN'!$I$6,MATCH(RAB!C154,'HARGA SATUAN'!$C$7:$C$1492,0),0))</f>
        <v>95000</v>
      </c>
      <c r="H154" s="359">
        <f t="shared" ca="1" si="20"/>
        <v>0</v>
      </c>
      <c r="I154" s="359">
        <f t="shared" ca="1" si="21"/>
        <v>475000</v>
      </c>
      <c r="J154" s="359">
        <f t="shared" ca="1" si="22"/>
        <v>0</v>
      </c>
      <c r="K154" s="360">
        <f t="shared" ca="1" si="23"/>
        <v>475000</v>
      </c>
      <c r="L154" s="367"/>
      <c r="M154" s="367"/>
      <c r="N154" s="367"/>
      <c r="O154" s="361"/>
      <c r="P154" s="361"/>
      <c r="Q154" s="344"/>
      <c r="R154" s="336"/>
      <c r="S154" s="362"/>
      <c r="T154" s="341"/>
      <c r="U154" s="341"/>
      <c r="V154" s="341"/>
    </row>
    <row r="155" spans="1:22" s="368" customFormat="1">
      <c r="A155" s="336"/>
      <c r="B155" s="692">
        <v>8</v>
      </c>
      <c r="C155" s="693" t="s">
        <v>593</v>
      </c>
      <c r="D155" s="356" t="str">
        <f ca="1">IF(ISERROR(OFFSET('HARGA SATUAN'!$D$6,MATCH(RAB!C155,'HARGA SATUAN'!$C$7:$C$1492,0),0)),"",OFFSET('HARGA SATUAN'!$D$6,MATCH(RAB!C155,'HARGA SATUAN'!$C$7:$C$1492,0),0))</f>
        <v>HDW</v>
      </c>
      <c r="E155" s="357" t="str">
        <f ca="1">IF(B155="+","Unit",IF(ISERROR(OFFSET('HARGA SATUAN'!$E$6,MATCH(RAB!C155,'HARGA SATUAN'!$C$7:$C$1492,0),0)),"",OFFSET('HARGA SATUAN'!$E$6,MATCH(RAB!C155,'HARGA SATUAN'!$C$7:$C$1492,0),0)))</f>
        <v>Bh</v>
      </c>
      <c r="F155" s="489">
        <f>F147*1</f>
        <v>5</v>
      </c>
      <c r="G155" s="358">
        <f ca="1">IF(ISERROR(OFFSET('HARGA SATUAN'!$I$6,MATCH(RAB!C155,'HARGA SATUAN'!$C$7:$C$1492,0),0)),0,OFFSET('HARGA SATUAN'!$I$6,MATCH(RAB!C155,'HARGA SATUAN'!$C$7:$C$1492,0),0))</f>
        <v>380500</v>
      </c>
      <c r="H155" s="359">
        <f t="shared" ca="1" si="20"/>
        <v>0</v>
      </c>
      <c r="I155" s="359">
        <f t="shared" ca="1" si="21"/>
        <v>1902500</v>
      </c>
      <c r="J155" s="359">
        <f t="shared" ca="1" si="22"/>
        <v>0</v>
      </c>
      <c r="K155" s="360">
        <f t="shared" ca="1" si="23"/>
        <v>1902500</v>
      </c>
      <c r="L155" s="367"/>
      <c r="M155" s="367"/>
      <c r="N155" s="367"/>
      <c r="O155" s="361"/>
      <c r="P155" s="361"/>
      <c r="Q155" s="344"/>
      <c r="R155" s="336"/>
      <c r="S155" s="362"/>
      <c r="T155" s="341"/>
      <c r="U155" s="341"/>
      <c r="V155" s="341"/>
    </row>
    <row r="156" spans="1:22" s="368" customFormat="1">
      <c r="A156" s="336"/>
      <c r="B156" s="692">
        <v>9</v>
      </c>
      <c r="C156" s="693" t="s">
        <v>217</v>
      </c>
      <c r="D156" s="356" t="str">
        <f ca="1">IF(ISERROR(OFFSET('HARGA SATUAN'!$D$6,MATCH(RAB!C156,'HARGA SATUAN'!$C$7:$C$1492,0),0)),"",OFFSET('HARGA SATUAN'!$D$6,MATCH(RAB!C156,'HARGA SATUAN'!$C$7:$C$1492,0),0))</f>
        <v>HDW</v>
      </c>
      <c r="E156" s="357" t="str">
        <f ca="1">IF(B156="+","Unit",IF(ISERROR(OFFSET('HARGA SATUAN'!$E$6,MATCH(RAB!C156,'HARGA SATUAN'!$C$7:$C$1492,0),0)),"",OFFSET('HARGA SATUAN'!$E$6,MATCH(RAB!C156,'HARGA SATUAN'!$C$7:$C$1492,0),0)))</f>
        <v>Bh</v>
      </c>
      <c r="F156" s="489">
        <f>F147*4</f>
        <v>20</v>
      </c>
      <c r="G156" s="358">
        <f ca="1">IF(ISERROR(OFFSET('HARGA SATUAN'!$I$6,MATCH(RAB!C156,'HARGA SATUAN'!$C$7:$C$1492,0),0)),0,OFFSET('HARGA SATUAN'!$I$6,MATCH(RAB!C156,'HARGA SATUAN'!$C$7:$C$1492,0),0))</f>
        <v>11400</v>
      </c>
      <c r="H156" s="359">
        <f t="shared" ca="1" si="20"/>
        <v>0</v>
      </c>
      <c r="I156" s="359">
        <f t="shared" ca="1" si="21"/>
        <v>228000</v>
      </c>
      <c r="J156" s="359">
        <f t="shared" ca="1" si="22"/>
        <v>0</v>
      </c>
      <c r="K156" s="360">
        <f t="shared" ca="1" si="23"/>
        <v>228000</v>
      </c>
      <c r="L156" s="367"/>
      <c r="M156" s="367"/>
      <c r="N156" s="367"/>
      <c r="O156" s="361"/>
      <c r="P156" s="361"/>
      <c r="Q156" s="344"/>
      <c r="R156" s="336"/>
      <c r="S156" s="362"/>
      <c r="T156" s="341"/>
      <c r="U156" s="341"/>
      <c r="V156" s="341"/>
    </row>
    <row r="157" spans="1:22" s="368" customFormat="1">
      <c r="A157" s="336"/>
      <c r="B157" s="692">
        <v>10</v>
      </c>
      <c r="C157" s="693" t="s">
        <v>247</v>
      </c>
      <c r="D157" s="356" t="str">
        <f ca="1">IF(ISERROR(OFFSET('HARGA SATUAN'!$D$6,MATCH(RAB!C157,'HARGA SATUAN'!$C$7:$C$1492,0),0)),"",OFFSET('HARGA SATUAN'!$D$6,MATCH(RAB!C157,'HARGA SATUAN'!$C$7:$C$1492,0),0))</f>
        <v>HDW</v>
      </c>
      <c r="E157" s="357" t="str">
        <f ca="1">IF(B157="+","Unit",IF(ISERROR(OFFSET('HARGA SATUAN'!$E$6,MATCH(RAB!C157,'HARGA SATUAN'!$C$7:$C$1492,0),0)),"",OFFSET('HARGA SATUAN'!$E$6,MATCH(RAB!C157,'HARGA SATUAN'!$C$7:$C$1492,0),0)))</f>
        <v>Bh</v>
      </c>
      <c r="F157" s="489">
        <f>F147*1</f>
        <v>5</v>
      </c>
      <c r="G157" s="358">
        <f ca="1">IF(ISERROR(OFFSET('HARGA SATUAN'!$I$6,MATCH(RAB!C157,'HARGA SATUAN'!$C$7:$C$1492,0),0)),0,OFFSET('HARGA SATUAN'!$I$6,MATCH(RAB!C157,'HARGA SATUAN'!$C$7:$C$1492,0),0))</f>
        <v>57690</v>
      </c>
      <c r="H157" s="359">
        <f t="shared" ca="1" si="20"/>
        <v>0</v>
      </c>
      <c r="I157" s="359">
        <f t="shared" ca="1" si="21"/>
        <v>288450</v>
      </c>
      <c r="J157" s="359">
        <f t="shared" ca="1" si="22"/>
        <v>0</v>
      </c>
      <c r="K157" s="360">
        <f t="shared" ca="1" si="23"/>
        <v>288450</v>
      </c>
      <c r="L157" s="367"/>
      <c r="M157" s="367"/>
      <c r="N157" s="367"/>
      <c r="O157" s="361"/>
      <c r="P157" s="361"/>
      <c r="Q157" s="344"/>
      <c r="R157" s="336"/>
      <c r="S157" s="362"/>
      <c r="T157" s="341"/>
      <c r="U157" s="341"/>
      <c r="V157" s="341"/>
    </row>
    <row r="158" spans="1:22" s="368" customFormat="1">
      <c r="A158" s="336"/>
      <c r="B158" s="692">
        <v>11</v>
      </c>
      <c r="C158" s="693" t="s">
        <v>264</v>
      </c>
      <c r="D158" s="356" t="str">
        <f ca="1">IF(ISERROR(OFFSET('HARGA SATUAN'!$D$6,MATCH(RAB!C158,'HARGA SATUAN'!$C$7:$C$1492,0),0)),"",OFFSET('HARGA SATUAN'!$D$6,MATCH(RAB!C158,'HARGA SATUAN'!$C$7:$C$1492,0),0))</f>
        <v>HDW</v>
      </c>
      <c r="E158" s="357" t="str">
        <f ca="1">IF(B158="+","Unit",IF(ISERROR(OFFSET('HARGA SATUAN'!$E$6,MATCH(RAB!C158,'HARGA SATUAN'!$C$7:$C$1492,0),0)),"",OFFSET('HARGA SATUAN'!$E$6,MATCH(RAB!C158,'HARGA SATUAN'!$C$7:$C$1492,0),0)))</f>
        <v>Bh</v>
      </c>
      <c r="F158" s="489">
        <f>F147*1</f>
        <v>5</v>
      </c>
      <c r="G158" s="358">
        <f ca="1">IF(ISERROR(OFFSET('HARGA SATUAN'!$I$6,MATCH(RAB!C158,'HARGA SATUAN'!$C$7:$C$1492,0),0)),0,OFFSET('HARGA SATUAN'!$I$6,MATCH(RAB!C158,'HARGA SATUAN'!$C$7:$C$1492,0),0))</f>
        <v>28000</v>
      </c>
      <c r="H158" s="359">
        <f t="shared" ca="1" si="20"/>
        <v>0</v>
      </c>
      <c r="I158" s="359">
        <f t="shared" ca="1" si="21"/>
        <v>140000</v>
      </c>
      <c r="J158" s="359">
        <f t="shared" ca="1" si="22"/>
        <v>0</v>
      </c>
      <c r="K158" s="360">
        <f t="shared" ca="1" si="23"/>
        <v>140000</v>
      </c>
      <c r="L158" s="367"/>
      <c r="M158" s="367"/>
      <c r="N158" s="367"/>
      <c r="O158" s="361"/>
      <c r="P158" s="361"/>
      <c r="Q158" s="344"/>
      <c r="R158" s="336"/>
      <c r="S158" s="362"/>
      <c r="T158" s="341"/>
      <c r="U158" s="341"/>
      <c r="V158" s="341"/>
    </row>
    <row r="159" spans="1:22" s="368" customFormat="1">
      <c r="A159" s="336"/>
      <c r="B159" s="692">
        <v>12</v>
      </c>
      <c r="C159" s="693" t="s">
        <v>38</v>
      </c>
      <c r="D159" s="356" t="str">
        <f ca="1">IF(ISERROR(OFFSET('HARGA SATUAN'!$D$6,MATCH(RAB!C159,'HARGA SATUAN'!$C$7:$C$1492,0),0)),"",OFFSET('HARGA SATUAN'!$D$6,MATCH(RAB!C159,'HARGA SATUAN'!$C$7:$C$1492,0),0))</f>
        <v>HDW</v>
      </c>
      <c r="E159" s="357" t="str">
        <f ca="1">IF(B159="+","Unit",IF(ISERROR(OFFSET('HARGA SATUAN'!$E$6,MATCH(RAB!C159,'HARGA SATUAN'!$C$7:$C$1492,0),0)),"",OFFSET('HARGA SATUAN'!$E$6,MATCH(RAB!C159,'HARGA SATUAN'!$C$7:$C$1492,0),0)))</f>
        <v>Mtr</v>
      </c>
      <c r="F159" s="489">
        <f>6.2*F147</f>
        <v>31</v>
      </c>
      <c r="G159" s="358">
        <f ca="1">IF(ISERROR(OFFSET('HARGA SATUAN'!$I$6,MATCH(RAB!C159,'HARGA SATUAN'!$C$7:$C$1492,0),0)),0,OFFSET('HARGA SATUAN'!$I$6,MATCH(RAB!C159,'HARGA SATUAN'!$C$7:$C$1492,0),0))</f>
        <v>8550</v>
      </c>
      <c r="H159" s="359">
        <f t="shared" ca="1" si="20"/>
        <v>0</v>
      </c>
      <c r="I159" s="359">
        <f t="shared" ca="1" si="21"/>
        <v>265050</v>
      </c>
      <c r="J159" s="359">
        <f t="shared" ca="1" si="22"/>
        <v>0</v>
      </c>
      <c r="K159" s="360">
        <f t="shared" ca="1" si="23"/>
        <v>265050</v>
      </c>
      <c r="L159" s="367"/>
      <c r="M159" s="367"/>
      <c r="N159" s="367"/>
      <c r="O159" s="361"/>
      <c r="P159" s="361"/>
      <c r="Q159" s="344"/>
      <c r="R159" s="336"/>
      <c r="S159" s="362"/>
      <c r="T159" s="341"/>
      <c r="U159" s="341"/>
      <c r="V159" s="341"/>
    </row>
    <row r="160" spans="1:22" s="368" customFormat="1">
      <c r="A160" s="336"/>
      <c r="B160" s="692">
        <v>13</v>
      </c>
      <c r="C160" s="693" t="s">
        <v>26</v>
      </c>
      <c r="D160" s="356" t="str">
        <f ca="1">IF(ISERROR(OFFSET('HARGA SATUAN'!$D$6,MATCH(RAB!C160,'HARGA SATUAN'!$C$7:$C$1492,0),0)),"",OFFSET('HARGA SATUAN'!$D$6,MATCH(RAB!C160,'HARGA SATUAN'!$C$7:$C$1492,0),0))</f>
        <v>HDW</v>
      </c>
      <c r="E160" s="357" t="str">
        <f ca="1">IF(B160="+","Unit",IF(ISERROR(OFFSET('HARGA SATUAN'!$E$6,MATCH(RAB!C160,'HARGA SATUAN'!$C$7:$C$1492,0),0)),"",OFFSET('HARGA SATUAN'!$E$6,MATCH(RAB!C160,'HARGA SATUAN'!$C$7:$C$1492,0),0)))</f>
        <v>Bh</v>
      </c>
      <c r="F160" s="489">
        <f>F147*5</f>
        <v>25</v>
      </c>
      <c r="G160" s="358">
        <f ca="1">IF(ISERROR(OFFSET('HARGA SATUAN'!$I$6,MATCH(RAB!C160,'HARGA SATUAN'!$C$7:$C$1492,0),0)),0,OFFSET('HARGA SATUAN'!$I$6,MATCH(RAB!C160,'HARGA SATUAN'!$C$7:$C$1492,0),0))</f>
        <v>2500</v>
      </c>
      <c r="H160" s="359">
        <f t="shared" ca="1" si="20"/>
        <v>0</v>
      </c>
      <c r="I160" s="359">
        <f t="shared" ca="1" si="21"/>
        <v>62500</v>
      </c>
      <c r="J160" s="359">
        <f t="shared" ca="1" si="22"/>
        <v>0</v>
      </c>
      <c r="K160" s="360">
        <f t="shared" ca="1" si="23"/>
        <v>62500</v>
      </c>
      <c r="L160" s="367"/>
      <c r="M160" s="367"/>
      <c r="N160" s="367"/>
      <c r="O160" s="361"/>
      <c r="P160" s="361"/>
      <c r="Q160" s="344"/>
      <c r="R160" s="336"/>
      <c r="S160" s="362"/>
      <c r="T160" s="341"/>
      <c r="U160" s="341"/>
      <c r="V160" s="341"/>
    </row>
    <row r="161" spans="1:22" s="368" customFormat="1">
      <c r="A161" s="336"/>
      <c r="B161" s="692">
        <v>14</v>
      </c>
      <c r="C161" s="693" t="s">
        <v>687</v>
      </c>
      <c r="D161" s="356" t="str">
        <f ca="1">IF(ISERROR(OFFSET('HARGA SATUAN'!$D$6,MATCH(RAB!C161,'HARGA SATUAN'!$C$7:$C$1492,0),0)),"",OFFSET('HARGA SATUAN'!$D$6,MATCH(RAB!C161,'HARGA SATUAN'!$C$7:$C$1492,0),0))</f>
        <v>JASA</v>
      </c>
      <c r="E161" s="357" t="str">
        <f ca="1">IF(B161="+","Unit",IF(ISERROR(OFFSET('HARGA SATUAN'!$E$6,MATCH(RAB!C161,'HARGA SATUAN'!$C$7:$C$1492,0),0)),"",OFFSET('HARGA SATUAN'!$E$6,MATCH(RAB!C161,'HARGA SATUAN'!$C$7:$C$1492,0),0)))</f>
        <v>Unit</v>
      </c>
      <c r="F161" s="489">
        <f>F147*1</f>
        <v>5</v>
      </c>
      <c r="G161" s="358">
        <f ca="1">IF(ISERROR(OFFSET('HARGA SATUAN'!$I$6,MATCH(RAB!C161,'HARGA SATUAN'!$C$7:$C$1492,0),0)),0,OFFSET('HARGA SATUAN'!$I$6,MATCH(RAB!C161,'HARGA SATUAN'!$C$7:$C$1492,0),0))</f>
        <v>111000</v>
      </c>
      <c r="H161" s="359">
        <f t="shared" ca="1" si="20"/>
        <v>0</v>
      </c>
      <c r="I161" s="359">
        <f t="shared" ca="1" si="21"/>
        <v>0</v>
      </c>
      <c r="J161" s="359">
        <f t="shared" ca="1" si="22"/>
        <v>555000</v>
      </c>
      <c r="K161" s="360">
        <f t="shared" ca="1" si="23"/>
        <v>555000</v>
      </c>
      <c r="L161" s="367"/>
      <c r="M161" s="367"/>
      <c r="N161" s="367"/>
      <c r="O161" s="361"/>
      <c r="P161" s="361"/>
      <c r="Q161" s="344"/>
      <c r="R161" s="336"/>
      <c r="S161" s="362"/>
      <c r="T161" s="341"/>
      <c r="U161" s="341"/>
      <c r="V161" s="341"/>
    </row>
    <row r="162" spans="1:22" s="368" customFormat="1">
      <c r="A162" s="336"/>
      <c r="B162" s="692"/>
      <c r="C162" s="693"/>
      <c r="D162" s="356" t="str">
        <f ca="1">IF(ISERROR(OFFSET('HARGA SATUAN'!$D$6,MATCH(RAB!C162,'HARGA SATUAN'!$C$7:$C$1492,0),0)),"",OFFSET('HARGA SATUAN'!$D$6,MATCH(RAB!C162,'HARGA SATUAN'!$C$7:$C$1492,0),0))</f>
        <v/>
      </c>
      <c r="E162" s="357" t="str">
        <f ca="1">IF(B162="+","Unit",IF(ISERROR(OFFSET('HARGA SATUAN'!$E$6,MATCH(RAB!C162,'HARGA SATUAN'!$C$7:$C$1492,0),0)),"",OFFSET('HARGA SATUAN'!$E$6,MATCH(RAB!C162,'HARGA SATUAN'!$C$7:$C$1492,0),0)))</f>
        <v/>
      </c>
      <c r="F162" s="714"/>
      <c r="G162" s="358">
        <f ca="1">IF(ISERROR(OFFSET('HARGA SATUAN'!$I$6,MATCH(RAB!C162,'HARGA SATUAN'!$C$7:$C$1492,0),0)),0,OFFSET('HARGA SATUAN'!$I$6,MATCH(RAB!C162,'HARGA SATUAN'!$C$7:$C$1492,0),0))</f>
        <v>0</v>
      </c>
      <c r="H162" s="359">
        <f t="shared" ca="1" si="20"/>
        <v>0</v>
      </c>
      <c r="I162" s="359">
        <f t="shared" ca="1" si="21"/>
        <v>0</v>
      </c>
      <c r="J162" s="359">
        <f t="shared" ca="1" si="22"/>
        <v>0</v>
      </c>
      <c r="K162" s="360">
        <f t="shared" ca="1" si="23"/>
        <v>0</v>
      </c>
      <c r="L162" s="367"/>
      <c r="M162" s="367"/>
      <c r="N162" s="367"/>
      <c r="O162" s="361"/>
      <c r="P162" s="361"/>
      <c r="Q162" s="344"/>
      <c r="R162" s="336"/>
      <c r="S162" s="362"/>
      <c r="T162" s="341"/>
      <c r="U162" s="341"/>
      <c r="V162" s="341"/>
    </row>
    <row r="163" spans="1:22" s="368" customFormat="1">
      <c r="A163" s="336"/>
      <c r="B163" s="692" t="s">
        <v>1035</v>
      </c>
      <c r="C163" s="697" t="s">
        <v>1662</v>
      </c>
      <c r="D163" s="356" t="str">
        <f ca="1">IF(ISERROR(OFFSET('HARGA SATUAN'!$D$6,MATCH(RAB!C163,'HARGA SATUAN'!$C$7:$C$1492,0),0)),"",OFFSET('HARGA SATUAN'!$D$6,MATCH(RAB!C163,'HARGA SATUAN'!$C$7:$C$1492,0),0))</f>
        <v/>
      </c>
      <c r="E163" s="357" t="str">
        <f ca="1">IF(B163="+","Unit",IF(ISERROR(OFFSET('HARGA SATUAN'!$E$6,MATCH(RAB!C163,'HARGA SATUAN'!$C$7:$C$1492,0),0)),"",OFFSET('HARGA SATUAN'!$E$6,MATCH(RAB!C163,'HARGA SATUAN'!$C$7:$C$1492,0),0)))</f>
        <v>Unit</v>
      </c>
      <c r="F163" s="716">
        <v>1</v>
      </c>
      <c r="G163" s="358">
        <f ca="1">IF(ISERROR(OFFSET('HARGA SATUAN'!$I$6,MATCH(RAB!C163,'HARGA SATUAN'!$C$7:$C$1492,0),0)),0,OFFSET('HARGA SATUAN'!$I$6,MATCH(RAB!C163,'HARGA SATUAN'!$C$7:$C$1492,0),0))</f>
        <v>0</v>
      </c>
      <c r="H163" s="359">
        <f t="shared" ca="1" si="20"/>
        <v>0</v>
      </c>
      <c r="I163" s="359">
        <f t="shared" ca="1" si="21"/>
        <v>0</v>
      </c>
      <c r="J163" s="359">
        <f t="shared" ca="1" si="22"/>
        <v>0</v>
      </c>
      <c r="K163" s="360">
        <f t="shared" ca="1" si="23"/>
        <v>0</v>
      </c>
      <c r="L163" s="367"/>
      <c r="M163" s="367"/>
      <c r="N163" s="367"/>
      <c r="O163" s="361"/>
      <c r="P163" s="361"/>
      <c r="Q163" s="344"/>
      <c r="R163" s="336"/>
      <c r="S163" s="362"/>
      <c r="T163" s="341"/>
      <c r="U163" s="341"/>
      <c r="V163" s="341"/>
    </row>
    <row r="164" spans="1:22" s="368" customFormat="1">
      <c r="A164" s="336"/>
      <c r="B164" s="696">
        <v>1</v>
      </c>
      <c r="C164" s="109" t="s">
        <v>1564</v>
      </c>
      <c r="D164" s="356" t="str">
        <f ca="1">IF(ISERROR(OFFSET('HARGA SATUAN'!$D$6,MATCH(RAB!C164,'HARGA SATUAN'!$C$7:$C$1492,0),0)),"",OFFSET('HARGA SATUAN'!$D$6,MATCH(RAB!C164,'HARGA SATUAN'!$C$7:$C$1492,0),0))</f>
        <v>MDU-KD</v>
      </c>
      <c r="E164" s="357" t="str">
        <f ca="1">IF(B164="+","Unit",IF(ISERROR(OFFSET('HARGA SATUAN'!$E$6,MATCH(RAB!C164,'HARGA SATUAN'!$C$7:$C$1492,0),0)),"",OFFSET('HARGA SATUAN'!$E$6,MATCH(RAB!C164,'HARGA SATUAN'!$C$7:$C$1492,0),0)))</f>
        <v>Bh</v>
      </c>
      <c r="F164" s="716">
        <f>F163*1</f>
        <v>1</v>
      </c>
      <c r="G164" s="358">
        <f ca="1">IF(ISERROR(OFFSET('HARGA SATUAN'!$I$6,MATCH(RAB!C164,'HARGA SATUAN'!$C$7:$C$1492,0),0)),0,OFFSET('HARGA SATUAN'!$I$6,MATCH(RAB!C164,'HARGA SATUAN'!$C$7:$C$1492,0),0))</f>
        <v>235900</v>
      </c>
      <c r="H164" s="359">
        <f t="shared" ca="1" si="20"/>
        <v>235900</v>
      </c>
      <c r="I164" s="359">
        <f t="shared" ca="1" si="21"/>
        <v>0</v>
      </c>
      <c r="J164" s="359">
        <f t="shared" ca="1" si="22"/>
        <v>0</v>
      </c>
      <c r="K164" s="360">
        <f t="shared" ca="1" si="23"/>
        <v>235900</v>
      </c>
      <c r="L164" s="367"/>
      <c r="M164" s="367"/>
      <c r="N164" s="367"/>
      <c r="O164" s="361"/>
      <c r="P164" s="361"/>
      <c r="Q164" s="344"/>
      <c r="R164" s="336"/>
      <c r="S164" s="362"/>
      <c r="T164" s="341"/>
      <c r="U164" s="341"/>
      <c r="V164" s="341"/>
    </row>
    <row r="165" spans="1:22" s="368" customFormat="1">
      <c r="A165" s="336"/>
      <c r="B165" s="696">
        <v>2</v>
      </c>
      <c r="C165" s="109" t="s">
        <v>1564</v>
      </c>
      <c r="D165" s="356" t="str">
        <f ca="1">IF(ISERROR(OFFSET('HARGA SATUAN'!$D$6,MATCH(RAB!C165,'HARGA SATUAN'!$C$7:$C$1492,0),0)),"",OFFSET('HARGA SATUAN'!$D$6,MATCH(RAB!C165,'HARGA SATUAN'!$C$7:$C$1492,0),0))</f>
        <v>MDU-KD</v>
      </c>
      <c r="E165" s="357" t="str">
        <f ca="1">IF(B165="+","Unit",IF(ISERROR(OFFSET('HARGA SATUAN'!$E$6,MATCH(RAB!C165,'HARGA SATUAN'!$C$7:$C$1492,0),0)),"",OFFSET('HARGA SATUAN'!$E$6,MATCH(RAB!C165,'HARGA SATUAN'!$C$7:$C$1492,0),0)))</f>
        <v>Bh</v>
      </c>
      <c r="F165" s="716">
        <f>F163*1</f>
        <v>1</v>
      </c>
      <c r="G165" s="358">
        <f ca="1">IF(ISERROR(OFFSET('HARGA SATUAN'!$I$6,MATCH(RAB!C165,'HARGA SATUAN'!$C$7:$C$1492,0),0)),0,OFFSET('HARGA SATUAN'!$I$6,MATCH(RAB!C165,'HARGA SATUAN'!$C$7:$C$1492,0),0))</f>
        <v>235900</v>
      </c>
      <c r="H165" s="359">
        <f t="shared" ca="1" si="20"/>
        <v>235900</v>
      </c>
      <c r="I165" s="359">
        <f t="shared" ca="1" si="21"/>
        <v>0</v>
      </c>
      <c r="J165" s="359">
        <f t="shared" ca="1" si="22"/>
        <v>0</v>
      </c>
      <c r="K165" s="360">
        <f t="shared" ca="1" si="23"/>
        <v>235900</v>
      </c>
      <c r="L165" s="367"/>
      <c r="M165" s="367"/>
      <c r="N165" s="367"/>
      <c r="O165" s="361"/>
      <c r="P165" s="361"/>
      <c r="Q165" s="344"/>
      <c r="R165" s="336"/>
      <c r="S165" s="362"/>
      <c r="T165" s="341"/>
      <c r="U165" s="341"/>
      <c r="V165" s="341"/>
    </row>
    <row r="166" spans="1:22" s="368" customFormat="1">
      <c r="A166" s="336"/>
      <c r="B166" s="696">
        <v>3</v>
      </c>
      <c r="C166" s="109" t="s">
        <v>1565</v>
      </c>
      <c r="D166" s="356" t="str">
        <f ca="1">IF(ISERROR(OFFSET('HARGA SATUAN'!$D$6,MATCH(RAB!C166,'HARGA SATUAN'!$C$7:$C$1492,0),0)),"",OFFSET('HARGA SATUAN'!$D$6,MATCH(RAB!C166,'HARGA SATUAN'!$C$7:$C$1492,0),0))</f>
        <v>MDU-KD</v>
      </c>
      <c r="E166" s="357" t="str">
        <f ca="1">IF(B166="+","Unit",IF(ISERROR(OFFSET('HARGA SATUAN'!$E$6,MATCH(RAB!C166,'HARGA SATUAN'!$C$7:$C$1492,0),0)),"",OFFSET('HARGA SATUAN'!$E$6,MATCH(RAB!C166,'HARGA SATUAN'!$C$7:$C$1492,0),0)))</f>
        <v>Set</v>
      </c>
      <c r="F166" s="716">
        <f>F163*6</f>
        <v>6</v>
      </c>
      <c r="G166" s="358">
        <f ca="1">IF(ISERROR(OFFSET('HARGA SATUAN'!$I$6,MATCH(RAB!C166,'HARGA SATUAN'!$C$7:$C$1492,0),0)),0,OFFSET('HARGA SATUAN'!$I$6,MATCH(RAB!C166,'HARGA SATUAN'!$C$7:$C$1492,0),0))</f>
        <v>430000</v>
      </c>
      <c r="H166" s="359">
        <f t="shared" ca="1" si="20"/>
        <v>2580000</v>
      </c>
      <c r="I166" s="359">
        <f t="shared" ca="1" si="21"/>
        <v>0</v>
      </c>
      <c r="J166" s="359">
        <f t="shared" ca="1" si="22"/>
        <v>0</v>
      </c>
      <c r="K166" s="360">
        <f t="shared" ca="1" si="23"/>
        <v>2580000</v>
      </c>
      <c r="L166" s="367"/>
      <c r="M166" s="367"/>
      <c r="N166" s="367"/>
      <c r="O166" s="361"/>
      <c r="P166" s="361"/>
      <c r="Q166" s="344"/>
      <c r="R166" s="336"/>
      <c r="S166" s="362"/>
      <c r="T166" s="341"/>
      <c r="U166" s="341"/>
      <c r="V166" s="341"/>
    </row>
    <row r="167" spans="1:22" s="368" customFormat="1">
      <c r="A167" s="336"/>
      <c r="B167" s="696">
        <v>4</v>
      </c>
      <c r="C167" s="697" t="s">
        <v>152</v>
      </c>
      <c r="D167" s="356" t="str">
        <f ca="1">IF(ISERROR(OFFSET('HARGA SATUAN'!$D$6,MATCH(RAB!C167,'HARGA SATUAN'!$C$7:$C$1492,0),0)),"",OFFSET('HARGA SATUAN'!$D$6,MATCH(RAB!C167,'HARGA SATUAN'!$C$7:$C$1492,0),0))</f>
        <v>HDW</v>
      </c>
      <c r="E167" s="357" t="str">
        <f ca="1">IF(B167="+","Unit",IF(ISERROR(OFFSET('HARGA SATUAN'!$E$6,MATCH(RAB!C167,'HARGA SATUAN'!$C$7:$C$1492,0),0)),"",OFFSET('HARGA SATUAN'!$E$6,MATCH(RAB!C167,'HARGA SATUAN'!$C$7:$C$1492,0),0)))</f>
        <v>Mtr</v>
      </c>
      <c r="F167" s="716">
        <f>F163*2</f>
        <v>2</v>
      </c>
      <c r="G167" s="358">
        <f ca="1">IF(ISERROR(OFFSET('HARGA SATUAN'!$I$6,MATCH(RAB!C167,'HARGA SATUAN'!$C$7:$C$1492,0),0)),0,OFFSET('HARGA SATUAN'!$I$6,MATCH(RAB!C167,'HARGA SATUAN'!$C$7:$C$1492,0),0))</f>
        <v>7789</v>
      </c>
      <c r="H167" s="359">
        <f t="shared" ca="1" si="20"/>
        <v>0</v>
      </c>
      <c r="I167" s="359">
        <f t="shared" ca="1" si="21"/>
        <v>15578</v>
      </c>
      <c r="J167" s="359">
        <f t="shared" ca="1" si="22"/>
        <v>0</v>
      </c>
      <c r="K167" s="360">
        <f t="shared" ca="1" si="23"/>
        <v>15578</v>
      </c>
      <c r="L167" s="367"/>
      <c r="M167" s="367"/>
      <c r="N167" s="367"/>
      <c r="O167" s="361"/>
      <c r="P167" s="361"/>
      <c r="Q167" s="344"/>
      <c r="R167" s="336"/>
      <c r="S167" s="362"/>
      <c r="T167" s="341"/>
      <c r="U167" s="341"/>
      <c r="V167" s="341"/>
    </row>
    <row r="168" spans="1:22" s="368" customFormat="1">
      <c r="A168" s="336"/>
      <c r="B168" s="696">
        <v>5</v>
      </c>
      <c r="C168" s="697" t="s">
        <v>157</v>
      </c>
      <c r="D168" s="356" t="str">
        <f ca="1">IF(ISERROR(OFFSET('HARGA SATUAN'!$D$6,MATCH(RAB!C168,'HARGA SATUAN'!$C$7:$C$1492,0),0)),"",OFFSET('HARGA SATUAN'!$D$6,MATCH(RAB!C168,'HARGA SATUAN'!$C$7:$C$1492,0),0))</f>
        <v>HDW</v>
      </c>
      <c r="E168" s="357" t="str">
        <f ca="1">IF(B168="+","Unit",IF(ISERROR(OFFSET('HARGA SATUAN'!$E$6,MATCH(RAB!C168,'HARGA SATUAN'!$C$7:$C$1492,0),0)),"",OFFSET('HARGA SATUAN'!$E$6,MATCH(RAB!C168,'HARGA SATUAN'!$C$7:$C$1492,0),0)))</f>
        <v>Bh</v>
      </c>
      <c r="F168" s="716">
        <f>F163*4</f>
        <v>4</v>
      </c>
      <c r="G168" s="358">
        <f ca="1">IF(ISERROR(OFFSET('HARGA SATUAN'!$I$6,MATCH(RAB!C168,'HARGA SATUAN'!$C$7:$C$1492,0),0)),0,OFFSET('HARGA SATUAN'!$I$6,MATCH(RAB!C168,'HARGA SATUAN'!$C$7:$C$1492,0),0))</f>
        <v>40000</v>
      </c>
      <c r="H168" s="359">
        <f t="shared" ca="1" si="20"/>
        <v>0</v>
      </c>
      <c r="I168" s="359">
        <f t="shared" ca="1" si="21"/>
        <v>160000</v>
      </c>
      <c r="J168" s="359">
        <f t="shared" ca="1" si="22"/>
        <v>0</v>
      </c>
      <c r="K168" s="360">
        <f t="shared" ca="1" si="23"/>
        <v>160000</v>
      </c>
      <c r="L168" s="367"/>
      <c r="M168" s="367"/>
      <c r="N168" s="367"/>
      <c r="O168" s="361"/>
      <c r="P168" s="361"/>
      <c r="Q168" s="344"/>
      <c r="R168" s="336"/>
      <c r="S168" s="362"/>
      <c r="T168" s="341"/>
      <c r="U168" s="341"/>
      <c r="V168" s="341"/>
    </row>
    <row r="169" spans="1:22" s="368" customFormat="1">
      <c r="A169" s="336"/>
      <c r="B169" s="696">
        <v>6</v>
      </c>
      <c r="C169" s="697" t="s">
        <v>163</v>
      </c>
      <c r="D169" s="356" t="str">
        <f ca="1">IF(ISERROR(OFFSET('HARGA SATUAN'!$D$6,MATCH(RAB!C169,'HARGA SATUAN'!$C$7:$C$1492,0),0)),"",OFFSET('HARGA SATUAN'!$D$6,MATCH(RAB!C169,'HARGA SATUAN'!$C$7:$C$1492,0),0))</f>
        <v>HDW</v>
      </c>
      <c r="E169" s="357" t="str">
        <f ca="1">IF(B169="+","Unit",IF(ISERROR(OFFSET('HARGA SATUAN'!$E$6,MATCH(RAB!C169,'HARGA SATUAN'!$C$7:$C$1492,0),0)),"",OFFSET('HARGA SATUAN'!$E$6,MATCH(RAB!C169,'HARGA SATUAN'!$C$7:$C$1492,0),0)))</f>
        <v>Bh</v>
      </c>
      <c r="F169" s="716">
        <f>F163*8</f>
        <v>8</v>
      </c>
      <c r="G169" s="358">
        <f ca="1">IF(ISERROR(OFFSET('HARGA SATUAN'!$I$6,MATCH(RAB!C169,'HARGA SATUAN'!$C$7:$C$1492,0),0)),0,OFFSET('HARGA SATUAN'!$I$6,MATCH(RAB!C169,'HARGA SATUAN'!$C$7:$C$1492,0),0))</f>
        <v>7938</v>
      </c>
      <c r="H169" s="359">
        <f t="shared" ca="1" si="20"/>
        <v>0</v>
      </c>
      <c r="I169" s="359">
        <f t="shared" ca="1" si="21"/>
        <v>63504</v>
      </c>
      <c r="J169" s="359">
        <f t="shared" ca="1" si="22"/>
        <v>0</v>
      </c>
      <c r="K169" s="360">
        <f t="shared" ca="1" si="23"/>
        <v>63504</v>
      </c>
      <c r="L169" s="367"/>
      <c r="M169" s="367"/>
      <c r="N169" s="367"/>
      <c r="O169" s="361"/>
      <c r="P169" s="361"/>
      <c r="Q169" s="344"/>
      <c r="R169" s="336"/>
      <c r="S169" s="362"/>
      <c r="T169" s="341"/>
      <c r="U169" s="341"/>
      <c r="V169" s="341"/>
    </row>
    <row r="170" spans="1:22" s="368" customFormat="1">
      <c r="A170" s="336"/>
      <c r="B170" s="696">
        <v>7</v>
      </c>
      <c r="C170" s="697" t="s">
        <v>28</v>
      </c>
      <c r="D170" s="356" t="str">
        <f ca="1">IF(ISERROR(OFFSET('HARGA SATUAN'!$D$6,MATCH(RAB!C170,'HARGA SATUAN'!$C$7:$C$1492,0),0)),"",OFFSET('HARGA SATUAN'!$D$6,MATCH(RAB!C170,'HARGA SATUAN'!$C$7:$C$1492,0),0))</f>
        <v>HDW</v>
      </c>
      <c r="E170" s="357" t="str">
        <f ca="1">IF(B170="+","Unit",IF(ISERROR(OFFSET('HARGA SATUAN'!$E$6,MATCH(RAB!C170,'HARGA SATUAN'!$C$7:$C$1492,0),0)),"",OFFSET('HARGA SATUAN'!$E$6,MATCH(RAB!C170,'HARGA SATUAN'!$C$7:$C$1492,0),0)))</f>
        <v>Bh</v>
      </c>
      <c r="F170" s="716">
        <f>F163*1</f>
        <v>1</v>
      </c>
      <c r="G170" s="358">
        <f ca="1">IF(ISERROR(OFFSET('HARGA SATUAN'!$I$6,MATCH(RAB!C170,'HARGA SATUAN'!$C$7:$C$1492,0),0)),0,OFFSET('HARGA SATUAN'!$I$6,MATCH(RAB!C170,'HARGA SATUAN'!$C$7:$C$1492,0),0))</f>
        <v>26500</v>
      </c>
      <c r="H170" s="359">
        <f t="shared" ca="1" si="20"/>
        <v>0</v>
      </c>
      <c r="I170" s="359">
        <f t="shared" ca="1" si="21"/>
        <v>26500</v>
      </c>
      <c r="J170" s="359">
        <f t="shared" ca="1" si="22"/>
        <v>0</v>
      </c>
      <c r="K170" s="360">
        <f t="shared" ca="1" si="23"/>
        <v>26500</v>
      </c>
      <c r="L170" s="367"/>
      <c r="M170" s="367"/>
      <c r="N170" s="367"/>
      <c r="O170" s="361"/>
      <c r="P170" s="361"/>
      <c r="Q170" s="344"/>
      <c r="R170" s="336"/>
      <c r="S170" s="362"/>
      <c r="T170" s="341"/>
      <c r="U170" s="341"/>
      <c r="V170" s="341"/>
    </row>
    <row r="171" spans="1:22" s="368" customFormat="1">
      <c r="A171" s="336"/>
      <c r="B171" s="696">
        <v>8</v>
      </c>
      <c r="C171" s="697" t="s">
        <v>173</v>
      </c>
      <c r="D171" s="356" t="str">
        <f ca="1">IF(ISERROR(OFFSET('HARGA SATUAN'!$D$6,MATCH(RAB!C171,'HARGA SATUAN'!$C$7:$C$1492,0),0)),"",OFFSET('HARGA SATUAN'!$D$6,MATCH(RAB!C171,'HARGA SATUAN'!$C$7:$C$1492,0),0))</f>
        <v>HDW</v>
      </c>
      <c r="E171" s="357" t="str">
        <f ca="1">IF(B171="+","Unit",IF(ISERROR(OFFSET('HARGA SATUAN'!$E$6,MATCH(RAB!C171,'HARGA SATUAN'!$C$7:$C$1492,0),0)),"",OFFSET('HARGA SATUAN'!$E$6,MATCH(RAB!C171,'HARGA SATUAN'!$C$7:$C$1492,0),0)))</f>
        <v>Bh</v>
      </c>
      <c r="F171" s="716">
        <f>F163*8</f>
        <v>8</v>
      </c>
      <c r="G171" s="358">
        <f ca="1">IF(ISERROR(OFFSET('HARGA SATUAN'!$I$6,MATCH(RAB!C171,'HARGA SATUAN'!$C$7:$C$1492,0),0)),0,OFFSET('HARGA SATUAN'!$I$6,MATCH(RAB!C171,'HARGA SATUAN'!$C$7:$C$1492,0),0))</f>
        <v>45000</v>
      </c>
      <c r="H171" s="359">
        <f t="shared" ca="1" si="20"/>
        <v>0</v>
      </c>
      <c r="I171" s="359">
        <f t="shared" ca="1" si="21"/>
        <v>360000</v>
      </c>
      <c r="J171" s="359">
        <f t="shared" ca="1" si="22"/>
        <v>0</v>
      </c>
      <c r="K171" s="360">
        <f t="shared" ca="1" si="23"/>
        <v>360000</v>
      </c>
      <c r="L171" s="367"/>
      <c r="M171" s="367"/>
      <c r="N171" s="367"/>
      <c r="O171" s="361"/>
      <c r="P171" s="361"/>
      <c r="Q171" s="344"/>
      <c r="R171" s="336"/>
      <c r="S171" s="362"/>
      <c r="T171" s="341"/>
      <c r="U171" s="341"/>
      <c r="V171" s="341"/>
    </row>
    <row r="172" spans="1:22" s="368" customFormat="1">
      <c r="A172" s="336"/>
      <c r="B172" s="696">
        <v>9</v>
      </c>
      <c r="C172" s="697" t="s">
        <v>179</v>
      </c>
      <c r="D172" s="356" t="str">
        <f ca="1">IF(ISERROR(OFFSET('HARGA SATUAN'!$D$6,MATCH(RAB!C172,'HARGA SATUAN'!$C$7:$C$1492,0),0)),"",OFFSET('HARGA SATUAN'!$D$6,MATCH(RAB!C172,'HARGA SATUAN'!$C$7:$C$1492,0),0))</f>
        <v>HDW</v>
      </c>
      <c r="E172" s="357" t="str">
        <f ca="1">IF(B172="+","Unit",IF(ISERROR(OFFSET('HARGA SATUAN'!$E$6,MATCH(RAB!C172,'HARGA SATUAN'!$C$7:$C$1492,0),0)),"",OFFSET('HARGA SATUAN'!$E$6,MATCH(RAB!C172,'HARGA SATUAN'!$C$7:$C$1492,0),0)))</f>
        <v>Bh</v>
      </c>
      <c r="F172" s="716">
        <f>F163*2</f>
        <v>2</v>
      </c>
      <c r="G172" s="358">
        <f ca="1">IF(ISERROR(OFFSET('HARGA SATUAN'!$I$6,MATCH(RAB!C172,'HARGA SATUAN'!$C$7:$C$1492,0),0)),0,OFFSET('HARGA SATUAN'!$I$6,MATCH(RAB!C172,'HARGA SATUAN'!$C$7:$C$1492,0),0))</f>
        <v>15500</v>
      </c>
      <c r="H172" s="359">
        <f t="shared" ca="1" si="20"/>
        <v>0</v>
      </c>
      <c r="I172" s="359">
        <f t="shared" ca="1" si="21"/>
        <v>31000</v>
      </c>
      <c r="J172" s="359">
        <f t="shared" ca="1" si="22"/>
        <v>0</v>
      </c>
      <c r="K172" s="360">
        <f t="shared" ca="1" si="23"/>
        <v>31000</v>
      </c>
      <c r="L172" s="367"/>
      <c r="M172" s="367"/>
      <c r="N172" s="367"/>
      <c r="O172" s="361"/>
      <c r="P172" s="361"/>
      <c r="Q172" s="344"/>
      <c r="R172" s="336"/>
      <c r="S172" s="362"/>
      <c r="T172" s="341"/>
      <c r="U172" s="341"/>
      <c r="V172" s="341"/>
    </row>
    <row r="173" spans="1:22" s="368" customFormat="1">
      <c r="A173" s="336"/>
      <c r="B173" s="696">
        <v>10</v>
      </c>
      <c r="C173" s="697" t="s">
        <v>181</v>
      </c>
      <c r="D173" s="356" t="str">
        <f ca="1">IF(ISERROR(OFFSET('HARGA SATUAN'!$D$6,MATCH(RAB!C173,'HARGA SATUAN'!$C$7:$C$1492,0),0)),"",OFFSET('HARGA SATUAN'!$D$6,MATCH(RAB!C173,'HARGA SATUAN'!$C$7:$C$1492,0),0))</f>
        <v>HDW</v>
      </c>
      <c r="E173" s="357" t="str">
        <f ca="1">IF(B173="+","Unit",IF(ISERROR(OFFSET('HARGA SATUAN'!$E$6,MATCH(RAB!C173,'HARGA SATUAN'!$C$7:$C$1492,0),0)),"",OFFSET('HARGA SATUAN'!$E$6,MATCH(RAB!C173,'HARGA SATUAN'!$C$7:$C$1492,0),0)))</f>
        <v>Bh</v>
      </c>
      <c r="F173" s="716">
        <f>F163*4</f>
        <v>4</v>
      </c>
      <c r="G173" s="358">
        <f ca="1">IF(ISERROR(OFFSET('HARGA SATUAN'!$I$6,MATCH(RAB!C173,'HARGA SATUAN'!$C$7:$C$1492,0),0)),0,OFFSET('HARGA SATUAN'!$I$6,MATCH(RAB!C173,'HARGA SATUAN'!$C$7:$C$1492,0),0))</f>
        <v>28100</v>
      </c>
      <c r="H173" s="359">
        <f t="shared" ca="1" si="20"/>
        <v>0</v>
      </c>
      <c r="I173" s="359">
        <f t="shared" ca="1" si="21"/>
        <v>112400</v>
      </c>
      <c r="J173" s="359">
        <f t="shared" ca="1" si="22"/>
        <v>0</v>
      </c>
      <c r="K173" s="360">
        <f t="shared" ca="1" si="23"/>
        <v>112400</v>
      </c>
      <c r="L173" s="367"/>
      <c r="M173" s="367"/>
      <c r="N173" s="367"/>
      <c r="O173" s="361"/>
      <c r="P173" s="361"/>
      <c r="Q173" s="344"/>
      <c r="R173" s="336"/>
      <c r="S173" s="362"/>
      <c r="T173" s="341"/>
      <c r="U173" s="341"/>
      <c r="V173" s="341"/>
    </row>
    <row r="174" spans="1:22" s="368" customFormat="1">
      <c r="A174" s="336"/>
      <c r="B174" s="696">
        <v>11</v>
      </c>
      <c r="C174" s="697" t="s">
        <v>593</v>
      </c>
      <c r="D174" s="356" t="str">
        <f ca="1">IF(ISERROR(OFFSET('HARGA SATUAN'!$D$6,MATCH(RAB!C174,'HARGA SATUAN'!$C$7:$C$1492,0),0)),"",OFFSET('HARGA SATUAN'!$D$6,MATCH(RAB!C174,'HARGA SATUAN'!$C$7:$C$1492,0),0))</f>
        <v>HDW</v>
      </c>
      <c r="E174" s="357" t="str">
        <f ca="1">IF(B174="+","Unit",IF(ISERROR(OFFSET('HARGA SATUAN'!$E$6,MATCH(RAB!C174,'HARGA SATUAN'!$C$7:$C$1492,0),0)),"",OFFSET('HARGA SATUAN'!$E$6,MATCH(RAB!C174,'HARGA SATUAN'!$C$7:$C$1492,0),0)))</f>
        <v>Bh</v>
      </c>
      <c r="F174" s="716">
        <f>F163*4</f>
        <v>4</v>
      </c>
      <c r="G174" s="358">
        <f ca="1">IF(ISERROR(OFFSET('HARGA SATUAN'!$I$6,MATCH(RAB!C174,'HARGA SATUAN'!$C$7:$C$1492,0),0)),0,OFFSET('HARGA SATUAN'!$I$6,MATCH(RAB!C174,'HARGA SATUAN'!$C$7:$C$1492,0),0))</f>
        <v>380500</v>
      </c>
      <c r="H174" s="359">
        <f t="shared" ca="1" si="20"/>
        <v>0</v>
      </c>
      <c r="I174" s="359">
        <f t="shared" ca="1" si="21"/>
        <v>1522000</v>
      </c>
      <c r="J174" s="359">
        <f t="shared" ca="1" si="22"/>
        <v>0</v>
      </c>
      <c r="K174" s="360">
        <f t="shared" ca="1" si="23"/>
        <v>1522000</v>
      </c>
      <c r="L174" s="367"/>
      <c r="M174" s="367"/>
      <c r="N174" s="367"/>
      <c r="O174" s="361"/>
      <c r="P174" s="361"/>
      <c r="Q174" s="344"/>
      <c r="R174" s="336"/>
      <c r="S174" s="362"/>
      <c r="T174" s="341"/>
      <c r="U174" s="341"/>
      <c r="V174" s="341"/>
    </row>
    <row r="175" spans="1:22" s="368" customFormat="1">
      <c r="A175" s="336"/>
      <c r="B175" s="696">
        <v>12</v>
      </c>
      <c r="C175" s="697" t="s">
        <v>218</v>
      </c>
      <c r="D175" s="356" t="str">
        <f ca="1">IF(ISERROR(OFFSET('HARGA SATUAN'!$D$6,MATCH(RAB!C175,'HARGA SATUAN'!$C$7:$C$1492,0),0)),"",OFFSET('HARGA SATUAN'!$D$6,MATCH(RAB!C175,'HARGA SATUAN'!$C$7:$C$1492,0),0))</f>
        <v>HDW</v>
      </c>
      <c r="E175" s="357" t="str">
        <f ca="1">IF(B175="+","Unit",IF(ISERROR(OFFSET('HARGA SATUAN'!$E$6,MATCH(RAB!C175,'HARGA SATUAN'!$C$7:$C$1492,0),0)),"",OFFSET('HARGA SATUAN'!$E$6,MATCH(RAB!C175,'HARGA SATUAN'!$C$7:$C$1492,0),0)))</f>
        <v>Bh</v>
      </c>
      <c r="F175" s="716">
        <f>F163*4</f>
        <v>4</v>
      </c>
      <c r="G175" s="358">
        <f ca="1">IF(ISERROR(OFFSET('HARGA SATUAN'!$I$6,MATCH(RAB!C175,'HARGA SATUAN'!$C$7:$C$1492,0),0)),0,OFFSET('HARGA SATUAN'!$I$6,MATCH(RAB!C175,'HARGA SATUAN'!$C$7:$C$1492,0),0))</f>
        <v>29600</v>
      </c>
      <c r="H175" s="359">
        <f t="shared" ca="1" si="20"/>
        <v>0</v>
      </c>
      <c r="I175" s="359">
        <f t="shared" ca="1" si="21"/>
        <v>118400</v>
      </c>
      <c r="J175" s="359">
        <f t="shared" ca="1" si="22"/>
        <v>0</v>
      </c>
      <c r="K175" s="360">
        <f t="shared" ca="1" si="23"/>
        <v>118400</v>
      </c>
      <c r="L175" s="367"/>
      <c r="M175" s="367"/>
      <c r="N175" s="367"/>
      <c r="O175" s="361"/>
      <c r="P175" s="361"/>
      <c r="Q175" s="344"/>
      <c r="R175" s="336"/>
      <c r="S175" s="362"/>
      <c r="T175" s="341"/>
      <c r="U175" s="341"/>
      <c r="V175" s="341"/>
    </row>
    <row r="176" spans="1:22" s="368" customFormat="1">
      <c r="A176" s="336"/>
      <c r="B176" s="696">
        <v>13</v>
      </c>
      <c r="C176" s="697" t="s">
        <v>217</v>
      </c>
      <c r="D176" s="356" t="str">
        <f ca="1">IF(ISERROR(OFFSET('HARGA SATUAN'!$D$6,MATCH(RAB!C176,'HARGA SATUAN'!$C$7:$C$1492,0),0)),"",OFFSET('HARGA SATUAN'!$D$6,MATCH(RAB!C176,'HARGA SATUAN'!$C$7:$C$1492,0),0))</f>
        <v>HDW</v>
      </c>
      <c r="E176" s="357" t="str">
        <f ca="1">IF(B176="+","Unit",IF(ISERROR(OFFSET('HARGA SATUAN'!$E$6,MATCH(RAB!C176,'HARGA SATUAN'!$C$7:$C$1492,0),0)),"",OFFSET('HARGA SATUAN'!$E$6,MATCH(RAB!C176,'HARGA SATUAN'!$C$7:$C$1492,0),0)))</f>
        <v>Bh</v>
      </c>
      <c r="F176" s="716">
        <f>F163*9</f>
        <v>9</v>
      </c>
      <c r="G176" s="358">
        <f ca="1">IF(ISERROR(OFFSET('HARGA SATUAN'!$I$6,MATCH(RAB!C176,'HARGA SATUAN'!$C$7:$C$1492,0),0)),0,OFFSET('HARGA SATUAN'!$I$6,MATCH(RAB!C176,'HARGA SATUAN'!$C$7:$C$1492,0),0))</f>
        <v>11400</v>
      </c>
      <c r="H176" s="359">
        <f t="shared" ca="1" si="20"/>
        <v>0</v>
      </c>
      <c r="I176" s="359">
        <f t="shared" ca="1" si="21"/>
        <v>102600</v>
      </c>
      <c r="J176" s="359">
        <f t="shared" ca="1" si="22"/>
        <v>0</v>
      </c>
      <c r="K176" s="360">
        <f t="shared" ca="1" si="23"/>
        <v>102600</v>
      </c>
      <c r="L176" s="367"/>
      <c r="M176" s="367"/>
      <c r="N176" s="367"/>
      <c r="O176" s="361"/>
      <c r="P176" s="361"/>
      <c r="Q176" s="344"/>
      <c r="R176" s="336"/>
      <c r="S176" s="362"/>
      <c r="T176" s="341"/>
      <c r="U176" s="341"/>
      <c r="V176" s="341"/>
    </row>
    <row r="177" spans="1:22" s="368" customFormat="1">
      <c r="A177" s="336"/>
      <c r="B177" s="696">
        <v>14</v>
      </c>
      <c r="C177" s="697" t="s">
        <v>223</v>
      </c>
      <c r="D177" s="356" t="str">
        <f ca="1">IF(ISERROR(OFFSET('HARGA SATUAN'!$D$6,MATCH(RAB!C177,'HARGA SATUAN'!$C$7:$C$1492,0),0)),"",OFFSET('HARGA SATUAN'!$D$6,MATCH(RAB!C177,'HARGA SATUAN'!$C$7:$C$1492,0),0))</f>
        <v>HDW</v>
      </c>
      <c r="E177" s="357" t="str">
        <f ca="1">IF(B177="+","Unit",IF(ISERROR(OFFSET('HARGA SATUAN'!$E$6,MATCH(RAB!C177,'HARGA SATUAN'!$C$7:$C$1492,0),0)),"",OFFSET('HARGA SATUAN'!$E$6,MATCH(RAB!C177,'HARGA SATUAN'!$C$7:$C$1492,0),0)))</f>
        <v>Bh</v>
      </c>
      <c r="F177" s="716">
        <f>F163*2</f>
        <v>2</v>
      </c>
      <c r="G177" s="358">
        <f ca="1">IF(ISERROR(OFFSET('HARGA SATUAN'!$I$6,MATCH(RAB!C177,'HARGA SATUAN'!$C$7:$C$1492,0),0)),0,OFFSET('HARGA SATUAN'!$I$6,MATCH(RAB!C177,'HARGA SATUAN'!$C$7:$C$1492,0),0))</f>
        <v>27815</v>
      </c>
      <c r="H177" s="359">
        <f t="shared" ca="1" si="20"/>
        <v>0</v>
      </c>
      <c r="I177" s="359">
        <f t="shared" ca="1" si="21"/>
        <v>55630</v>
      </c>
      <c r="J177" s="359">
        <f t="shared" ca="1" si="22"/>
        <v>0</v>
      </c>
      <c r="K177" s="360">
        <f t="shared" ca="1" si="23"/>
        <v>55630</v>
      </c>
      <c r="L177" s="367"/>
      <c r="M177" s="367"/>
      <c r="N177" s="367"/>
      <c r="O177" s="361"/>
      <c r="P177" s="361"/>
      <c r="Q177" s="344"/>
      <c r="R177" s="336"/>
      <c r="S177" s="362"/>
      <c r="T177" s="341"/>
      <c r="U177" s="341"/>
      <c r="V177" s="341"/>
    </row>
    <row r="178" spans="1:22" s="368" customFormat="1">
      <c r="A178" s="336"/>
      <c r="B178" s="696">
        <v>15</v>
      </c>
      <c r="C178" s="697" t="s">
        <v>25</v>
      </c>
      <c r="D178" s="356" t="str">
        <f ca="1">IF(ISERROR(OFFSET('HARGA SATUAN'!$D$6,MATCH(RAB!C178,'HARGA SATUAN'!$C$7:$C$1492,0),0)),"",OFFSET('HARGA SATUAN'!$D$6,MATCH(RAB!C178,'HARGA SATUAN'!$C$7:$C$1492,0),0))</f>
        <v>HDW</v>
      </c>
      <c r="E178" s="357" t="str">
        <f ca="1">IF(B178="+","Unit",IF(ISERROR(OFFSET('HARGA SATUAN'!$E$6,MATCH(RAB!C178,'HARGA SATUAN'!$C$7:$C$1492,0),0)),"",OFFSET('HARGA SATUAN'!$E$6,MATCH(RAB!C178,'HARGA SATUAN'!$C$7:$C$1492,0),0)))</f>
        <v>Bh</v>
      </c>
      <c r="F178" s="716">
        <f>F163*6</f>
        <v>6</v>
      </c>
      <c r="G178" s="358">
        <f ca="1">IF(ISERROR(OFFSET('HARGA SATUAN'!$I$6,MATCH(RAB!C178,'HARGA SATUAN'!$C$7:$C$1492,0),0)),0,OFFSET('HARGA SATUAN'!$I$6,MATCH(RAB!C178,'HARGA SATUAN'!$C$7:$C$1492,0),0))</f>
        <v>23936</v>
      </c>
      <c r="H178" s="359">
        <f t="shared" ca="1" si="20"/>
        <v>0</v>
      </c>
      <c r="I178" s="359">
        <f t="shared" ca="1" si="21"/>
        <v>143616</v>
      </c>
      <c r="J178" s="359">
        <f t="shared" ca="1" si="22"/>
        <v>0</v>
      </c>
      <c r="K178" s="360">
        <f t="shared" ca="1" si="23"/>
        <v>143616</v>
      </c>
      <c r="L178" s="367"/>
      <c r="M178" s="367"/>
      <c r="N178" s="367"/>
      <c r="O178" s="361"/>
      <c r="P178" s="361"/>
      <c r="Q178" s="344"/>
      <c r="R178" s="336"/>
      <c r="S178" s="362"/>
      <c r="T178" s="341"/>
      <c r="U178" s="341"/>
      <c r="V178" s="341"/>
    </row>
    <row r="179" spans="1:22" s="368" customFormat="1">
      <c r="A179" s="336"/>
      <c r="B179" s="696">
        <v>16</v>
      </c>
      <c r="C179" s="697" t="s">
        <v>37</v>
      </c>
      <c r="D179" s="356" t="str">
        <f ca="1">IF(ISERROR(OFFSET('HARGA SATUAN'!$D$6,MATCH(RAB!C179,'HARGA SATUAN'!$C$7:$C$1492,0),0)),"",OFFSET('HARGA SATUAN'!$D$6,MATCH(RAB!C179,'HARGA SATUAN'!$C$7:$C$1492,0),0))</f>
        <v>HDW</v>
      </c>
      <c r="E179" s="357" t="str">
        <f ca="1">IF(B179="+","Unit",IF(ISERROR(OFFSET('HARGA SATUAN'!$E$6,MATCH(RAB!C179,'HARGA SATUAN'!$C$7:$C$1492,0),0)),"",OFFSET('HARGA SATUAN'!$E$6,MATCH(RAB!C179,'HARGA SATUAN'!$C$7:$C$1492,0),0)))</f>
        <v>Bh</v>
      </c>
      <c r="F179" s="716">
        <f>F163*3</f>
        <v>3</v>
      </c>
      <c r="G179" s="358">
        <f ca="1">IF(ISERROR(OFFSET('HARGA SATUAN'!$I$6,MATCH(RAB!C179,'HARGA SATUAN'!$C$7:$C$1492,0),0)),0,OFFSET('HARGA SATUAN'!$I$6,MATCH(RAB!C179,'HARGA SATUAN'!$C$7:$C$1492,0),0))</f>
        <v>63500</v>
      </c>
      <c r="H179" s="359">
        <f t="shared" ca="1" si="20"/>
        <v>0</v>
      </c>
      <c r="I179" s="359">
        <f t="shared" ca="1" si="21"/>
        <v>190500</v>
      </c>
      <c r="J179" s="359">
        <f t="shared" ca="1" si="22"/>
        <v>0</v>
      </c>
      <c r="K179" s="360">
        <f t="shared" ca="1" si="23"/>
        <v>190500</v>
      </c>
      <c r="L179" s="367"/>
      <c r="M179" s="367"/>
      <c r="N179" s="367"/>
      <c r="O179" s="361"/>
      <c r="P179" s="361"/>
      <c r="Q179" s="344"/>
      <c r="R179" s="336"/>
      <c r="S179" s="362"/>
      <c r="T179" s="341"/>
      <c r="U179" s="341"/>
      <c r="V179" s="341"/>
    </row>
    <row r="180" spans="1:22" s="368" customFormat="1">
      <c r="A180" s="336"/>
      <c r="B180" s="696">
        <v>17</v>
      </c>
      <c r="C180" s="697" t="s">
        <v>247</v>
      </c>
      <c r="D180" s="356" t="str">
        <f ca="1">IF(ISERROR(OFFSET('HARGA SATUAN'!$D$6,MATCH(RAB!C180,'HARGA SATUAN'!$C$7:$C$1492,0),0)),"",OFFSET('HARGA SATUAN'!$D$6,MATCH(RAB!C180,'HARGA SATUAN'!$C$7:$C$1492,0),0))</f>
        <v>HDW</v>
      </c>
      <c r="E180" s="357" t="str">
        <f ca="1">IF(B180="+","Unit",IF(ISERROR(OFFSET('HARGA SATUAN'!$E$6,MATCH(RAB!C180,'HARGA SATUAN'!$C$7:$C$1492,0),0)),"",OFFSET('HARGA SATUAN'!$E$6,MATCH(RAB!C180,'HARGA SATUAN'!$C$7:$C$1492,0),0)))</f>
        <v>Bh</v>
      </c>
      <c r="F180" s="716">
        <f>F163*3</f>
        <v>3</v>
      </c>
      <c r="G180" s="358">
        <f ca="1">IF(ISERROR(OFFSET('HARGA SATUAN'!$I$6,MATCH(RAB!C180,'HARGA SATUAN'!$C$7:$C$1492,0),0)),0,OFFSET('HARGA SATUAN'!$I$6,MATCH(RAB!C180,'HARGA SATUAN'!$C$7:$C$1492,0),0))</f>
        <v>57690</v>
      </c>
      <c r="H180" s="359">
        <f t="shared" ca="1" si="20"/>
        <v>0</v>
      </c>
      <c r="I180" s="359">
        <f t="shared" ca="1" si="21"/>
        <v>173070</v>
      </c>
      <c r="J180" s="359">
        <f t="shared" ca="1" si="22"/>
        <v>0</v>
      </c>
      <c r="K180" s="360">
        <f t="shared" ca="1" si="23"/>
        <v>173070</v>
      </c>
      <c r="L180" s="367"/>
      <c r="M180" s="367"/>
      <c r="N180" s="367"/>
      <c r="O180" s="361"/>
      <c r="P180" s="361"/>
      <c r="Q180" s="344"/>
      <c r="R180" s="336"/>
      <c r="S180" s="362"/>
      <c r="T180" s="341"/>
      <c r="U180" s="341"/>
      <c r="V180" s="341"/>
    </row>
    <row r="181" spans="1:22" s="368" customFormat="1">
      <c r="A181" s="336"/>
      <c r="B181" s="696">
        <v>18</v>
      </c>
      <c r="C181" s="697" t="s">
        <v>27</v>
      </c>
      <c r="D181" s="356" t="str">
        <f ca="1">IF(ISERROR(OFFSET('HARGA SATUAN'!$D$6,MATCH(RAB!C181,'HARGA SATUAN'!$C$7:$C$1492,0),0)),"",OFFSET('HARGA SATUAN'!$D$6,MATCH(RAB!C181,'HARGA SATUAN'!$C$7:$C$1492,0),0))</f>
        <v>HDW</v>
      </c>
      <c r="E181" s="357" t="str">
        <f ca="1">IF(B181="+","Unit",IF(ISERROR(OFFSET('HARGA SATUAN'!$E$6,MATCH(RAB!C181,'HARGA SATUAN'!$C$7:$C$1492,0),0)),"",OFFSET('HARGA SATUAN'!$E$6,MATCH(RAB!C181,'HARGA SATUAN'!$C$7:$C$1492,0),0)))</f>
        <v>Bh</v>
      </c>
      <c r="F181" s="716">
        <f>F163*6</f>
        <v>6</v>
      </c>
      <c r="G181" s="358">
        <f ca="1">IF(ISERROR(OFFSET('HARGA SATUAN'!$I$6,MATCH(RAB!C181,'HARGA SATUAN'!$C$7:$C$1492,0),0)),0,OFFSET('HARGA SATUAN'!$I$6,MATCH(RAB!C181,'HARGA SATUAN'!$C$7:$C$1492,0),0))</f>
        <v>16000</v>
      </c>
      <c r="H181" s="359">
        <f t="shared" ca="1" si="20"/>
        <v>0</v>
      </c>
      <c r="I181" s="359">
        <f t="shared" ca="1" si="21"/>
        <v>96000</v>
      </c>
      <c r="J181" s="359">
        <f t="shared" ca="1" si="22"/>
        <v>0</v>
      </c>
      <c r="K181" s="360">
        <f t="shared" ca="1" si="23"/>
        <v>96000</v>
      </c>
      <c r="L181" s="367"/>
      <c r="M181" s="367"/>
      <c r="N181" s="367"/>
      <c r="O181" s="361"/>
      <c r="P181" s="361"/>
      <c r="Q181" s="344"/>
      <c r="R181" s="336"/>
      <c r="S181" s="362"/>
      <c r="T181" s="341"/>
      <c r="U181" s="341"/>
      <c r="V181" s="341"/>
    </row>
    <row r="182" spans="1:22" s="368" customFormat="1">
      <c r="A182" s="336"/>
      <c r="B182" s="696">
        <v>19</v>
      </c>
      <c r="C182" s="697" t="s">
        <v>265</v>
      </c>
      <c r="D182" s="356" t="str">
        <f ca="1">IF(ISERROR(OFFSET('HARGA SATUAN'!$D$6,MATCH(RAB!C182,'HARGA SATUAN'!$C$7:$C$1492,0),0)),"",OFFSET('HARGA SATUAN'!$D$6,MATCH(RAB!C182,'HARGA SATUAN'!$C$7:$C$1492,0),0))</f>
        <v>HDW</v>
      </c>
      <c r="E182" s="357" t="str">
        <f ca="1">IF(B182="+","Unit",IF(ISERROR(OFFSET('HARGA SATUAN'!$E$6,MATCH(RAB!C182,'HARGA SATUAN'!$C$7:$C$1492,0),0)),"",OFFSET('HARGA SATUAN'!$E$6,MATCH(RAB!C182,'HARGA SATUAN'!$C$7:$C$1492,0),0)))</f>
        <v>Bh</v>
      </c>
      <c r="F182" s="716">
        <f>F163*2</f>
        <v>2</v>
      </c>
      <c r="G182" s="358">
        <f ca="1">IF(ISERROR(OFFSET('HARGA SATUAN'!$I$6,MATCH(RAB!C182,'HARGA SATUAN'!$C$7:$C$1492,0),0)),0,OFFSET('HARGA SATUAN'!$I$6,MATCH(RAB!C182,'HARGA SATUAN'!$C$7:$C$1492,0),0))</f>
        <v>33501.866666666669</v>
      </c>
      <c r="H182" s="359">
        <f t="shared" ref="H182:H246" ca="1" si="28">IF(OR(D182="MDU",D182="MDU-KD"),(IF($O$3="RAB NON MDU","PLN KD",G182*F182)),0)</f>
        <v>0</v>
      </c>
      <c r="I182" s="359">
        <f t="shared" ref="I182:I246" ca="1" si="29">IF(D182="HDW",G182*F182,0)</f>
        <v>67003.733333333337</v>
      </c>
      <c r="J182" s="359">
        <f t="shared" ref="J182:J246" ca="1" si="30">IF(D182="JASA",G182*F182,0)</f>
        <v>0</v>
      </c>
      <c r="K182" s="360">
        <f t="shared" ref="K182:K246" ca="1" si="31">SUM(H182:J182)</f>
        <v>67003.733333333337</v>
      </c>
      <c r="L182" s="367"/>
      <c r="M182" s="367"/>
      <c r="N182" s="367"/>
      <c r="O182" s="361"/>
      <c r="P182" s="361"/>
      <c r="Q182" s="344"/>
      <c r="R182" s="336"/>
      <c r="S182" s="362"/>
      <c r="T182" s="341"/>
      <c r="U182" s="341"/>
      <c r="V182" s="341"/>
    </row>
    <row r="183" spans="1:22" s="368" customFormat="1">
      <c r="A183" s="336"/>
      <c r="B183" s="696">
        <v>20</v>
      </c>
      <c r="C183" s="697" t="s">
        <v>38</v>
      </c>
      <c r="D183" s="356" t="str">
        <f ca="1">IF(ISERROR(OFFSET('HARGA SATUAN'!$D$6,MATCH(RAB!C183,'HARGA SATUAN'!$C$7:$C$1492,0),0)),"",OFFSET('HARGA SATUAN'!$D$6,MATCH(RAB!C183,'HARGA SATUAN'!$C$7:$C$1492,0),0))</f>
        <v>HDW</v>
      </c>
      <c r="E183" s="357" t="str">
        <f ca="1">IF(B183="+","Unit",IF(ISERROR(OFFSET('HARGA SATUAN'!$E$6,MATCH(RAB!C183,'HARGA SATUAN'!$C$7:$C$1492,0),0)),"",OFFSET('HARGA SATUAN'!$E$6,MATCH(RAB!C183,'HARGA SATUAN'!$C$7:$C$1492,0),0)))</f>
        <v>Mtr</v>
      </c>
      <c r="F183" s="716">
        <f>3.6*F163</f>
        <v>3.6</v>
      </c>
      <c r="G183" s="358">
        <f ca="1">IF(ISERROR(OFFSET('HARGA SATUAN'!$I$6,MATCH(RAB!C183,'HARGA SATUAN'!$C$7:$C$1492,0),0)),0,OFFSET('HARGA SATUAN'!$I$6,MATCH(RAB!C183,'HARGA SATUAN'!$C$7:$C$1492,0),0))</f>
        <v>8550</v>
      </c>
      <c r="H183" s="359">
        <f t="shared" ca="1" si="28"/>
        <v>0</v>
      </c>
      <c r="I183" s="359">
        <f t="shared" ca="1" si="29"/>
        <v>30780</v>
      </c>
      <c r="J183" s="359">
        <f t="shared" ca="1" si="30"/>
        <v>0</v>
      </c>
      <c r="K183" s="360">
        <f t="shared" ca="1" si="31"/>
        <v>30780</v>
      </c>
      <c r="L183" s="367"/>
      <c r="M183" s="367"/>
      <c r="N183" s="367"/>
      <c r="O183" s="361"/>
      <c r="P183" s="361"/>
      <c r="Q183" s="344"/>
      <c r="R183" s="336"/>
      <c r="S183" s="362"/>
      <c r="T183" s="341"/>
      <c r="U183" s="341"/>
      <c r="V183" s="341"/>
    </row>
    <row r="184" spans="1:22" s="368" customFormat="1">
      <c r="A184" s="336"/>
      <c r="B184" s="696">
        <v>21</v>
      </c>
      <c r="C184" s="697" t="s">
        <v>26</v>
      </c>
      <c r="D184" s="356" t="str">
        <f ca="1">IF(ISERROR(OFFSET('HARGA SATUAN'!$D$6,MATCH(RAB!C184,'HARGA SATUAN'!$C$7:$C$1492,0),0)),"",OFFSET('HARGA SATUAN'!$D$6,MATCH(RAB!C184,'HARGA SATUAN'!$C$7:$C$1492,0),0))</f>
        <v>HDW</v>
      </c>
      <c r="E184" s="357" t="str">
        <f ca="1">IF(B184="+","Unit",IF(ISERROR(OFFSET('HARGA SATUAN'!$E$6,MATCH(RAB!C184,'HARGA SATUAN'!$C$7:$C$1492,0),0)),"",OFFSET('HARGA SATUAN'!$E$6,MATCH(RAB!C184,'HARGA SATUAN'!$C$7:$C$1492,0),0)))</f>
        <v>Bh</v>
      </c>
      <c r="F184" s="716">
        <f>F163*22</f>
        <v>22</v>
      </c>
      <c r="G184" s="358">
        <f ca="1">IF(ISERROR(OFFSET('HARGA SATUAN'!$I$6,MATCH(RAB!C184,'HARGA SATUAN'!$C$7:$C$1492,0),0)),0,OFFSET('HARGA SATUAN'!$I$6,MATCH(RAB!C184,'HARGA SATUAN'!$C$7:$C$1492,0),0))</f>
        <v>2500</v>
      </c>
      <c r="H184" s="359">
        <f t="shared" ca="1" si="28"/>
        <v>0</v>
      </c>
      <c r="I184" s="359">
        <f t="shared" ca="1" si="29"/>
        <v>55000</v>
      </c>
      <c r="J184" s="359">
        <f t="shared" ca="1" si="30"/>
        <v>0</v>
      </c>
      <c r="K184" s="360">
        <f t="shared" ca="1" si="31"/>
        <v>55000</v>
      </c>
      <c r="L184" s="367"/>
      <c r="M184" s="367"/>
      <c r="N184" s="367"/>
      <c r="O184" s="361"/>
      <c r="P184" s="361"/>
      <c r="Q184" s="344"/>
      <c r="R184" s="336"/>
      <c r="S184" s="362"/>
      <c r="T184" s="341"/>
      <c r="U184" s="341"/>
      <c r="V184" s="341"/>
    </row>
    <row r="185" spans="1:22" s="368" customFormat="1">
      <c r="A185" s="336"/>
      <c r="B185" s="696">
        <v>22</v>
      </c>
      <c r="C185" s="693" t="s">
        <v>709</v>
      </c>
      <c r="D185" s="356" t="str">
        <f ca="1">IF(ISERROR(OFFSET('HARGA SATUAN'!$D$6,MATCH(RAB!C185,'HARGA SATUAN'!$C$7:$C$1492,0),0)),"",OFFSET('HARGA SATUAN'!$D$6,MATCH(RAB!C185,'HARGA SATUAN'!$C$7:$C$1492,0),0))</f>
        <v>JASA</v>
      </c>
      <c r="E185" s="357" t="str">
        <f ca="1">IF(B185="+","Unit",IF(ISERROR(OFFSET('HARGA SATUAN'!$E$6,MATCH(RAB!C185,'HARGA SATUAN'!$C$7:$C$1492,0),0)),"",OFFSET('HARGA SATUAN'!$E$6,MATCH(RAB!C185,'HARGA SATUAN'!$C$7:$C$1492,0),0)))</f>
        <v>Unit</v>
      </c>
      <c r="F185" s="716">
        <f>F163*1</f>
        <v>1</v>
      </c>
      <c r="G185" s="358">
        <f ca="1">IF(ISERROR(OFFSET('HARGA SATUAN'!$I$6,MATCH(RAB!C185,'HARGA SATUAN'!$C$7:$C$1492,0),0)),0,OFFSET('HARGA SATUAN'!$I$6,MATCH(RAB!C185,'HARGA SATUAN'!$C$7:$C$1492,0),0))</f>
        <v>197500</v>
      </c>
      <c r="H185" s="359">
        <f t="shared" ca="1" si="28"/>
        <v>0</v>
      </c>
      <c r="I185" s="359">
        <f t="shared" ca="1" si="29"/>
        <v>0</v>
      </c>
      <c r="J185" s="359">
        <f t="shared" ca="1" si="30"/>
        <v>197500</v>
      </c>
      <c r="K185" s="360">
        <f t="shared" ca="1" si="31"/>
        <v>197500</v>
      </c>
      <c r="L185" s="367"/>
      <c r="M185" s="367"/>
      <c r="N185" s="367"/>
      <c r="O185" s="361"/>
      <c r="P185" s="361"/>
      <c r="Q185" s="344"/>
      <c r="R185" s="336"/>
      <c r="S185" s="362"/>
      <c r="T185" s="341"/>
      <c r="U185" s="341"/>
      <c r="V185" s="341"/>
    </row>
    <row r="186" spans="1:22" s="368" customFormat="1">
      <c r="A186" s="336"/>
      <c r="B186" s="692"/>
      <c r="C186" s="693"/>
      <c r="D186" s="356" t="str">
        <f ca="1">IF(ISERROR(OFFSET('HARGA SATUAN'!$D$6,MATCH(RAB!C186,'HARGA SATUAN'!$C$7:$C$1492,0),0)),"",OFFSET('HARGA SATUAN'!$D$6,MATCH(RAB!C186,'HARGA SATUAN'!$C$7:$C$1492,0),0))</f>
        <v/>
      </c>
      <c r="E186" s="357" t="str">
        <f ca="1">IF(B186="+","Unit",IF(ISERROR(OFFSET('HARGA SATUAN'!$E$6,MATCH(RAB!C186,'HARGA SATUAN'!$C$7:$C$1492,0),0)),"",OFFSET('HARGA SATUAN'!$E$6,MATCH(RAB!C186,'HARGA SATUAN'!$C$7:$C$1492,0),0)))</f>
        <v/>
      </c>
      <c r="F186" s="714"/>
      <c r="G186" s="358">
        <f ca="1">IF(ISERROR(OFFSET('HARGA SATUAN'!$I$6,MATCH(RAB!C186,'HARGA SATUAN'!$C$7:$C$1492,0),0)),0,OFFSET('HARGA SATUAN'!$I$6,MATCH(RAB!C186,'HARGA SATUAN'!$C$7:$C$1492,0),0))</f>
        <v>0</v>
      </c>
      <c r="H186" s="359">
        <f t="shared" ca="1" si="28"/>
        <v>0</v>
      </c>
      <c r="I186" s="359">
        <f t="shared" ca="1" si="29"/>
        <v>0</v>
      </c>
      <c r="J186" s="359">
        <f t="shared" ca="1" si="30"/>
        <v>0</v>
      </c>
      <c r="K186" s="360">
        <f t="shared" ca="1" si="31"/>
        <v>0</v>
      </c>
      <c r="L186" s="367"/>
      <c r="M186" s="367"/>
      <c r="N186" s="367"/>
      <c r="O186" s="361"/>
      <c r="P186" s="361"/>
      <c r="Q186" s="344"/>
      <c r="R186" s="336"/>
      <c r="S186" s="362"/>
      <c r="T186" s="341"/>
      <c r="U186" s="341"/>
      <c r="V186" s="341"/>
    </row>
    <row r="187" spans="1:22" s="368" customFormat="1">
      <c r="A187" s="336"/>
      <c r="B187" s="692" t="s">
        <v>1035</v>
      </c>
      <c r="C187" s="693" t="s">
        <v>1629</v>
      </c>
      <c r="D187" s="356" t="str">
        <f ca="1">IF(ISERROR(OFFSET('HARGA SATUAN'!$D$6,MATCH(RAB!C187,'HARGA SATUAN'!$C$7:$C$1492,0),0)),"",OFFSET('HARGA SATUAN'!$D$6,MATCH(RAB!C187,'HARGA SATUAN'!$C$7:$C$1492,0),0))</f>
        <v/>
      </c>
      <c r="E187" s="357" t="str">
        <f ca="1">IF(B187="+","Unit",IF(ISERROR(OFFSET('HARGA SATUAN'!$E$6,MATCH(RAB!C187,'HARGA SATUAN'!$C$7:$C$1492,0),0)),"",OFFSET('HARGA SATUAN'!$E$6,MATCH(RAB!C187,'HARGA SATUAN'!$C$7:$C$1492,0),0)))</f>
        <v>Unit</v>
      </c>
      <c r="F187" s="714">
        <v>13</v>
      </c>
      <c r="G187" s="358">
        <f ca="1">IF(ISERROR(OFFSET('HARGA SATUAN'!$I$6,MATCH(RAB!C187,'HARGA SATUAN'!$C$7:$C$1492,0),0)),0,OFFSET('HARGA SATUAN'!$I$6,MATCH(RAB!C187,'HARGA SATUAN'!$C$7:$C$1492,0),0))</f>
        <v>0</v>
      </c>
      <c r="H187" s="359">
        <f t="shared" ca="1" si="28"/>
        <v>0</v>
      </c>
      <c r="I187" s="359">
        <f t="shared" ca="1" si="29"/>
        <v>0</v>
      </c>
      <c r="J187" s="359">
        <f t="shared" ca="1" si="30"/>
        <v>0</v>
      </c>
      <c r="K187" s="360">
        <f t="shared" ca="1" si="31"/>
        <v>0</v>
      </c>
      <c r="L187" s="367"/>
      <c r="M187" s="367"/>
      <c r="N187" s="367"/>
      <c r="O187" s="361"/>
      <c r="P187" s="361"/>
      <c r="Q187" s="344"/>
      <c r="R187" s="336"/>
      <c r="S187" s="362"/>
      <c r="T187" s="341"/>
      <c r="U187" s="341"/>
      <c r="V187" s="341"/>
    </row>
    <row r="188" spans="1:22" s="368" customFormat="1">
      <c r="A188" s="336"/>
      <c r="B188" s="692">
        <v>1</v>
      </c>
      <c r="C188" s="109" t="s">
        <v>1564</v>
      </c>
      <c r="D188" s="356" t="str">
        <f ca="1">IF(ISERROR(OFFSET('HARGA SATUAN'!$D$6,MATCH(RAB!C188,'HARGA SATUAN'!$C$7:$C$1492,0),0)),"",OFFSET('HARGA SATUAN'!$D$6,MATCH(RAB!C188,'HARGA SATUAN'!$C$7:$C$1492,0),0))</f>
        <v>MDU-KD</v>
      </c>
      <c r="E188" s="357" t="str">
        <f ca="1">IF(B188="+","Unit",IF(ISERROR(OFFSET('HARGA SATUAN'!$E$6,MATCH(RAB!C188,'HARGA SATUAN'!$C$7:$C$1492,0),0)),"",OFFSET('HARGA SATUAN'!$E$6,MATCH(RAB!C188,'HARGA SATUAN'!$C$7:$C$1492,0),0)))</f>
        <v>Bh</v>
      </c>
      <c r="F188" s="714">
        <f>F187*2</f>
        <v>26</v>
      </c>
      <c r="G188" s="358">
        <f ca="1">IF(ISERROR(OFFSET('HARGA SATUAN'!$I$6,MATCH(RAB!C188,'HARGA SATUAN'!$C$7:$C$1492,0),0)),0,OFFSET('HARGA SATUAN'!$I$6,MATCH(RAB!C188,'HARGA SATUAN'!$C$7:$C$1492,0),0))</f>
        <v>235900</v>
      </c>
      <c r="H188" s="359">
        <f t="shared" ca="1" si="28"/>
        <v>6133400</v>
      </c>
      <c r="I188" s="359">
        <f t="shared" ca="1" si="29"/>
        <v>0</v>
      </c>
      <c r="J188" s="359">
        <f t="shared" ca="1" si="30"/>
        <v>0</v>
      </c>
      <c r="K188" s="360">
        <f t="shared" ca="1" si="31"/>
        <v>6133400</v>
      </c>
      <c r="L188" s="367"/>
      <c r="M188" s="367"/>
      <c r="N188" s="367"/>
      <c r="O188" s="361"/>
      <c r="P188" s="361"/>
      <c r="Q188" s="344"/>
      <c r="R188" s="336"/>
      <c r="S188" s="362"/>
      <c r="T188" s="341"/>
      <c r="U188" s="341"/>
      <c r="V188" s="341"/>
    </row>
    <row r="189" spans="1:22" s="368" customFormat="1">
      <c r="A189" s="336"/>
      <c r="B189" s="692">
        <v>2</v>
      </c>
      <c r="C189" s="693" t="s">
        <v>163</v>
      </c>
      <c r="D189" s="356" t="str">
        <f ca="1">IF(ISERROR(OFFSET('HARGA SATUAN'!$D$6,MATCH(RAB!C189,'HARGA SATUAN'!$C$7:$C$1492,0),0)),"",OFFSET('HARGA SATUAN'!$D$6,MATCH(RAB!C189,'HARGA SATUAN'!$C$7:$C$1492,0),0))</f>
        <v>HDW</v>
      </c>
      <c r="E189" s="357" t="str">
        <f ca="1">IF(B189="+","Unit",IF(ISERROR(OFFSET('HARGA SATUAN'!$E$6,MATCH(RAB!C189,'HARGA SATUAN'!$C$7:$C$1492,0),0)),"",OFFSET('HARGA SATUAN'!$E$6,MATCH(RAB!C189,'HARGA SATUAN'!$C$7:$C$1492,0),0)))</f>
        <v>Bh</v>
      </c>
      <c r="F189" s="714">
        <f>F187*2</f>
        <v>26</v>
      </c>
      <c r="G189" s="358">
        <f ca="1">IF(ISERROR(OFFSET('HARGA SATUAN'!$I$6,MATCH(RAB!C189,'HARGA SATUAN'!$C$7:$C$1492,0),0)),0,OFFSET('HARGA SATUAN'!$I$6,MATCH(RAB!C189,'HARGA SATUAN'!$C$7:$C$1492,0),0))</f>
        <v>7938</v>
      </c>
      <c r="H189" s="359">
        <f t="shared" ca="1" si="28"/>
        <v>0</v>
      </c>
      <c r="I189" s="359">
        <f t="shared" ca="1" si="29"/>
        <v>206388</v>
      </c>
      <c r="J189" s="359">
        <f t="shared" ca="1" si="30"/>
        <v>0</v>
      </c>
      <c r="K189" s="360">
        <f t="shared" ca="1" si="31"/>
        <v>206388</v>
      </c>
      <c r="L189" s="367"/>
      <c r="M189" s="367"/>
      <c r="N189" s="367"/>
      <c r="O189" s="361"/>
      <c r="P189" s="361"/>
      <c r="Q189" s="344"/>
      <c r="R189" s="336"/>
      <c r="S189" s="362"/>
      <c r="T189" s="341"/>
      <c r="U189" s="341"/>
      <c r="V189" s="341"/>
    </row>
    <row r="190" spans="1:22" s="368" customFormat="1">
      <c r="A190" s="336"/>
      <c r="B190" s="692">
        <v>3</v>
      </c>
      <c r="C190" s="693" t="s">
        <v>28</v>
      </c>
      <c r="D190" s="356" t="str">
        <f ca="1">IF(ISERROR(OFFSET('HARGA SATUAN'!$D$6,MATCH(RAB!C190,'HARGA SATUAN'!$C$7:$C$1492,0),0)),"",OFFSET('HARGA SATUAN'!$D$6,MATCH(RAB!C190,'HARGA SATUAN'!$C$7:$C$1492,0),0))</f>
        <v>HDW</v>
      </c>
      <c r="E190" s="357" t="str">
        <f ca="1">IF(B190="+","Unit",IF(ISERROR(OFFSET('HARGA SATUAN'!$E$6,MATCH(RAB!C190,'HARGA SATUAN'!$C$7:$C$1492,0),0)),"",OFFSET('HARGA SATUAN'!$E$6,MATCH(RAB!C190,'HARGA SATUAN'!$C$7:$C$1492,0),0)))</f>
        <v>Bh</v>
      </c>
      <c r="F190" s="489">
        <f>F187*1</f>
        <v>13</v>
      </c>
      <c r="G190" s="358">
        <f ca="1">IF(ISERROR(OFFSET('HARGA SATUAN'!$I$6,MATCH(RAB!C190,'HARGA SATUAN'!$C$7:$C$1492,0),0)),0,OFFSET('HARGA SATUAN'!$I$6,MATCH(RAB!C190,'HARGA SATUAN'!$C$7:$C$1492,0),0))</f>
        <v>26500</v>
      </c>
      <c r="H190" s="359">
        <f t="shared" ca="1" si="28"/>
        <v>0</v>
      </c>
      <c r="I190" s="359">
        <f t="shared" ca="1" si="29"/>
        <v>344500</v>
      </c>
      <c r="J190" s="359">
        <f t="shared" ca="1" si="30"/>
        <v>0</v>
      </c>
      <c r="K190" s="360">
        <f t="shared" ca="1" si="31"/>
        <v>344500</v>
      </c>
      <c r="L190" s="367"/>
      <c r="M190" s="367"/>
      <c r="N190" s="367"/>
      <c r="O190" s="361"/>
      <c r="P190" s="361"/>
      <c r="Q190" s="344"/>
      <c r="R190" s="336"/>
      <c r="S190" s="362"/>
      <c r="T190" s="341"/>
      <c r="U190" s="341"/>
      <c r="V190" s="341"/>
    </row>
    <row r="191" spans="1:22" s="368" customFormat="1">
      <c r="A191" s="336"/>
      <c r="B191" s="692">
        <v>4</v>
      </c>
      <c r="C191" s="693" t="s">
        <v>173</v>
      </c>
      <c r="D191" s="356" t="str">
        <f ca="1">IF(ISERROR(OFFSET('HARGA SATUAN'!$D$6,MATCH(RAB!C191,'HARGA SATUAN'!$C$7:$C$1492,0),0)),"",OFFSET('HARGA SATUAN'!$D$6,MATCH(RAB!C191,'HARGA SATUAN'!$C$7:$C$1492,0),0))</f>
        <v>HDW</v>
      </c>
      <c r="E191" s="357" t="str">
        <f ca="1">IF(B191="+","Unit",IF(ISERROR(OFFSET('HARGA SATUAN'!$E$6,MATCH(RAB!C191,'HARGA SATUAN'!$C$7:$C$1492,0),0)),"",OFFSET('HARGA SATUAN'!$E$6,MATCH(RAB!C191,'HARGA SATUAN'!$C$7:$C$1492,0),0)))</f>
        <v>Bh</v>
      </c>
      <c r="F191" s="489">
        <f>F187*2</f>
        <v>26</v>
      </c>
      <c r="G191" s="358">
        <f ca="1">IF(ISERROR(OFFSET('HARGA SATUAN'!$I$6,MATCH(RAB!C191,'HARGA SATUAN'!$C$7:$C$1492,0),0)),0,OFFSET('HARGA SATUAN'!$I$6,MATCH(RAB!C191,'HARGA SATUAN'!$C$7:$C$1492,0),0))</f>
        <v>45000</v>
      </c>
      <c r="H191" s="359">
        <f t="shared" ca="1" si="28"/>
        <v>0</v>
      </c>
      <c r="I191" s="359">
        <f t="shared" ca="1" si="29"/>
        <v>1170000</v>
      </c>
      <c r="J191" s="359">
        <f t="shared" ca="1" si="30"/>
        <v>0</v>
      </c>
      <c r="K191" s="360">
        <f t="shared" ca="1" si="31"/>
        <v>1170000</v>
      </c>
      <c r="L191" s="367"/>
      <c r="M191" s="367"/>
      <c r="N191" s="367"/>
      <c r="O191" s="361"/>
      <c r="P191" s="361"/>
      <c r="Q191" s="344"/>
      <c r="R191" s="336"/>
      <c r="S191" s="362"/>
      <c r="T191" s="341"/>
      <c r="U191" s="341"/>
      <c r="V191" s="341"/>
    </row>
    <row r="192" spans="1:22" s="368" customFormat="1">
      <c r="A192" s="336"/>
      <c r="B192" s="692">
        <v>5</v>
      </c>
      <c r="C192" s="693" t="s">
        <v>593</v>
      </c>
      <c r="D192" s="356" t="str">
        <f ca="1">IF(ISERROR(OFFSET('HARGA SATUAN'!$D$6,MATCH(RAB!C192,'HARGA SATUAN'!$C$7:$C$1492,0),0)),"",OFFSET('HARGA SATUAN'!$D$6,MATCH(RAB!C192,'HARGA SATUAN'!$C$7:$C$1492,0),0))</f>
        <v>HDW</v>
      </c>
      <c r="E192" s="357" t="str">
        <f ca="1">IF(B192="+","Unit",IF(ISERROR(OFFSET('HARGA SATUAN'!$E$6,MATCH(RAB!C192,'HARGA SATUAN'!$C$7:$C$1492,0),0)),"",OFFSET('HARGA SATUAN'!$E$6,MATCH(RAB!C192,'HARGA SATUAN'!$C$7:$C$1492,0),0)))</f>
        <v>Bh</v>
      </c>
      <c r="F192" s="489">
        <f>F187*1</f>
        <v>13</v>
      </c>
      <c r="G192" s="358">
        <f ca="1">IF(ISERROR(OFFSET('HARGA SATUAN'!$I$6,MATCH(RAB!C192,'HARGA SATUAN'!$C$7:$C$1492,0),0)),0,OFFSET('HARGA SATUAN'!$I$6,MATCH(RAB!C192,'HARGA SATUAN'!$C$7:$C$1492,0),0))</f>
        <v>380500</v>
      </c>
      <c r="H192" s="359">
        <f t="shared" ca="1" si="28"/>
        <v>0</v>
      </c>
      <c r="I192" s="359">
        <f t="shared" ca="1" si="29"/>
        <v>4946500</v>
      </c>
      <c r="J192" s="359">
        <f t="shared" ca="1" si="30"/>
        <v>0</v>
      </c>
      <c r="K192" s="360">
        <f t="shared" ca="1" si="31"/>
        <v>4946500</v>
      </c>
      <c r="L192" s="367"/>
      <c r="M192" s="367"/>
      <c r="N192" s="367"/>
      <c r="O192" s="361"/>
      <c r="P192" s="361"/>
      <c r="Q192" s="344"/>
      <c r="R192" s="336"/>
      <c r="S192" s="362"/>
      <c r="T192" s="341"/>
      <c r="U192" s="341"/>
      <c r="V192" s="341"/>
    </row>
    <row r="193" spans="1:22" s="368" customFormat="1">
      <c r="A193" s="336"/>
      <c r="B193" s="692">
        <v>6</v>
      </c>
      <c r="C193" s="693" t="s">
        <v>217</v>
      </c>
      <c r="D193" s="356" t="str">
        <f ca="1">IF(ISERROR(OFFSET('HARGA SATUAN'!$D$6,MATCH(RAB!C193,'HARGA SATUAN'!$C$7:$C$1492,0),0)),"",OFFSET('HARGA SATUAN'!$D$6,MATCH(RAB!C193,'HARGA SATUAN'!$C$7:$C$1492,0),0))</f>
        <v>HDW</v>
      </c>
      <c r="E193" s="357" t="str">
        <f ca="1">IF(B193="+","Unit",IF(ISERROR(OFFSET('HARGA SATUAN'!$E$6,MATCH(RAB!C193,'HARGA SATUAN'!$C$7:$C$1492,0),0)),"",OFFSET('HARGA SATUAN'!$E$6,MATCH(RAB!C193,'HARGA SATUAN'!$C$7:$C$1492,0),0)))</f>
        <v>Bh</v>
      </c>
      <c r="F193" s="489">
        <f>F187*1</f>
        <v>13</v>
      </c>
      <c r="G193" s="358">
        <f ca="1">IF(ISERROR(OFFSET('HARGA SATUAN'!$I$6,MATCH(RAB!C193,'HARGA SATUAN'!$C$7:$C$1492,0),0)),0,OFFSET('HARGA SATUAN'!$I$6,MATCH(RAB!C193,'HARGA SATUAN'!$C$7:$C$1492,0),0))</f>
        <v>11400</v>
      </c>
      <c r="H193" s="359">
        <f t="shared" ca="1" si="28"/>
        <v>0</v>
      </c>
      <c r="I193" s="359">
        <f t="shared" ca="1" si="29"/>
        <v>148200</v>
      </c>
      <c r="J193" s="359">
        <f t="shared" ca="1" si="30"/>
        <v>0</v>
      </c>
      <c r="K193" s="360">
        <f t="shared" ca="1" si="31"/>
        <v>148200</v>
      </c>
      <c r="L193" s="367"/>
      <c r="M193" s="367"/>
      <c r="N193" s="367"/>
      <c r="O193" s="361"/>
      <c r="P193" s="361"/>
      <c r="Q193" s="344"/>
      <c r="R193" s="336"/>
      <c r="S193" s="362"/>
      <c r="T193" s="341"/>
      <c r="U193" s="341"/>
      <c r="V193" s="341"/>
    </row>
    <row r="194" spans="1:22" s="368" customFormat="1">
      <c r="A194" s="336"/>
      <c r="B194" s="698">
        <v>7</v>
      </c>
      <c r="C194" s="699" t="s">
        <v>247</v>
      </c>
      <c r="D194" s="356" t="str">
        <f ca="1">IF(ISERROR(OFFSET('HARGA SATUAN'!$D$6,MATCH(RAB!C194,'HARGA SATUAN'!$C$7:$C$1492,0),0)),"",OFFSET('HARGA SATUAN'!$D$6,MATCH(RAB!C194,'HARGA SATUAN'!$C$7:$C$1492,0),0))</f>
        <v>HDW</v>
      </c>
      <c r="E194" s="357" t="str">
        <f ca="1">IF(B194="+","Unit",IF(ISERROR(OFFSET('HARGA SATUAN'!$E$6,MATCH(RAB!C194,'HARGA SATUAN'!$C$7:$C$1492,0),0)),"",OFFSET('HARGA SATUAN'!$E$6,MATCH(RAB!C194,'HARGA SATUAN'!$C$7:$C$1492,0),0)))</f>
        <v>Bh</v>
      </c>
      <c r="F194" s="489">
        <f>F187*1</f>
        <v>13</v>
      </c>
      <c r="G194" s="358">
        <f ca="1">IF(ISERROR(OFFSET('HARGA SATUAN'!$I$6,MATCH(RAB!C194,'HARGA SATUAN'!$C$7:$C$1492,0),0)),0,OFFSET('HARGA SATUAN'!$I$6,MATCH(RAB!C194,'HARGA SATUAN'!$C$7:$C$1492,0),0))</f>
        <v>57690</v>
      </c>
      <c r="H194" s="359">
        <f t="shared" ca="1" si="28"/>
        <v>0</v>
      </c>
      <c r="I194" s="359">
        <f t="shared" ca="1" si="29"/>
        <v>749970</v>
      </c>
      <c r="J194" s="359">
        <f t="shared" ca="1" si="30"/>
        <v>0</v>
      </c>
      <c r="K194" s="360">
        <f t="shared" ca="1" si="31"/>
        <v>749970</v>
      </c>
      <c r="L194" s="367"/>
      <c r="M194" s="367"/>
      <c r="N194" s="367"/>
      <c r="O194" s="361"/>
      <c r="P194" s="361"/>
      <c r="Q194" s="344"/>
      <c r="R194" s="336"/>
      <c r="S194" s="362"/>
      <c r="T194" s="341"/>
      <c r="U194" s="341"/>
      <c r="V194" s="341"/>
    </row>
    <row r="195" spans="1:22" s="368" customFormat="1">
      <c r="A195" s="336"/>
      <c r="B195" s="700">
        <v>8</v>
      </c>
      <c r="C195" s="701" t="s">
        <v>38</v>
      </c>
      <c r="D195" s="356" t="str">
        <f ca="1">IF(ISERROR(OFFSET('HARGA SATUAN'!$D$6,MATCH(RAB!C195,'HARGA SATUAN'!$C$7:$C$1492,0),0)),"",OFFSET('HARGA SATUAN'!$D$6,MATCH(RAB!C195,'HARGA SATUAN'!$C$7:$C$1492,0),0))</f>
        <v>HDW</v>
      </c>
      <c r="E195" s="357" t="str">
        <f ca="1">IF(B195="+","Unit",IF(ISERROR(OFFSET('HARGA SATUAN'!$E$6,MATCH(RAB!C195,'HARGA SATUAN'!$C$7:$C$1492,0),0)),"",OFFSET('HARGA SATUAN'!$E$6,MATCH(RAB!C195,'HARGA SATUAN'!$C$7:$C$1492,0),0)))</f>
        <v>Mtr</v>
      </c>
      <c r="F195" s="489">
        <f>3.6*F187</f>
        <v>46.800000000000004</v>
      </c>
      <c r="G195" s="358">
        <f ca="1">IF(ISERROR(OFFSET('HARGA SATUAN'!$I$6,MATCH(RAB!C195,'HARGA SATUAN'!$C$7:$C$1492,0),0)),0,OFFSET('HARGA SATUAN'!$I$6,MATCH(RAB!C195,'HARGA SATUAN'!$C$7:$C$1492,0),0))</f>
        <v>8550</v>
      </c>
      <c r="H195" s="359">
        <f t="shared" ca="1" si="28"/>
        <v>0</v>
      </c>
      <c r="I195" s="359">
        <f t="shared" ca="1" si="29"/>
        <v>400140.00000000006</v>
      </c>
      <c r="J195" s="359">
        <f t="shared" ca="1" si="30"/>
        <v>0</v>
      </c>
      <c r="K195" s="360">
        <f t="shared" ca="1" si="31"/>
        <v>400140.00000000006</v>
      </c>
      <c r="L195" s="367"/>
      <c r="M195" s="367"/>
      <c r="N195" s="367"/>
      <c r="O195" s="361"/>
      <c r="P195" s="361"/>
      <c r="Q195" s="344"/>
      <c r="R195" s="336"/>
      <c r="S195" s="362"/>
      <c r="T195" s="341"/>
      <c r="U195" s="341"/>
      <c r="V195" s="341"/>
    </row>
    <row r="196" spans="1:22" s="368" customFormat="1">
      <c r="A196" s="336"/>
      <c r="B196" s="700">
        <v>9</v>
      </c>
      <c r="C196" s="702" t="s">
        <v>26</v>
      </c>
      <c r="D196" s="356" t="str">
        <f ca="1">IF(ISERROR(OFFSET('HARGA SATUAN'!$D$6,MATCH(RAB!C196,'HARGA SATUAN'!$C$7:$C$1492,0),0)),"",OFFSET('HARGA SATUAN'!$D$6,MATCH(RAB!C196,'HARGA SATUAN'!$C$7:$C$1492,0),0))</f>
        <v>HDW</v>
      </c>
      <c r="E196" s="357" t="str">
        <f ca="1">IF(B196="+","Unit",IF(ISERROR(OFFSET('HARGA SATUAN'!$E$6,MATCH(RAB!C196,'HARGA SATUAN'!$C$7:$C$1492,0),0)),"",OFFSET('HARGA SATUAN'!$E$6,MATCH(RAB!C196,'HARGA SATUAN'!$C$7:$C$1492,0),0)))</f>
        <v>Bh</v>
      </c>
      <c r="F196" s="714">
        <f>F187*2</f>
        <v>26</v>
      </c>
      <c r="G196" s="358">
        <f ca="1">IF(ISERROR(OFFSET('HARGA SATUAN'!$I$6,MATCH(RAB!C196,'HARGA SATUAN'!$C$7:$C$1492,0),0)),0,OFFSET('HARGA SATUAN'!$I$6,MATCH(RAB!C196,'HARGA SATUAN'!$C$7:$C$1492,0),0))</f>
        <v>2500</v>
      </c>
      <c r="H196" s="359">
        <f t="shared" ca="1" si="28"/>
        <v>0</v>
      </c>
      <c r="I196" s="359">
        <f t="shared" ca="1" si="29"/>
        <v>65000</v>
      </c>
      <c r="J196" s="359">
        <f t="shared" ca="1" si="30"/>
        <v>0</v>
      </c>
      <c r="K196" s="360">
        <f t="shared" ca="1" si="31"/>
        <v>65000</v>
      </c>
      <c r="L196" s="367"/>
      <c r="M196" s="367"/>
      <c r="N196" s="367"/>
      <c r="O196" s="361"/>
      <c r="P196" s="361"/>
      <c r="Q196" s="344"/>
      <c r="R196" s="336"/>
      <c r="S196" s="362"/>
      <c r="T196" s="341"/>
      <c r="U196" s="341"/>
      <c r="V196" s="341"/>
    </row>
    <row r="197" spans="1:22" s="368" customFormat="1">
      <c r="A197" s="336"/>
      <c r="B197" s="692">
        <v>10</v>
      </c>
      <c r="C197" s="693" t="s">
        <v>676</v>
      </c>
      <c r="D197" s="356" t="str">
        <f ca="1">IF(ISERROR(OFFSET('HARGA SATUAN'!$D$6,MATCH(RAB!C197,'HARGA SATUAN'!$C$7:$C$1492,0),0)),"",OFFSET('HARGA SATUAN'!$D$6,MATCH(RAB!C197,'HARGA SATUAN'!$C$7:$C$1492,0),0))</f>
        <v>JASA</v>
      </c>
      <c r="E197" s="357" t="str">
        <f ca="1">IF(B197="+","Unit",IF(ISERROR(OFFSET('HARGA SATUAN'!$E$6,MATCH(RAB!C197,'HARGA SATUAN'!$C$7:$C$1492,0),0)),"",OFFSET('HARGA SATUAN'!$E$6,MATCH(RAB!C197,'HARGA SATUAN'!$C$7:$C$1492,0),0)))</f>
        <v>Unit</v>
      </c>
      <c r="F197" s="489">
        <f>F187*1</f>
        <v>13</v>
      </c>
      <c r="G197" s="358">
        <f ca="1">IF(ISERROR(OFFSET('HARGA SATUAN'!$I$6,MATCH(RAB!C197,'HARGA SATUAN'!$C$7:$C$1492,0),0)),0,OFFSET('HARGA SATUAN'!$I$6,MATCH(RAB!C197,'HARGA SATUAN'!$C$7:$C$1492,0),0))</f>
        <v>85500</v>
      </c>
      <c r="H197" s="359">
        <f t="shared" ca="1" si="28"/>
        <v>0</v>
      </c>
      <c r="I197" s="359">
        <f t="shared" ca="1" si="29"/>
        <v>0</v>
      </c>
      <c r="J197" s="359">
        <f t="shared" ca="1" si="30"/>
        <v>1111500</v>
      </c>
      <c r="K197" s="360">
        <f t="shared" ca="1" si="31"/>
        <v>1111500</v>
      </c>
      <c r="L197" s="367"/>
      <c r="M197" s="367"/>
      <c r="N197" s="367"/>
      <c r="O197" s="361"/>
      <c r="P197" s="361"/>
      <c r="Q197" s="344"/>
      <c r="R197" s="336"/>
      <c r="S197" s="362"/>
      <c r="T197" s="341"/>
      <c r="U197" s="341"/>
      <c r="V197" s="341"/>
    </row>
    <row r="198" spans="1:22" s="368" customFormat="1">
      <c r="A198" s="336"/>
      <c r="B198" s="692"/>
      <c r="C198" s="693"/>
      <c r="D198" s="356" t="str">
        <f ca="1">IF(ISERROR(OFFSET('HARGA SATUAN'!$D$6,MATCH(RAB!C198,'HARGA SATUAN'!$C$7:$C$1492,0),0)),"",OFFSET('HARGA SATUAN'!$D$6,MATCH(RAB!C198,'HARGA SATUAN'!$C$7:$C$1492,0),0))</f>
        <v/>
      </c>
      <c r="E198" s="357" t="str">
        <f ca="1">IF(B198="+","Unit",IF(ISERROR(OFFSET('HARGA SATUAN'!$E$6,MATCH(RAB!C198,'HARGA SATUAN'!$C$7:$C$1492,0),0)),"",OFFSET('HARGA SATUAN'!$E$6,MATCH(RAB!C198,'HARGA SATUAN'!$C$7:$C$1492,0),0)))</f>
        <v/>
      </c>
      <c r="F198" s="714"/>
      <c r="G198" s="358">
        <f ca="1">IF(ISERROR(OFFSET('HARGA SATUAN'!$I$6,MATCH(RAB!C198,'HARGA SATUAN'!$C$7:$C$1492,0),0)),0,OFFSET('HARGA SATUAN'!$I$6,MATCH(RAB!C198,'HARGA SATUAN'!$C$7:$C$1492,0),0))</f>
        <v>0</v>
      </c>
      <c r="H198" s="359">
        <f t="shared" ca="1" si="28"/>
        <v>0</v>
      </c>
      <c r="I198" s="359">
        <f t="shared" ca="1" si="29"/>
        <v>0</v>
      </c>
      <c r="J198" s="359">
        <f t="shared" ca="1" si="30"/>
        <v>0</v>
      </c>
      <c r="K198" s="360">
        <f t="shared" ca="1" si="31"/>
        <v>0</v>
      </c>
      <c r="L198" s="367"/>
      <c r="M198" s="367"/>
      <c r="N198" s="367"/>
      <c r="O198" s="361"/>
      <c r="P198" s="361"/>
      <c r="Q198" s="344"/>
      <c r="R198" s="336"/>
      <c r="S198" s="362"/>
      <c r="T198" s="341"/>
      <c r="U198" s="341"/>
      <c r="V198" s="341"/>
    </row>
    <row r="199" spans="1:22" s="368" customFormat="1">
      <c r="A199" s="336"/>
      <c r="B199" s="692" t="s">
        <v>1035</v>
      </c>
      <c r="C199" s="693" t="s">
        <v>1623</v>
      </c>
      <c r="D199" s="356" t="str">
        <f ca="1">IF(ISERROR(OFFSET('HARGA SATUAN'!$D$6,MATCH(RAB!C199,'HARGA SATUAN'!$C$7:$C$1492,0),0)),"",OFFSET('HARGA SATUAN'!$D$6,MATCH(RAB!C199,'HARGA SATUAN'!$C$7:$C$1492,0),0))</f>
        <v/>
      </c>
      <c r="E199" s="357" t="str">
        <f ca="1">IF(B199="+","Unit",IF(ISERROR(OFFSET('HARGA SATUAN'!$E$6,MATCH(RAB!C199,'HARGA SATUAN'!$C$7:$C$1492,0),0)),"",OFFSET('HARGA SATUAN'!$E$6,MATCH(RAB!C199,'HARGA SATUAN'!$C$7:$C$1492,0),0)))</f>
        <v>Unit</v>
      </c>
      <c r="F199" s="489">
        <v>6</v>
      </c>
      <c r="G199" s="358">
        <f ca="1">IF(ISERROR(OFFSET('HARGA SATUAN'!$I$6,MATCH(RAB!C199,'HARGA SATUAN'!$C$7:$C$1492,0),0)),0,OFFSET('HARGA SATUAN'!$I$6,MATCH(RAB!C199,'HARGA SATUAN'!$C$7:$C$1492,0),0))</f>
        <v>0</v>
      </c>
      <c r="H199" s="359">
        <f t="shared" ca="1" si="28"/>
        <v>0</v>
      </c>
      <c r="I199" s="359">
        <f t="shared" ca="1" si="29"/>
        <v>0</v>
      </c>
      <c r="J199" s="359">
        <f t="shared" ca="1" si="30"/>
        <v>0</v>
      </c>
      <c r="K199" s="360">
        <f t="shared" ca="1" si="31"/>
        <v>0</v>
      </c>
      <c r="L199" s="367"/>
      <c r="M199" s="367"/>
      <c r="N199" s="367"/>
      <c r="O199" s="361"/>
      <c r="P199" s="361"/>
      <c r="Q199" s="344"/>
      <c r="R199" s="336"/>
      <c r="S199" s="362"/>
      <c r="T199" s="341"/>
      <c r="U199" s="341"/>
      <c r="V199" s="341"/>
    </row>
    <row r="200" spans="1:22" s="368" customFormat="1">
      <c r="A200" s="336"/>
      <c r="B200" s="692">
        <v>1</v>
      </c>
      <c r="C200" s="693" t="s">
        <v>30</v>
      </c>
      <c r="D200" s="356" t="str">
        <f ca="1">IF(ISERROR(OFFSET('HARGA SATUAN'!$D$6,MATCH(RAB!C200,'HARGA SATUAN'!$C$7:$C$1492,0),0)),"",OFFSET('HARGA SATUAN'!$D$6,MATCH(RAB!C200,'HARGA SATUAN'!$C$7:$C$1492,0),0))</f>
        <v>HDW</v>
      </c>
      <c r="E200" s="357" t="str">
        <f ca="1">IF(B200="+","Unit",IF(ISERROR(OFFSET('HARGA SATUAN'!$E$6,MATCH(RAB!C200,'HARGA SATUAN'!$C$7:$C$1492,0),0)),"",OFFSET('HARGA SATUAN'!$E$6,MATCH(RAB!C200,'HARGA SATUAN'!$C$7:$C$1492,0),0)))</f>
        <v>Bh</v>
      </c>
      <c r="F200" s="489">
        <f>F199*1</f>
        <v>6</v>
      </c>
      <c r="G200" s="358">
        <f ca="1">IF(ISERROR(OFFSET('HARGA SATUAN'!$I$6,MATCH(RAB!C200,'HARGA SATUAN'!$C$7:$C$1492,0),0)),0,OFFSET('HARGA SATUAN'!$I$6,MATCH(RAB!C200,'HARGA SATUAN'!$C$7:$C$1492,0),0))</f>
        <v>47459</v>
      </c>
      <c r="H200" s="359">
        <f t="shared" ca="1" si="28"/>
        <v>0</v>
      </c>
      <c r="I200" s="359">
        <f t="shared" ca="1" si="29"/>
        <v>284754</v>
      </c>
      <c r="J200" s="359">
        <f t="shared" ca="1" si="30"/>
        <v>0</v>
      </c>
      <c r="K200" s="360">
        <f t="shared" ca="1" si="31"/>
        <v>284754</v>
      </c>
      <c r="L200" s="367"/>
      <c r="M200" s="367"/>
      <c r="N200" s="367"/>
      <c r="O200" s="361"/>
      <c r="P200" s="361"/>
      <c r="Q200" s="344"/>
      <c r="R200" s="336"/>
      <c r="S200" s="362"/>
      <c r="T200" s="341"/>
      <c r="U200" s="341"/>
      <c r="V200" s="341"/>
    </row>
    <row r="201" spans="1:22" s="368" customFormat="1">
      <c r="A201" s="336"/>
      <c r="B201" s="692">
        <v>2</v>
      </c>
      <c r="C201" s="693" t="s">
        <v>32</v>
      </c>
      <c r="D201" s="356" t="str">
        <f ca="1">IF(ISERROR(OFFSET('HARGA SATUAN'!$D$6,MATCH(RAB!C201,'HARGA SATUAN'!$C$7:$C$1492,0),0)),"",OFFSET('HARGA SATUAN'!$D$6,MATCH(RAB!C201,'HARGA SATUAN'!$C$7:$C$1492,0),0))</f>
        <v>HDW</v>
      </c>
      <c r="E201" s="357" t="str">
        <f ca="1">IF(B201="+","Unit",IF(ISERROR(OFFSET('HARGA SATUAN'!$E$6,MATCH(RAB!C201,'HARGA SATUAN'!$C$7:$C$1492,0),0)),"",OFFSET('HARGA SATUAN'!$E$6,MATCH(RAB!C201,'HARGA SATUAN'!$C$7:$C$1492,0),0)))</f>
        <v>Mtr</v>
      </c>
      <c r="F201" s="489">
        <f>F199*0.8</f>
        <v>4.8000000000000007</v>
      </c>
      <c r="G201" s="358">
        <f ca="1">IF(ISERROR(OFFSET('HARGA SATUAN'!$I$6,MATCH(RAB!C201,'HARGA SATUAN'!$C$7:$C$1492,0),0)),0,OFFSET('HARGA SATUAN'!$I$6,MATCH(RAB!C201,'HARGA SATUAN'!$C$7:$C$1492,0),0))</f>
        <v>30000</v>
      </c>
      <c r="H201" s="359">
        <f t="shared" ca="1" si="28"/>
        <v>0</v>
      </c>
      <c r="I201" s="359">
        <f t="shared" ca="1" si="29"/>
        <v>144000.00000000003</v>
      </c>
      <c r="J201" s="359">
        <f t="shared" ca="1" si="30"/>
        <v>0</v>
      </c>
      <c r="K201" s="360">
        <f t="shared" ca="1" si="31"/>
        <v>144000.00000000003</v>
      </c>
      <c r="L201" s="367"/>
      <c r="M201" s="367"/>
      <c r="N201" s="367"/>
      <c r="O201" s="361"/>
      <c r="P201" s="361"/>
      <c r="Q201" s="344"/>
      <c r="R201" s="336"/>
      <c r="S201" s="362"/>
      <c r="T201" s="341"/>
      <c r="U201" s="341"/>
      <c r="V201" s="341"/>
    </row>
    <row r="202" spans="1:22" s="368" customFormat="1">
      <c r="A202" s="336"/>
      <c r="B202" s="692">
        <v>3</v>
      </c>
      <c r="C202" s="693" t="s">
        <v>33</v>
      </c>
      <c r="D202" s="356" t="str">
        <f ca="1">IF(ISERROR(OFFSET('HARGA SATUAN'!$D$6,MATCH(RAB!C202,'HARGA SATUAN'!$C$7:$C$1492,0),0)),"",OFFSET('HARGA SATUAN'!$D$6,MATCH(RAB!C202,'HARGA SATUAN'!$C$7:$C$1492,0),0))</f>
        <v>HDW</v>
      </c>
      <c r="E202" s="357" t="str">
        <f ca="1">IF(B202="+","Unit",IF(ISERROR(OFFSET('HARGA SATUAN'!$E$6,MATCH(RAB!C202,'HARGA SATUAN'!$C$7:$C$1492,0),0)),"",OFFSET('HARGA SATUAN'!$E$6,MATCH(RAB!C202,'HARGA SATUAN'!$C$7:$C$1492,0),0)))</f>
        <v>Bh</v>
      </c>
      <c r="F202" s="489">
        <f>F199*1</f>
        <v>6</v>
      </c>
      <c r="G202" s="358">
        <f ca="1">IF(ISERROR(OFFSET('HARGA SATUAN'!$I$6,MATCH(RAB!C202,'HARGA SATUAN'!$C$7:$C$1492,0),0)),0,OFFSET('HARGA SATUAN'!$I$6,MATCH(RAB!C202,'HARGA SATUAN'!$C$7:$C$1492,0),0))</f>
        <v>9500</v>
      </c>
      <c r="H202" s="359">
        <f t="shared" ca="1" si="28"/>
        <v>0</v>
      </c>
      <c r="I202" s="359">
        <f t="shared" ca="1" si="29"/>
        <v>57000</v>
      </c>
      <c r="J202" s="359">
        <f t="shared" ca="1" si="30"/>
        <v>0</v>
      </c>
      <c r="K202" s="360">
        <f t="shared" ca="1" si="31"/>
        <v>57000</v>
      </c>
      <c r="L202" s="367"/>
      <c r="M202" s="367"/>
      <c r="N202" s="367"/>
      <c r="O202" s="361"/>
      <c r="P202" s="361"/>
      <c r="Q202" s="344"/>
      <c r="R202" s="336"/>
      <c r="S202" s="362"/>
      <c r="T202" s="341"/>
      <c r="U202" s="341"/>
      <c r="V202" s="341"/>
    </row>
    <row r="203" spans="1:22" s="368" customFormat="1">
      <c r="A203" s="336"/>
      <c r="B203" s="692">
        <v>4</v>
      </c>
      <c r="C203" s="693" t="s">
        <v>737</v>
      </c>
      <c r="D203" s="356" t="str">
        <f ca="1">IF(ISERROR(OFFSET('HARGA SATUAN'!$D$6,MATCH(RAB!C203,'HARGA SATUAN'!$C$7:$C$1492,0),0)),"",OFFSET('HARGA SATUAN'!$D$6,MATCH(RAB!C203,'HARGA SATUAN'!$C$7:$C$1492,0),0))</f>
        <v>JASA</v>
      </c>
      <c r="E203" s="357" t="str">
        <f ca="1">IF(B203="+","Unit",IF(ISERROR(OFFSET('HARGA SATUAN'!$E$6,MATCH(RAB!C203,'HARGA SATUAN'!$C$7:$C$1492,0),0)),"",OFFSET('HARGA SATUAN'!$E$6,MATCH(RAB!C203,'HARGA SATUAN'!$C$7:$C$1492,0),0)))</f>
        <v>Unit</v>
      </c>
      <c r="F203" s="489">
        <f>F199*1</f>
        <v>6</v>
      </c>
      <c r="G203" s="358">
        <f ca="1">IF(ISERROR(OFFSET('HARGA SATUAN'!$I$6,MATCH(RAB!C203,'HARGA SATUAN'!$C$7:$C$1492,0),0)),0,OFFSET('HARGA SATUAN'!$I$6,MATCH(RAB!C203,'HARGA SATUAN'!$C$7:$C$1492,0),0))</f>
        <v>16200</v>
      </c>
      <c r="H203" s="359">
        <f t="shared" ca="1" si="28"/>
        <v>0</v>
      </c>
      <c r="I203" s="359">
        <f t="shared" ca="1" si="29"/>
        <v>0</v>
      </c>
      <c r="J203" s="359">
        <f t="shared" ca="1" si="30"/>
        <v>97200</v>
      </c>
      <c r="K203" s="360">
        <f t="shared" ca="1" si="31"/>
        <v>97200</v>
      </c>
      <c r="L203" s="367"/>
      <c r="M203" s="367"/>
      <c r="N203" s="367"/>
      <c r="O203" s="361"/>
      <c r="P203" s="361"/>
      <c r="Q203" s="344"/>
      <c r="R203" s="336"/>
      <c r="S203" s="362"/>
      <c r="T203" s="341"/>
      <c r="U203" s="341"/>
      <c r="V203" s="341"/>
    </row>
    <row r="204" spans="1:22" s="368" customFormat="1">
      <c r="A204" s="336"/>
      <c r="B204" s="692"/>
      <c r="C204" s="693"/>
      <c r="D204" s="356" t="str">
        <f ca="1">IF(ISERROR(OFFSET('HARGA SATUAN'!$D$6,MATCH(RAB!C204,'HARGA SATUAN'!$C$7:$C$1492,0),0)),"",OFFSET('HARGA SATUAN'!$D$6,MATCH(RAB!C204,'HARGA SATUAN'!$C$7:$C$1492,0),0))</f>
        <v/>
      </c>
      <c r="E204" s="357" t="str">
        <f ca="1">IF(B204="+","Unit",IF(ISERROR(OFFSET('HARGA SATUAN'!$E$6,MATCH(RAB!C204,'HARGA SATUAN'!$C$7:$C$1492,0),0)),"",OFFSET('HARGA SATUAN'!$E$6,MATCH(RAB!C204,'HARGA SATUAN'!$C$7:$C$1492,0),0)))</f>
        <v/>
      </c>
      <c r="F204" s="714"/>
      <c r="G204" s="358">
        <f ca="1">IF(ISERROR(OFFSET('HARGA SATUAN'!$I$6,MATCH(RAB!C204,'HARGA SATUAN'!$C$7:$C$1492,0),0)),0,OFFSET('HARGA SATUAN'!$I$6,MATCH(RAB!C204,'HARGA SATUAN'!$C$7:$C$1492,0),0))</f>
        <v>0</v>
      </c>
      <c r="H204" s="359">
        <f t="shared" ca="1" si="28"/>
        <v>0</v>
      </c>
      <c r="I204" s="359">
        <f t="shared" ca="1" si="29"/>
        <v>0</v>
      </c>
      <c r="J204" s="359">
        <f t="shared" ca="1" si="30"/>
        <v>0</v>
      </c>
      <c r="K204" s="360">
        <f t="shared" ca="1" si="31"/>
        <v>0</v>
      </c>
      <c r="L204" s="367"/>
      <c r="M204" s="367"/>
      <c r="N204" s="367"/>
      <c r="O204" s="361"/>
      <c r="P204" s="361"/>
      <c r="Q204" s="344"/>
      <c r="R204" s="336"/>
      <c r="S204" s="362"/>
      <c r="T204" s="341"/>
      <c r="U204" s="341"/>
      <c r="V204" s="341"/>
    </row>
    <row r="205" spans="1:22" s="368" customFormat="1">
      <c r="A205" s="336"/>
      <c r="B205" s="692"/>
      <c r="C205" s="735" t="s">
        <v>1669</v>
      </c>
      <c r="D205" s="356" t="str">
        <f ca="1">IF(ISERROR(OFFSET('HARGA SATUAN'!$D$6,MATCH(RAB!C205,'HARGA SATUAN'!$C$7:$C$1492,0),0)),"",OFFSET('HARGA SATUAN'!$D$6,MATCH(RAB!C205,'HARGA SATUAN'!$C$7:$C$1492,0),0))</f>
        <v/>
      </c>
      <c r="E205" s="357" t="str">
        <f ca="1">IF(B205="+","Unit",IF(ISERROR(OFFSET('HARGA SATUAN'!$E$6,MATCH(RAB!C205,'HARGA SATUAN'!$C$7:$C$1492,0),0)),"",OFFSET('HARGA SATUAN'!$E$6,MATCH(RAB!C205,'HARGA SATUAN'!$C$7:$C$1492,0),0)))</f>
        <v/>
      </c>
      <c r="F205" s="714"/>
      <c r="G205" s="358">
        <f ca="1">IF(ISERROR(OFFSET('HARGA SATUAN'!$I$6,MATCH(RAB!C205,'HARGA SATUAN'!$C$7:$C$1492,0),0)),0,OFFSET('HARGA SATUAN'!$I$6,MATCH(RAB!C205,'HARGA SATUAN'!$C$7:$C$1492,0),0))</f>
        <v>0</v>
      </c>
      <c r="H205" s="359">
        <f t="shared" ca="1" si="28"/>
        <v>0</v>
      </c>
      <c r="I205" s="359">
        <f t="shared" ca="1" si="29"/>
        <v>0</v>
      </c>
      <c r="J205" s="359">
        <f t="shared" ca="1" si="30"/>
        <v>0</v>
      </c>
      <c r="K205" s="360">
        <f t="shared" ca="1" si="31"/>
        <v>0</v>
      </c>
      <c r="L205" s="367"/>
      <c r="M205" s="367"/>
      <c r="N205" s="367"/>
      <c r="O205" s="361"/>
      <c r="P205" s="361"/>
      <c r="Q205" s="344"/>
      <c r="R205" s="336"/>
      <c r="S205" s="362"/>
      <c r="T205" s="341"/>
      <c r="U205" s="341"/>
      <c r="V205" s="341"/>
    </row>
    <row r="206" spans="1:22" s="368" customFormat="1">
      <c r="A206" s="336"/>
      <c r="B206" s="692"/>
      <c r="C206" s="735"/>
      <c r="D206" s="356"/>
      <c r="E206" s="357"/>
      <c r="F206" s="714"/>
      <c r="G206" s="358"/>
      <c r="H206" s="359"/>
      <c r="I206" s="359"/>
      <c r="J206" s="359"/>
      <c r="K206" s="360"/>
      <c r="L206" s="367"/>
      <c r="M206" s="367"/>
      <c r="N206" s="367"/>
      <c r="O206" s="361"/>
      <c r="P206" s="361"/>
      <c r="Q206" s="344"/>
      <c r="R206" s="336"/>
      <c r="S206" s="362"/>
      <c r="T206" s="341"/>
      <c r="U206" s="341"/>
      <c r="V206" s="341"/>
    </row>
    <row r="207" spans="1:22" s="368" customFormat="1">
      <c r="A207" s="336"/>
      <c r="B207" s="692" t="s">
        <v>1035</v>
      </c>
      <c r="C207" s="693" t="s">
        <v>1624</v>
      </c>
      <c r="D207" s="356" t="str">
        <f ca="1">IF(ISERROR(OFFSET('HARGA SATUAN'!$D$6,MATCH(RAB!C207,'HARGA SATUAN'!$C$7:$C$1492,0),0)),"",OFFSET('HARGA SATUAN'!$D$6,MATCH(RAB!C207,'HARGA SATUAN'!$C$7:$C$1492,0),0))</f>
        <v/>
      </c>
      <c r="E207" s="357" t="str">
        <f ca="1">IF(B207="+","Unit",IF(ISERROR(OFFSET('HARGA SATUAN'!$E$6,MATCH(RAB!C207,'HARGA SATUAN'!$C$7:$C$1492,0),0)),"",OFFSET('HARGA SATUAN'!$E$6,MATCH(RAB!C207,'HARGA SATUAN'!$C$7:$C$1492,0),0)))</f>
        <v>Unit</v>
      </c>
      <c r="F207" s="489">
        <v>1</v>
      </c>
      <c r="G207" s="358">
        <f ca="1">IF(ISERROR(OFFSET('HARGA SATUAN'!$I$6,MATCH(RAB!C207,'HARGA SATUAN'!$C$7:$C$1492,0),0)),0,OFFSET('HARGA SATUAN'!$I$6,MATCH(RAB!C207,'HARGA SATUAN'!$C$7:$C$1492,0),0))</f>
        <v>0</v>
      </c>
      <c r="H207" s="359">
        <f t="shared" ca="1" si="28"/>
        <v>0</v>
      </c>
      <c r="I207" s="359">
        <f t="shared" ca="1" si="29"/>
        <v>0</v>
      </c>
      <c r="J207" s="359">
        <f t="shared" ca="1" si="30"/>
        <v>0</v>
      </c>
      <c r="K207" s="360">
        <f t="shared" ca="1" si="31"/>
        <v>0</v>
      </c>
      <c r="L207" s="367"/>
      <c r="M207" s="367"/>
      <c r="N207" s="367"/>
      <c r="O207" s="361"/>
      <c r="P207" s="361"/>
      <c r="Q207" s="344"/>
      <c r="R207" s="336"/>
      <c r="S207" s="362"/>
      <c r="T207" s="341"/>
      <c r="U207" s="341"/>
      <c r="V207" s="341"/>
    </row>
    <row r="208" spans="1:22" s="368" customFormat="1">
      <c r="A208" s="336"/>
      <c r="B208" s="692">
        <v>1</v>
      </c>
      <c r="C208" s="693" t="s">
        <v>28</v>
      </c>
      <c r="D208" s="356" t="str">
        <f ca="1">IF(ISERROR(OFFSET('HARGA SATUAN'!$D$6,MATCH(RAB!C208,'HARGA SATUAN'!$C$7:$C$1492,0),0)),"",OFFSET('HARGA SATUAN'!$D$6,MATCH(RAB!C208,'HARGA SATUAN'!$C$7:$C$1492,0),0))</f>
        <v>HDW</v>
      </c>
      <c r="E208" s="357" t="str">
        <f ca="1">IF(B208="+","Unit",IF(ISERROR(OFFSET('HARGA SATUAN'!$E$6,MATCH(RAB!C208,'HARGA SATUAN'!$C$7:$C$1492,0),0)),"",OFFSET('HARGA SATUAN'!$E$6,MATCH(RAB!C208,'HARGA SATUAN'!$C$7:$C$1492,0),0)))</f>
        <v>Bh</v>
      </c>
      <c r="F208" s="489">
        <f>F207*2</f>
        <v>2</v>
      </c>
      <c r="G208" s="358">
        <f ca="1">IF(ISERROR(OFFSET('HARGA SATUAN'!$I$6,MATCH(RAB!C208,'HARGA SATUAN'!$C$7:$C$1492,0),0)),0,OFFSET('HARGA SATUAN'!$I$6,MATCH(RAB!C208,'HARGA SATUAN'!$C$7:$C$1492,0),0))</f>
        <v>26500</v>
      </c>
      <c r="H208" s="359">
        <f t="shared" ca="1" si="28"/>
        <v>0</v>
      </c>
      <c r="I208" s="359">
        <f t="shared" ca="1" si="29"/>
        <v>53000</v>
      </c>
      <c r="J208" s="359">
        <f t="shared" ca="1" si="30"/>
        <v>0</v>
      </c>
      <c r="K208" s="360">
        <f t="shared" ca="1" si="31"/>
        <v>53000</v>
      </c>
      <c r="L208" s="367"/>
      <c r="M208" s="367"/>
      <c r="N208" s="367"/>
      <c r="O208" s="361"/>
      <c r="P208" s="361"/>
      <c r="Q208" s="344"/>
      <c r="R208" s="336"/>
      <c r="S208" s="362"/>
      <c r="T208" s="341"/>
      <c r="U208" s="341"/>
      <c r="V208" s="341"/>
    </row>
    <row r="209" spans="1:22" s="368" customFormat="1">
      <c r="A209" s="336"/>
      <c r="B209" s="692">
        <v>2</v>
      </c>
      <c r="C209" s="693" t="s">
        <v>205</v>
      </c>
      <c r="D209" s="356" t="str">
        <f ca="1">IF(ISERROR(OFFSET('HARGA SATUAN'!$D$6,MATCH(RAB!C209,'HARGA SATUAN'!$C$7:$C$1492,0),0)),"",OFFSET('HARGA SATUAN'!$D$6,MATCH(RAB!C209,'HARGA SATUAN'!$C$7:$C$1492,0),0))</f>
        <v>HDW</v>
      </c>
      <c r="E209" s="357" t="str">
        <f ca="1">IF(B209="+","Unit",IF(ISERROR(OFFSET('HARGA SATUAN'!$E$6,MATCH(RAB!C209,'HARGA SATUAN'!$C$7:$C$1492,0),0)),"",OFFSET('HARGA SATUAN'!$E$6,MATCH(RAB!C209,'HARGA SATUAN'!$C$7:$C$1492,0),0)))</f>
        <v>Mtr</v>
      </c>
      <c r="F209" s="489">
        <f>F207*20</f>
        <v>20</v>
      </c>
      <c r="G209" s="358">
        <f ca="1">IF(ISERROR(OFFSET('HARGA SATUAN'!$I$6,MATCH(RAB!C209,'HARGA SATUAN'!$C$7:$C$1492,0),0)),0,OFFSET('HARGA SATUAN'!$I$6,MATCH(RAB!C209,'HARGA SATUAN'!$C$7:$C$1492,0),0))</f>
        <v>24300</v>
      </c>
      <c r="H209" s="359">
        <f t="shared" ca="1" si="28"/>
        <v>0</v>
      </c>
      <c r="I209" s="359">
        <f t="shared" ca="1" si="29"/>
        <v>486000</v>
      </c>
      <c r="J209" s="359">
        <f t="shared" ca="1" si="30"/>
        <v>0</v>
      </c>
      <c r="K209" s="360">
        <f t="shared" ca="1" si="31"/>
        <v>486000</v>
      </c>
      <c r="L209" s="367"/>
      <c r="M209" s="367"/>
      <c r="N209" s="367"/>
      <c r="O209" s="361"/>
      <c r="P209" s="361"/>
      <c r="Q209" s="344"/>
      <c r="R209" s="336"/>
      <c r="S209" s="362"/>
      <c r="T209" s="341"/>
      <c r="U209" s="341"/>
      <c r="V209" s="341"/>
    </row>
    <row r="210" spans="1:22" s="368" customFormat="1">
      <c r="A210" s="336"/>
      <c r="B210" s="692">
        <v>3</v>
      </c>
      <c r="C210" s="693" t="s">
        <v>219</v>
      </c>
      <c r="D210" s="356" t="str">
        <f ca="1">IF(ISERROR(OFFSET('HARGA SATUAN'!$D$6,MATCH(RAB!C210,'HARGA SATUAN'!$C$7:$C$1492,0),0)),"",OFFSET('HARGA SATUAN'!$D$6,MATCH(RAB!C210,'HARGA SATUAN'!$C$7:$C$1492,0),0))</f>
        <v>HDW</v>
      </c>
      <c r="E210" s="357" t="str">
        <f ca="1">IF(B210="+","Unit",IF(ISERROR(OFFSET('HARGA SATUAN'!$E$6,MATCH(RAB!C210,'HARGA SATUAN'!$C$7:$C$1492,0),0)),"",OFFSET('HARGA SATUAN'!$E$6,MATCH(RAB!C210,'HARGA SATUAN'!$C$7:$C$1492,0),0)))</f>
        <v>Bh</v>
      </c>
      <c r="F210" s="489">
        <f>F207*2</f>
        <v>2</v>
      </c>
      <c r="G210" s="358">
        <f ca="1">IF(ISERROR(OFFSET('HARGA SATUAN'!$I$6,MATCH(RAB!C210,'HARGA SATUAN'!$C$7:$C$1492,0),0)),0,OFFSET('HARGA SATUAN'!$I$6,MATCH(RAB!C210,'HARGA SATUAN'!$C$7:$C$1492,0),0))</f>
        <v>20898</v>
      </c>
      <c r="H210" s="359">
        <f t="shared" ca="1" si="28"/>
        <v>0</v>
      </c>
      <c r="I210" s="359">
        <f t="shared" ca="1" si="29"/>
        <v>41796</v>
      </c>
      <c r="J210" s="359">
        <f t="shared" ca="1" si="30"/>
        <v>0</v>
      </c>
      <c r="K210" s="360">
        <f t="shared" ca="1" si="31"/>
        <v>41796</v>
      </c>
      <c r="L210" s="367"/>
      <c r="M210" s="367"/>
      <c r="N210" s="367"/>
      <c r="O210" s="361"/>
      <c r="P210" s="361"/>
      <c r="Q210" s="344"/>
      <c r="R210" s="336"/>
      <c r="S210" s="362"/>
      <c r="T210" s="341"/>
      <c r="U210" s="341"/>
      <c r="V210" s="341"/>
    </row>
    <row r="211" spans="1:22" s="368" customFormat="1">
      <c r="A211" s="336"/>
      <c r="B211" s="692">
        <v>4</v>
      </c>
      <c r="C211" s="693" t="s">
        <v>287</v>
      </c>
      <c r="D211" s="356" t="str">
        <f ca="1">IF(ISERROR(OFFSET('HARGA SATUAN'!$D$6,MATCH(RAB!C211,'HARGA SATUAN'!$C$7:$C$1492,0),0)),"",OFFSET('HARGA SATUAN'!$D$6,MATCH(RAB!C211,'HARGA SATUAN'!$C$7:$C$1492,0),0))</f>
        <v>HDW</v>
      </c>
      <c r="E211" s="357" t="str">
        <f ca="1">IF(B211="+","Unit",IF(ISERROR(OFFSET('HARGA SATUAN'!$E$6,MATCH(RAB!C211,'HARGA SATUAN'!$C$7:$C$1492,0),0)),"",OFFSET('HARGA SATUAN'!$E$6,MATCH(RAB!C211,'HARGA SATUAN'!$C$7:$C$1492,0),0)))</f>
        <v>Bh</v>
      </c>
      <c r="F211" s="489">
        <f>F207*2</f>
        <v>2</v>
      </c>
      <c r="G211" s="358">
        <f ca="1">IF(ISERROR(OFFSET('HARGA SATUAN'!$I$6,MATCH(RAB!C211,'HARGA SATUAN'!$C$7:$C$1492,0),0)),0,OFFSET('HARGA SATUAN'!$I$6,MATCH(RAB!C211,'HARGA SATUAN'!$C$7:$C$1492,0),0))</f>
        <v>40000</v>
      </c>
      <c r="H211" s="359">
        <f t="shared" ca="1" si="28"/>
        <v>0</v>
      </c>
      <c r="I211" s="359">
        <f t="shared" ca="1" si="29"/>
        <v>80000</v>
      </c>
      <c r="J211" s="359">
        <f t="shared" ca="1" si="30"/>
        <v>0</v>
      </c>
      <c r="K211" s="360">
        <f t="shared" ca="1" si="31"/>
        <v>80000</v>
      </c>
      <c r="L211" s="367"/>
      <c r="M211" s="367"/>
      <c r="N211" s="367"/>
      <c r="O211" s="361"/>
      <c r="P211" s="361"/>
      <c r="Q211" s="344"/>
      <c r="R211" s="336"/>
      <c r="S211" s="362"/>
      <c r="T211" s="341"/>
      <c r="U211" s="341"/>
      <c r="V211" s="341"/>
    </row>
    <row r="212" spans="1:22" s="368" customFormat="1">
      <c r="A212" s="336"/>
      <c r="B212" s="692">
        <v>5</v>
      </c>
      <c r="C212" s="693" t="s">
        <v>26</v>
      </c>
      <c r="D212" s="356" t="str">
        <f ca="1">IF(ISERROR(OFFSET('HARGA SATUAN'!$D$6,MATCH(RAB!C212,'HARGA SATUAN'!$C$7:$C$1492,0),0)),"",OFFSET('HARGA SATUAN'!$D$6,MATCH(RAB!C212,'HARGA SATUAN'!$C$7:$C$1492,0),0))</f>
        <v>HDW</v>
      </c>
      <c r="E212" s="357" t="str">
        <f ca="1">IF(B212="+","Unit",IF(ISERROR(OFFSET('HARGA SATUAN'!$E$6,MATCH(RAB!C212,'HARGA SATUAN'!$C$7:$C$1492,0),0)),"",OFFSET('HARGA SATUAN'!$E$6,MATCH(RAB!C212,'HARGA SATUAN'!$C$7:$C$1492,0),0)))</f>
        <v>Bh</v>
      </c>
      <c r="F212" s="489">
        <f>F207*2</f>
        <v>2</v>
      </c>
      <c r="G212" s="358">
        <f ca="1">IF(ISERROR(OFFSET('HARGA SATUAN'!$I$6,MATCH(RAB!C212,'HARGA SATUAN'!$C$7:$C$1492,0),0)),0,OFFSET('HARGA SATUAN'!$I$6,MATCH(RAB!C212,'HARGA SATUAN'!$C$7:$C$1492,0),0))</f>
        <v>2500</v>
      </c>
      <c r="H212" s="359">
        <f t="shared" ca="1" si="28"/>
        <v>0</v>
      </c>
      <c r="I212" s="359">
        <f t="shared" ca="1" si="29"/>
        <v>5000</v>
      </c>
      <c r="J212" s="359">
        <f t="shared" ca="1" si="30"/>
        <v>0</v>
      </c>
      <c r="K212" s="360">
        <f t="shared" ca="1" si="31"/>
        <v>5000</v>
      </c>
      <c r="L212" s="367"/>
      <c r="M212" s="367"/>
      <c r="N212" s="367"/>
      <c r="O212" s="361"/>
      <c r="P212" s="361"/>
      <c r="Q212" s="344"/>
      <c r="R212" s="336"/>
      <c r="S212" s="362"/>
      <c r="T212" s="341"/>
      <c r="U212" s="341"/>
      <c r="V212" s="341"/>
    </row>
    <row r="213" spans="1:22" s="368" customFormat="1">
      <c r="A213" s="336"/>
      <c r="B213" s="692">
        <v>6</v>
      </c>
      <c r="C213" s="693" t="s">
        <v>762</v>
      </c>
      <c r="D213" s="356" t="str">
        <f ca="1">IF(ISERROR(OFFSET('HARGA SATUAN'!$D$6,MATCH(RAB!C213,'HARGA SATUAN'!$C$7:$C$1492,0),0)),"",OFFSET('HARGA SATUAN'!$D$6,MATCH(RAB!C213,'HARGA SATUAN'!$C$7:$C$1492,0),0))</f>
        <v>JASA</v>
      </c>
      <c r="E213" s="357" t="str">
        <f ca="1">IF(B213="+","Unit",IF(ISERROR(OFFSET('HARGA SATUAN'!$E$6,MATCH(RAB!C213,'HARGA SATUAN'!$C$7:$C$1492,0),0)),"",OFFSET('HARGA SATUAN'!$E$6,MATCH(RAB!C213,'HARGA SATUAN'!$C$7:$C$1492,0),0)))</f>
        <v>Unit</v>
      </c>
      <c r="F213" s="489">
        <f>F207*1</f>
        <v>1</v>
      </c>
      <c r="G213" s="358">
        <f ca="1">IF(ISERROR(OFFSET('HARGA SATUAN'!$I$6,MATCH(RAB!C213,'HARGA SATUAN'!$C$7:$C$1492,0),0)),0,OFFSET('HARGA SATUAN'!$I$6,MATCH(RAB!C213,'HARGA SATUAN'!$C$7:$C$1492,0),0))</f>
        <v>60500</v>
      </c>
      <c r="H213" s="359">
        <f t="shared" ca="1" si="28"/>
        <v>0</v>
      </c>
      <c r="I213" s="359">
        <f t="shared" ca="1" si="29"/>
        <v>0</v>
      </c>
      <c r="J213" s="359">
        <f t="shared" ca="1" si="30"/>
        <v>60500</v>
      </c>
      <c r="K213" s="360">
        <f t="shared" ca="1" si="31"/>
        <v>60500</v>
      </c>
      <c r="L213" s="367"/>
      <c r="M213" s="367"/>
      <c r="N213" s="367"/>
      <c r="O213" s="361"/>
      <c r="P213" s="361"/>
      <c r="Q213" s="344"/>
      <c r="R213" s="336"/>
      <c r="S213" s="362"/>
      <c r="T213" s="341"/>
      <c r="U213" s="341"/>
      <c r="V213" s="341"/>
    </row>
    <row r="214" spans="1:22" s="368" customFormat="1">
      <c r="A214" s="336"/>
      <c r="B214" s="694"/>
      <c r="C214" s="695"/>
      <c r="D214" s="356" t="str">
        <f ca="1">IF(ISERROR(OFFSET('HARGA SATUAN'!$D$6,MATCH(RAB!C214,'HARGA SATUAN'!$C$7:$C$1492,0),0)),"",OFFSET('HARGA SATUAN'!$D$6,MATCH(RAB!C214,'HARGA SATUAN'!$C$7:$C$1492,0),0))</f>
        <v/>
      </c>
      <c r="E214" s="357" t="str">
        <f ca="1">IF(B214="+","Unit",IF(ISERROR(OFFSET('HARGA SATUAN'!$E$6,MATCH(RAB!C214,'HARGA SATUAN'!$C$7:$C$1492,0),0)),"",OFFSET('HARGA SATUAN'!$E$6,MATCH(RAB!C214,'HARGA SATUAN'!$C$7:$C$1492,0),0)))</f>
        <v/>
      </c>
      <c r="F214" s="715"/>
      <c r="G214" s="358">
        <f ca="1">IF(ISERROR(OFFSET('HARGA SATUAN'!$I$6,MATCH(RAB!C214,'HARGA SATUAN'!$C$7:$C$1492,0),0)),0,OFFSET('HARGA SATUAN'!$I$6,MATCH(RAB!C214,'HARGA SATUAN'!$C$7:$C$1492,0),0))</f>
        <v>0</v>
      </c>
      <c r="H214" s="359">
        <f t="shared" ca="1" si="28"/>
        <v>0</v>
      </c>
      <c r="I214" s="359">
        <f t="shared" ca="1" si="29"/>
        <v>0</v>
      </c>
      <c r="J214" s="359">
        <f t="shared" ca="1" si="30"/>
        <v>0</v>
      </c>
      <c r="K214" s="360">
        <f t="shared" ca="1" si="31"/>
        <v>0</v>
      </c>
      <c r="L214" s="367"/>
      <c r="M214" s="367"/>
      <c r="N214" s="367"/>
      <c r="O214" s="361"/>
      <c r="P214" s="361"/>
      <c r="Q214" s="344"/>
      <c r="R214" s="336"/>
      <c r="S214" s="362"/>
      <c r="T214" s="341"/>
      <c r="U214" s="341"/>
      <c r="V214" s="341"/>
    </row>
    <row r="215" spans="1:22" s="368" customFormat="1">
      <c r="A215" s="336"/>
      <c r="B215" s="692" t="s">
        <v>1035</v>
      </c>
      <c r="C215" s="693" t="s">
        <v>1625</v>
      </c>
      <c r="D215" s="356" t="str">
        <f ca="1">IF(ISERROR(OFFSET('HARGA SATUAN'!$D$6,MATCH(RAB!C215,'HARGA SATUAN'!$C$7:$C$1492,0),0)),"",OFFSET('HARGA SATUAN'!$D$6,MATCH(RAB!C215,'HARGA SATUAN'!$C$7:$C$1492,0),0))</f>
        <v/>
      </c>
      <c r="E215" s="357" t="str">
        <f ca="1">IF(B215="+","Unit",IF(ISERROR(OFFSET('HARGA SATUAN'!$E$6,MATCH(RAB!C215,'HARGA SATUAN'!$C$7:$C$1492,0),0)),"",OFFSET('HARGA SATUAN'!$E$6,MATCH(RAB!C215,'HARGA SATUAN'!$C$7:$C$1492,0),0)))</f>
        <v>Unit</v>
      </c>
      <c r="F215" s="714">
        <v>3</v>
      </c>
      <c r="G215" s="358">
        <f ca="1">IF(ISERROR(OFFSET('HARGA SATUAN'!$I$6,MATCH(RAB!C215,'HARGA SATUAN'!$C$7:$C$1492,0),0)),0,OFFSET('HARGA SATUAN'!$I$6,MATCH(RAB!C215,'HARGA SATUAN'!$C$7:$C$1492,0),0))</f>
        <v>0</v>
      </c>
      <c r="H215" s="359">
        <f t="shared" ca="1" si="28"/>
        <v>0</v>
      </c>
      <c r="I215" s="359">
        <f t="shared" ca="1" si="29"/>
        <v>0</v>
      </c>
      <c r="J215" s="359">
        <f t="shared" ca="1" si="30"/>
        <v>0</v>
      </c>
      <c r="K215" s="360">
        <f t="shared" ca="1" si="31"/>
        <v>0</v>
      </c>
      <c r="L215" s="367"/>
      <c r="M215" s="367"/>
      <c r="N215" s="367"/>
      <c r="O215" s="361"/>
      <c r="P215" s="361"/>
      <c r="Q215" s="344"/>
      <c r="R215" s="336"/>
      <c r="S215" s="362"/>
      <c r="T215" s="341"/>
      <c r="U215" s="341"/>
      <c r="V215" s="341"/>
    </row>
    <row r="216" spans="1:22" s="368" customFormat="1">
      <c r="A216" s="336"/>
      <c r="B216" s="692">
        <v>1</v>
      </c>
      <c r="C216" s="693" t="s">
        <v>262</v>
      </c>
      <c r="D216" s="356" t="str">
        <f ca="1">IF(ISERROR(OFFSET('HARGA SATUAN'!$D$6,MATCH(RAB!C216,'HARGA SATUAN'!$C$7:$C$1492,0),0)),"",OFFSET('HARGA SATUAN'!$D$6,MATCH(RAB!C216,'HARGA SATUAN'!$C$7:$C$1492,0),0))</f>
        <v>HDW</v>
      </c>
      <c r="E216" s="357" t="str">
        <f ca="1">IF(B216="+","Unit",IF(ISERROR(OFFSET('HARGA SATUAN'!$E$6,MATCH(RAB!C216,'HARGA SATUAN'!$C$7:$C$1492,0),0)),"",OFFSET('HARGA SATUAN'!$E$6,MATCH(RAB!C216,'HARGA SATUAN'!$C$7:$C$1492,0),0)))</f>
        <v>Bh</v>
      </c>
      <c r="F216" s="714">
        <f>F215*1</f>
        <v>3</v>
      </c>
      <c r="G216" s="358">
        <f ca="1">IF(ISERROR(OFFSET('HARGA SATUAN'!$I$6,MATCH(RAB!C216,'HARGA SATUAN'!$C$7:$C$1492,0),0)),0,OFFSET('HARGA SATUAN'!$I$6,MATCH(RAB!C216,'HARGA SATUAN'!$C$7:$C$1492,0),0))</f>
        <v>104200</v>
      </c>
      <c r="H216" s="359">
        <f t="shared" ca="1" si="28"/>
        <v>0</v>
      </c>
      <c r="I216" s="359">
        <f t="shared" ca="1" si="29"/>
        <v>312600</v>
      </c>
      <c r="J216" s="359">
        <f t="shared" ca="1" si="30"/>
        <v>0</v>
      </c>
      <c r="K216" s="360">
        <f t="shared" ca="1" si="31"/>
        <v>312600</v>
      </c>
      <c r="L216" s="367"/>
      <c r="M216" s="367"/>
      <c r="N216" s="367"/>
      <c r="O216" s="361"/>
      <c r="P216" s="361"/>
      <c r="Q216" s="344"/>
      <c r="R216" s="336"/>
      <c r="S216" s="362"/>
      <c r="T216" s="341"/>
      <c r="U216" s="341"/>
      <c r="V216" s="341"/>
    </row>
    <row r="217" spans="1:22" s="368" customFormat="1">
      <c r="A217" s="336"/>
      <c r="B217" s="692">
        <v>2</v>
      </c>
      <c r="C217" s="693" t="s">
        <v>596</v>
      </c>
      <c r="D217" s="356" t="str">
        <f ca="1">IF(ISERROR(OFFSET('HARGA SATUAN'!$D$6,MATCH(RAB!C217,'HARGA SATUAN'!$C$7:$C$1492,0),0)),"",OFFSET('HARGA SATUAN'!$D$6,MATCH(RAB!C217,'HARGA SATUAN'!$C$7:$C$1492,0),0))</f>
        <v>HDW</v>
      </c>
      <c r="E217" s="357" t="str">
        <f ca="1">IF(B217="+","Unit",IF(ISERROR(OFFSET('HARGA SATUAN'!$E$6,MATCH(RAB!C217,'HARGA SATUAN'!$C$7:$C$1492,0),0)),"",OFFSET('HARGA SATUAN'!$E$6,MATCH(RAB!C217,'HARGA SATUAN'!$C$7:$C$1492,0),0)))</f>
        <v>Bh</v>
      </c>
      <c r="F217" s="714">
        <f>F215*1</f>
        <v>3</v>
      </c>
      <c r="G217" s="358">
        <f ca="1">IF(ISERROR(OFFSET('HARGA SATUAN'!$I$6,MATCH(RAB!C217,'HARGA SATUAN'!$C$7:$C$1492,0),0)),0,OFFSET('HARGA SATUAN'!$I$6,MATCH(RAB!C217,'HARGA SATUAN'!$C$7:$C$1492,0),0))</f>
        <v>120000</v>
      </c>
      <c r="H217" s="359">
        <f t="shared" ca="1" si="28"/>
        <v>0</v>
      </c>
      <c r="I217" s="359">
        <f t="shared" ca="1" si="29"/>
        <v>360000</v>
      </c>
      <c r="J217" s="359">
        <f t="shared" ca="1" si="30"/>
        <v>0</v>
      </c>
      <c r="K217" s="360">
        <f t="shared" ca="1" si="31"/>
        <v>360000</v>
      </c>
      <c r="L217" s="367"/>
      <c r="M217" s="367"/>
      <c r="N217" s="367"/>
      <c r="O217" s="361"/>
      <c r="P217" s="361"/>
      <c r="Q217" s="344"/>
      <c r="R217" s="336"/>
      <c r="S217" s="362"/>
      <c r="T217" s="341"/>
      <c r="U217" s="341"/>
      <c r="V217" s="341"/>
    </row>
    <row r="218" spans="1:22" s="368" customFormat="1">
      <c r="A218" s="336"/>
      <c r="B218" s="692">
        <v>4</v>
      </c>
      <c r="C218" s="693" t="s">
        <v>214</v>
      </c>
      <c r="D218" s="356" t="str">
        <f ca="1">IF(ISERROR(OFFSET('HARGA SATUAN'!$D$6,MATCH(RAB!C218,'HARGA SATUAN'!$C$7:$C$1492,0),0)),"",OFFSET('HARGA SATUAN'!$D$6,MATCH(RAB!C218,'HARGA SATUAN'!$C$7:$C$1492,0),0))</f>
        <v>HDW</v>
      </c>
      <c r="E218" s="357" t="str">
        <f ca="1">IF(B218="+","Unit",IF(ISERROR(OFFSET('HARGA SATUAN'!$E$6,MATCH(RAB!C218,'HARGA SATUAN'!$C$7:$C$1492,0),0)),"",OFFSET('HARGA SATUAN'!$E$6,MATCH(RAB!C218,'HARGA SATUAN'!$C$7:$C$1492,0),0)))</f>
        <v>Bh</v>
      </c>
      <c r="F218" s="489">
        <f>F215*1</f>
        <v>3</v>
      </c>
      <c r="G218" s="358">
        <f ca="1">IF(ISERROR(OFFSET('HARGA SATUAN'!$I$6,MATCH(RAB!C218,'HARGA SATUAN'!$C$7:$C$1492,0),0)),0,OFFSET('HARGA SATUAN'!$I$6,MATCH(RAB!C218,'HARGA SATUAN'!$C$7:$C$1492,0),0))</f>
        <v>4500</v>
      </c>
      <c r="H218" s="359">
        <f t="shared" ca="1" si="28"/>
        <v>0</v>
      </c>
      <c r="I218" s="359">
        <f t="shared" ca="1" si="29"/>
        <v>13500</v>
      </c>
      <c r="J218" s="359">
        <f t="shared" ca="1" si="30"/>
        <v>0</v>
      </c>
      <c r="K218" s="360">
        <f t="shared" ca="1" si="31"/>
        <v>13500</v>
      </c>
      <c r="L218" s="367"/>
      <c r="M218" s="367"/>
      <c r="N218" s="367"/>
      <c r="O218" s="361"/>
      <c r="P218" s="361"/>
      <c r="Q218" s="344"/>
      <c r="R218" s="336"/>
      <c r="S218" s="362"/>
      <c r="T218" s="341"/>
      <c r="U218" s="341"/>
      <c r="V218" s="341"/>
    </row>
    <row r="219" spans="1:22" s="368" customFormat="1">
      <c r="A219" s="336"/>
      <c r="B219" s="692">
        <v>3</v>
      </c>
      <c r="C219" s="693" t="s">
        <v>767</v>
      </c>
      <c r="D219" s="356" t="str">
        <f ca="1">IF(ISERROR(OFFSET('HARGA SATUAN'!$D$6,MATCH(RAB!C219,'HARGA SATUAN'!$C$7:$C$1492,0),0)),"",OFFSET('HARGA SATUAN'!$D$6,MATCH(RAB!C219,'HARGA SATUAN'!$C$7:$C$1492,0),0))</f>
        <v>JASA</v>
      </c>
      <c r="E219" s="357" t="str">
        <f ca="1">IF(B219="+","Unit",IF(ISERROR(OFFSET('HARGA SATUAN'!$E$6,MATCH(RAB!C219,'HARGA SATUAN'!$C$7:$C$1492,0),0)),"",OFFSET('HARGA SATUAN'!$E$6,MATCH(RAB!C219,'HARGA SATUAN'!$C$7:$C$1492,0),0)))</f>
        <v>Unit</v>
      </c>
      <c r="F219" s="714">
        <f>F215*1</f>
        <v>3</v>
      </c>
      <c r="G219" s="358">
        <f ca="1">IF(ISERROR(OFFSET('HARGA SATUAN'!$I$6,MATCH(RAB!C219,'HARGA SATUAN'!$C$7:$C$1492,0),0)),0,OFFSET('HARGA SATUAN'!$I$6,MATCH(RAB!C219,'HARGA SATUAN'!$C$7:$C$1492,0),0))</f>
        <v>55500</v>
      </c>
      <c r="H219" s="359">
        <f t="shared" ca="1" si="28"/>
        <v>0</v>
      </c>
      <c r="I219" s="359">
        <f t="shared" ca="1" si="29"/>
        <v>0</v>
      </c>
      <c r="J219" s="359">
        <f t="shared" ca="1" si="30"/>
        <v>166500</v>
      </c>
      <c r="K219" s="360">
        <f t="shared" ca="1" si="31"/>
        <v>166500</v>
      </c>
      <c r="L219" s="367"/>
      <c r="M219" s="367"/>
      <c r="N219" s="367"/>
      <c r="O219" s="361"/>
      <c r="P219" s="361"/>
      <c r="Q219" s="344"/>
      <c r="R219" s="336"/>
      <c r="S219" s="362"/>
      <c r="T219" s="341"/>
      <c r="U219" s="341"/>
      <c r="V219" s="341"/>
    </row>
    <row r="220" spans="1:22" s="368" customFormat="1">
      <c r="A220" s="336"/>
      <c r="B220" s="694"/>
      <c r="C220" s="695"/>
      <c r="D220" s="356" t="str">
        <f ca="1">IF(ISERROR(OFFSET('HARGA SATUAN'!$D$6,MATCH(RAB!C220,'HARGA SATUAN'!$C$7:$C$1492,0),0)),"",OFFSET('HARGA SATUAN'!$D$6,MATCH(RAB!C220,'HARGA SATUAN'!$C$7:$C$1492,0),0))</f>
        <v/>
      </c>
      <c r="E220" s="357" t="str">
        <f ca="1">IF(B220="+","Unit",IF(ISERROR(OFFSET('HARGA SATUAN'!$E$6,MATCH(RAB!C220,'HARGA SATUAN'!$C$7:$C$1492,0),0)),"",OFFSET('HARGA SATUAN'!$E$6,MATCH(RAB!C220,'HARGA SATUAN'!$C$7:$C$1492,0),0)))</f>
        <v/>
      </c>
      <c r="F220" s="715"/>
      <c r="G220" s="358">
        <f ca="1">IF(ISERROR(OFFSET('HARGA SATUAN'!$I$6,MATCH(RAB!C220,'HARGA SATUAN'!$C$7:$C$1492,0),0)),0,OFFSET('HARGA SATUAN'!$I$6,MATCH(RAB!C220,'HARGA SATUAN'!$C$7:$C$1492,0),0))</f>
        <v>0</v>
      </c>
      <c r="H220" s="359">
        <f t="shared" ca="1" si="28"/>
        <v>0</v>
      </c>
      <c r="I220" s="359">
        <f t="shared" ca="1" si="29"/>
        <v>0</v>
      </c>
      <c r="J220" s="359">
        <f t="shared" ca="1" si="30"/>
        <v>0</v>
      </c>
      <c r="K220" s="360">
        <f t="shared" ca="1" si="31"/>
        <v>0</v>
      </c>
      <c r="L220" s="367"/>
      <c r="M220" s="367"/>
      <c r="N220" s="367"/>
      <c r="O220" s="361"/>
      <c r="P220" s="361"/>
      <c r="Q220" s="344"/>
      <c r="R220" s="336"/>
      <c r="S220" s="362"/>
      <c r="T220" s="341"/>
      <c r="U220" s="341"/>
      <c r="V220" s="341"/>
    </row>
    <row r="221" spans="1:22" s="368" customFormat="1">
      <c r="A221" s="336"/>
      <c r="B221" s="692" t="s">
        <v>1035</v>
      </c>
      <c r="C221" s="693" t="s">
        <v>1630</v>
      </c>
      <c r="D221" s="356" t="str">
        <f ca="1">IF(ISERROR(OFFSET('HARGA SATUAN'!$D$6,MATCH(RAB!C221,'HARGA SATUAN'!$C$7:$C$1492,0),0)),"",OFFSET('HARGA SATUAN'!$D$6,MATCH(RAB!C221,'HARGA SATUAN'!$C$7:$C$1492,0),0))</f>
        <v/>
      </c>
      <c r="E221" s="357" t="str">
        <f ca="1">IF(B221="+","Unit",IF(ISERROR(OFFSET('HARGA SATUAN'!$E$6,MATCH(RAB!C221,'HARGA SATUAN'!$C$7:$C$1492,0),0)),"",OFFSET('HARGA SATUAN'!$E$6,MATCH(RAB!C221,'HARGA SATUAN'!$C$7:$C$1492,0),0)))</f>
        <v>Unit</v>
      </c>
      <c r="F221" s="490">
        <v>5</v>
      </c>
      <c r="G221" s="358">
        <f ca="1">IF(ISERROR(OFFSET('HARGA SATUAN'!$I$6,MATCH(RAB!C221,'HARGA SATUAN'!$C$7:$C$1492,0),0)),0,OFFSET('HARGA SATUAN'!$I$6,MATCH(RAB!C221,'HARGA SATUAN'!$C$7:$C$1492,0),0))</f>
        <v>0</v>
      </c>
      <c r="H221" s="359">
        <f t="shared" ca="1" si="28"/>
        <v>0</v>
      </c>
      <c r="I221" s="359">
        <f t="shared" ca="1" si="29"/>
        <v>0</v>
      </c>
      <c r="J221" s="359">
        <f t="shared" ca="1" si="30"/>
        <v>0</v>
      </c>
      <c r="K221" s="360">
        <f t="shared" ca="1" si="31"/>
        <v>0</v>
      </c>
      <c r="L221" s="367"/>
      <c r="M221" s="367"/>
      <c r="N221" s="367"/>
      <c r="O221" s="361"/>
      <c r="P221" s="361"/>
      <c r="Q221" s="344"/>
      <c r="R221" s="336"/>
      <c r="S221" s="362"/>
      <c r="T221" s="341"/>
      <c r="U221" s="341"/>
      <c r="V221" s="341"/>
    </row>
    <row r="222" spans="1:22" s="368" customFormat="1">
      <c r="A222" s="336"/>
      <c r="B222" s="692">
        <v>1</v>
      </c>
      <c r="C222" s="693" t="s">
        <v>535</v>
      </c>
      <c r="D222" s="356" t="str">
        <f ca="1">IF(ISERROR(OFFSET('HARGA SATUAN'!$D$6,MATCH(RAB!C222,'HARGA SATUAN'!$C$7:$C$1492,0),0)),"",OFFSET('HARGA SATUAN'!$D$6,MATCH(RAB!C222,'HARGA SATUAN'!$C$7:$C$1492,0),0))</f>
        <v>MDU-KD</v>
      </c>
      <c r="E222" s="357" t="str">
        <f ca="1">IF(B222="+","Unit",IF(ISERROR(OFFSET('HARGA SATUAN'!$E$6,MATCH(RAB!C222,'HARGA SATUAN'!$C$7:$C$1492,0),0)),"",OFFSET('HARGA SATUAN'!$E$6,MATCH(RAB!C222,'HARGA SATUAN'!$C$7:$C$1492,0),0)))</f>
        <v>Bh</v>
      </c>
      <c r="F222" s="490">
        <f>F221*1</f>
        <v>5</v>
      </c>
      <c r="G222" s="358">
        <f ca="1">IF(ISERROR(OFFSET('HARGA SATUAN'!$I$6,MATCH(RAB!C222,'HARGA SATUAN'!$C$7:$C$1492,0),0)),0,OFFSET('HARGA SATUAN'!$I$6,MATCH(RAB!C222,'HARGA SATUAN'!$C$7:$C$1492,0),0))</f>
        <v>848250</v>
      </c>
      <c r="H222" s="359">
        <f t="shared" ca="1" si="28"/>
        <v>4241250</v>
      </c>
      <c r="I222" s="359">
        <f t="shared" ca="1" si="29"/>
        <v>0</v>
      </c>
      <c r="J222" s="359">
        <f t="shared" ca="1" si="30"/>
        <v>0</v>
      </c>
      <c r="K222" s="360">
        <f t="shared" ca="1" si="31"/>
        <v>4241250</v>
      </c>
      <c r="L222" s="367"/>
      <c r="M222" s="367"/>
      <c r="N222" s="367"/>
      <c r="O222" s="361"/>
      <c r="P222" s="361"/>
      <c r="Q222" s="344"/>
      <c r="R222" s="336"/>
      <c r="S222" s="362"/>
      <c r="T222" s="341"/>
      <c r="U222" s="341"/>
      <c r="V222" s="341"/>
    </row>
    <row r="223" spans="1:22" s="368" customFormat="1">
      <c r="A223" s="336"/>
      <c r="B223" s="692">
        <v>2</v>
      </c>
      <c r="C223" s="109" t="s">
        <v>62</v>
      </c>
      <c r="D223" s="356" t="str">
        <f ca="1">IF(ISERROR(OFFSET('HARGA SATUAN'!$D$6,MATCH(RAB!C223,'HARGA SATUAN'!$C$7:$C$1492,0),0)),"",OFFSET('HARGA SATUAN'!$D$6,MATCH(RAB!C223,'HARGA SATUAN'!$C$7:$C$1492,0),0))</f>
        <v>HDW</v>
      </c>
      <c r="E223" s="357" t="str">
        <f ca="1">IF(B223="+","Unit",IF(ISERROR(OFFSET('HARGA SATUAN'!$E$6,MATCH(RAB!C223,'HARGA SATUAN'!$C$7:$C$1492,0),0)),"",OFFSET('HARGA SATUAN'!$E$6,MATCH(RAB!C223,'HARGA SATUAN'!$C$7:$C$1492,0),0)))</f>
        <v>Bh</v>
      </c>
      <c r="F223" s="490">
        <f>F221*1</f>
        <v>5</v>
      </c>
      <c r="G223" s="358">
        <f ca="1">IF(ISERROR(OFFSET('HARGA SATUAN'!$I$6,MATCH(RAB!C223,'HARGA SATUAN'!$C$7:$C$1492,0),0)),0,OFFSET('HARGA SATUAN'!$I$6,MATCH(RAB!C223,'HARGA SATUAN'!$C$7:$C$1492,0),0))</f>
        <v>32500</v>
      </c>
      <c r="H223" s="359">
        <f t="shared" ca="1" si="28"/>
        <v>0</v>
      </c>
      <c r="I223" s="359">
        <f t="shared" ca="1" si="29"/>
        <v>162500</v>
      </c>
      <c r="J223" s="359">
        <f t="shared" ca="1" si="30"/>
        <v>0</v>
      </c>
      <c r="K223" s="360">
        <f t="shared" ca="1" si="31"/>
        <v>162500</v>
      </c>
      <c r="L223" s="367"/>
      <c r="M223" s="367"/>
      <c r="N223" s="367"/>
      <c r="O223" s="361"/>
      <c r="P223" s="361"/>
      <c r="Q223" s="344"/>
      <c r="R223" s="336"/>
      <c r="S223" s="362"/>
      <c r="T223" s="341"/>
      <c r="U223" s="341"/>
      <c r="V223" s="341"/>
    </row>
    <row r="224" spans="1:22" s="368" customFormat="1">
      <c r="A224" s="336"/>
      <c r="B224" s="692">
        <v>3</v>
      </c>
      <c r="C224" s="693" t="s">
        <v>187</v>
      </c>
      <c r="D224" s="356" t="str">
        <f ca="1">IF(ISERROR(OFFSET('HARGA SATUAN'!$D$6,MATCH(RAB!C224,'HARGA SATUAN'!$C$7:$C$1492,0),0)),"",OFFSET('HARGA SATUAN'!$D$6,MATCH(RAB!C224,'HARGA SATUAN'!$C$7:$C$1492,0),0))</f>
        <v>HDW</v>
      </c>
      <c r="E224" s="357" t="str">
        <f ca="1">IF(B224="+","Unit",IF(ISERROR(OFFSET('HARGA SATUAN'!$E$6,MATCH(RAB!C224,'HARGA SATUAN'!$C$7:$C$1492,0),0)),"",OFFSET('HARGA SATUAN'!$E$6,MATCH(RAB!C224,'HARGA SATUAN'!$C$7:$C$1492,0),0)))</f>
        <v>Bh</v>
      </c>
      <c r="F224" s="490">
        <f>F221*1</f>
        <v>5</v>
      </c>
      <c r="G224" s="358">
        <f ca="1">IF(ISERROR(OFFSET('HARGA SATUAN'!$I$6,MATCH(RAB!C224,'HARGA SATUAN'!$C$7:$C$1492,0),0)),0,OFFSET('HARGA SATUAN'!$I$6,MATCH(RAB!C224,'HARGA SATUAN'!$C$7:$C$1492,0),0))</f>
        <v>17100</v>
      </c>
      <c r="H224" s="359">
        <f t="shared" ca="1" si="28"/>
        <v>0</v>
      </c>
      <c r="I224" s="359">
        <f t="shared" ca="1" si="29"/>
        <v>85500</v>
      </c>
      <c r="J224" s="359">
        <f t="shared" ca="1" si="30"/>
        <v>0</v>
      </c>
      <c r="K224" s="360">
        <f t="shared" ca="1" si="31"/>
        <v>85500</v>
      </c>
      <c r="L224" s="367"/>
      <c r="M224" s="367"/>
      <c r="N224" s="367"/>
      <c r="O224" s="361"/>
      <c r="P224" s="361"/>
      <c r="Q224" s="344"/>
      <c r="R224" s="336"/>
      <c r="S224" s="362"/>
      <c r="T224" s="341"/>
      <c r="U224" s="341"/>
      <c r="V224" s="341"/>
    </row>
    <row r="225" spans="1:22" s="368" customFormat="1">
      <c r="A225" s="336"/>
      <c r="B225" s="692">
        <v>4</v>
      </c>
      <c r="C225" s="109" t="s">
        <v>174</v>
      </c>
      <c r="D225" s="356" t="str">
        <f ca="1">IF(ISERROR(OFFSET('HARGA SATUAN'!$D$6,MATCH(RAB!C225,'HARGA SATUAN'!$C$7:$C$1492,0),0)),"",OFFSET('HARGA SATUAN'!$D$6,MATCH(RAB!C225,'HARGA SATUAN'!$C$7:$C$1492,0),0))</f>
        <v>HDW</v>
      </c>
      <c r="E225" s="357" t="str">
        <f ca="1">IF(B225="+","Unit",IF(ISERROR(OFFSET('HARGA SATUAN'!$E$6,MATCH(RAB!C225,'HARGA SATUAN'!$C$7:$C$1492,0),0)),"",OFFSET('HARGA SATUAN'!$E$6,MATCH(RAB!C225,'HARGA SATUAN'!$C$7:$C$1492,0),0)))</f>
        <v>Bh</v>
      </c>
      <c r="F225" s="490">
        <f>F221*1</f>
        <v>5</v>
      </c>
      <c r="G225" s="358">
        <f ca="1">IF(ISERROR(OFFSET('HARGA SATUAN'!$I$6,MATCH(RAB!C225,'HARGA SATUAN'!$C$7:$C$1492,0),0)),0,OFFSET('HARGA SATUAN'!$I$6,MATCH(RAB!C225,'HARGA SATUAN'!$C$7:$C$1492,0),0))</f>
        <v>67700</v>
      </c>
      <c r="H225" s="359">
        <f t="shared" ca="1" si="28"/>
        <v>0</v>
      </c>
      <c r="I225" s="359">
        <f t="shared" ca="1" si="29"/>
        <v>338500</v>
      </c>
      <c r="J225" s="359">
        <f t="shared" ca="1" si="30"/>
        <v>0</v>
      </c>
      <c r="K225" s="360">
        <f t="shared" ca="1" si="31"/>
        <v>338500</v>
      </c>
      <c r="L225" s="367"/>
      <c r="M225" s="367"/>
      <c r="N225" s="367"/>
      <c r="O225" s="361"/>
      <c r="P225" s="361"/>
      <c r="Q225" s="344"/>
      <c r="R225" s="336"/>
      <c r="S225" s="362"/>
      <c r="T225" s="341"/>
      <c r="U225" s="341"/>
      <c r="V225" s="341"/>
    </row>
    <row r="226" spans="1:22" s="368" customFormat="1">
      <c r="A226" s="336"/>
      <c r="B226" s="692">
        <v>5</v>
      </c>
      <c r="C226" s="693" t="s">
        <v>747</v>
      </c>
      <c r="D226" s="356" t="str">
        <f ca="1">IF(ISERROR(OFFSET('HARGA SATUAN'!$D$6,MATCH(RAB!C226,'HARGA SATUAN'!$C$7:$C$1492,0),0)),"",OFFSET('HARGA SATUAN'!$D$6,MATCH(RAB!C226,'HARGA SATUAN'!$C$7:$C$1492,0),0))</f>
        <v>JASA</v>
      </c>
      <c r="E226" s="357" t="str">
        <f ca="1">IF(B226="+","Unit",IF(ISERROR(OFFSET('HARGA SATUAN'!$E$6,MATCH(RAB!C226,'HARGA SATUAN'!$C$7:$C$1492,0),0)),"",OFFSET('HARGA SATUAN'!$E$6,MATCH(RAB!C226,'HARGA SATUAN'!$C$7:$C$1492,0),0)))</f>
        <v>Unit</v>
      </c>
      <c r="F226" s="490">
        <f>F221*1</f>
        <v>5</v>
      </c>
      <c r="G226" s="358">
        <f ca="1">IF(ISERROR(OFFSET('HARGA SATUAN'!$I$6,MATCH(RAB!C226,'HARGA SATUAN'!$C$7:$C$1492,0),0)),0,OFFSET('HARGA SATUAN'!$I$6,MATCH(RAB!C226,'HARGA SATUAN'!$C$7:$C$1492,0),0))</f>
        <v>58400</v>
      </c>
      <c r="H226" s="359">
        <f t="shared" ca="1" si="28"/>
        <v>0</v>
      </c>
      <c r="I226" s="359">
        <f t="shared" ca="1" si="29"/>
        <v>0</v>
      </c>
      <c r="J226" s="359">
        <f t="shared" ca="1" si="30"/>
        <v>292000</v>
      </c>
      <c r="K226" s="360">
        <f t="shared" ca="1" si="31"/>
        <v>292000</v>
      </c>
      <c r="L226" s="367"/>
      <c r="M226" s="367"/>
      <c r="N226" s="367"/>
      <c r="O226" s="361"/>
      <c r="P226" s="361"/>
      <c r="Q226" s="344"/>
      <c r="R226" s="336"/>
      <c r="S226" s="362"/>
      <c r="T226" s="341"/>
      <c r="U226" s="341"/>
      <c r="V226" s="341"/>
    </row>
    <row r="227" spans="1:22" s="368" customFormat="1">
      <c r="A227" s="336"/>
      <c r="B227" s="692"/>
      <c r="C227" s="693"/>
      <c r="D227" s="356" t="str">
        <f ca="1">IF(ISERROR(OFFSET('HARGA SATUAN'!$D$6,MATCH(RAB!C227,'HARGA SATUAN'!$C$7:$C$1492,0),0)),"",OFFSET('HARGA SATUAN'!$D$6,MATCH(RAB!C227,'HARGA SATUAN'!$C$7:$C$1492,0),0))</f>
        <v/>
      </c>
      <c r="E227" s="357" t="str">
        <f ca="1">IF(B227="+","Unit",IF(ISERROR(OFFSET('HARGA SATUAN'!$E$6,MATCH(RAB!C227,'HARGA SATUAN'!$C$7:$C$1492,0),0)),"",OFFSET('HARGA SATUAN'!$E$6,MATCH(RAB!C227,'HARGA SATUAN'!$C$7:$C$1492,0),0)))</f>
        <v/>
      </c>
      <c r="F227" s="714"/>
      <c r="G227" s="358">
        <f ca="1">IF(ISERROR(OFFSET('HARGA SATUAN'!$I$6,MATCH(RAB!C227,'HARGA SATUAN'!$C$7:$C$1492,0),0)),0,OFFSET('HARGA SATUAN'!$I$6,MATCH(RAB!C227,'HARGA SATUAN'!$C$7:$C$1492,0),0))</f>
        <v>0</v>
      </c>
      <c r="H227" s="359">
        <f t="shared" ca="1" si="28"/>
        <v>0</v>
      </c>
      <c r="I227" s="359">
        <f t="shared" ca="1" si="29"/>
        <v>0</v>
      </c>
      <c r="J227" s="359">
        <f t="shared" ca="1" si="30"/>
        <v>0</v>
      </c>
      <c r="K227" s="360">
        <f t="shared" ca="1" si="31"/>
        <v>0</v>
      </c>
      <c r="L227" s="367"/>
      <c r="M227" s="367"/>
      <c r="N227" s="367"/>
      <c r="O227" s="361"/>
      <c r="P227" s="361"/>
      <c r="Q227" s="344"/>
      <c r="R227" s="336"/>
      <c r="S227" s="362"/>
      <c r="T227" s="341"/>
      <c r="U227" s="341"/>
      <c r="V227" s="341"/>
    </row>
    <row r="228" spans="1:22" s="368" customFormat="1">
      <c r="A228" s="336"/>
      <c r="B228" s="692" t="s">
        <v>1035</v>
      </c>
      <c r="C228" s="693" t="s">
        <v>1626</v>
      </c>
      <c r="D228" s="356" t="str">
        <f ca="1">IF(ISERROR(OFFSET('HARGA SATUAN'!$D$6,MATCH(RAB!C228,'HARGA SATUAN'!$C$7:$C$1492,0),0)),"",OFFSET('HARGA SATUAN'!$D$6,MATCH(RAB!C228,'HARGA SATUAN'!$C$7:$C$1492,0),0))</f>
        <v/>
      </c>
      <c r="E228" s="357" t="str">
        <f ca="1">IF(B228="+","Unit",IF(ISERROR(OFFSET('HARGA SATUAN'!$E$6,MATCH(RAB!C228,'HARGA SATUAN'!$C$7:$C$1492,0),0)),"",OFFSET('HARGA SATUAN'!$E$6,MATCH(RAB!C228,'HARGA SATUAN'!$C$7:$C$1492,0),0)))</f>
        <v>Unit</v>
      </c>
      <c r="F228" s="489">
        <v>1</v>
      </c>
      <c r="G228" s="358">
        <f ca="1">IF(ISERROR(OFFSET('HARGA SATUAN'!$I$6,MATCH(RAB!C228,'HARGA SATUAN'!$C$7:$C$1492,0),0)),0,OFFSET('HARGA SATUAN'!$I$6,MATCH(RAB!C228,'HARGA SATUAN'!$C$7:$C$1492,0),0))</f>
        <v>0</v>
      </c>
      <c r="H228" s="359">
        <f t="shared" ca="1" si="28"/>
        <v>0</v>
      </c>
      <c r="I228" s="359">
        <f t="shared" ca="1" si="29"/>
        <v>0</v>
      </c>
      <c r="J228" s="359">
        <f t="shared" ca="1" si="30"/>
        <v>0</v>
      </c>
      <c r="K228" s="360">
        <f t="shared" ca="1" si="31"/>
        <v>0</v>
      </c>
      <c r="L228" s="367"/>
      <c r="M228" s="367"/>
      <c r="N228" s="367"/>
      <c r="O228" s="361"/>
      <c r="P228" s="361"/>
      <c r="Q228" s="344"/>
      <c r="R228" s="336"/>
      <c r="S228" s="362"/>
      <c r="T228" s="341"/>
      <c r="U228" s="341"/>
      <c r="V228" s="341"/>
    </row>
    <row r="229" spans="1:22" s="368" customFormat="1">
      <c r="A229" s="336"/>
      <c r="B229" s="692">
        <v>1</v>
      </c>
      <c r="C229" s="693" t="s">
        <v>30</v>
      </c>
      <c r="D229" s="356" t="str">
        <f ca="1">IF(ISERROR(OFFSET('HARGA SATUAN'!$D$6,MATCH(RAB!C229,'HARGA SATUAN'!$C$7:$C$1492,0),0)),"",OFFSET('HARGA SATUAN'!$D$6,MATCH(RAB!C229,'HARGA SATUAN'!$C$7:$C$1492,0),0))</f>
        <v>HDW</v>
      </c>
      <c r="E229" s="357" t="str">
        <f ca="1">IF(B229="+","Unit",IF(ISERROR(OFFSET('HARGA SATUAN'!$E$6,MATCH(RAB!C229,'HARGA SATUAN'!$C$7:$C$1492,0),0)),"",OFFSET('HARGA SATUAN'!$E$6,MATCH(RAB!C229,'HARGA SATUAN'!$C$7:$C$1492,0),0)))</f>
        <v>Bh</v>
      </c>
      <c r="F229" s="489">
        <f>F228*1</f>
        <v>1</v>
      </c>
      <c r="G229" s="358">
        <f ca="1">IF(ISERROR(OFFSET('HARGA SATUAN'!$I$6,MATCH(RAB!C229,'HARGA SATUAN'!$C$7:$C$1492,0),0)),0,OFFSET('HARGA SATUAN'!$I$6,MATCH(RAB!C229,'HARGA SATUAN'!$C$7:$C$1492,0),0))</f>
        <v>47459</v>
      </c>
      <c r="H229" s="359">
        <f t="shared" ca="1" si="28"/>
        <v>0</v>
      </c>
      <c r="I229" s="359">
        <f t="shared" ca="1" si="29"/>
        <v>47459</v>
      </c>
      <c r="J229" s="359">
        <f t="shared" ca="1" si="30"/>
        <v>0</v>
      </c>
      <c r="K229" s="360">
        <f t="shared" ca="1" si="31"/>
        <v>47459</v>
      </c>
      <c r="L229" s="367"/>
      <c r="M229" s="367"/>
      <c r="N229" s="367"/>
      <c r="O229" s="361"/>
      <c r="P229" s="361"/>
      <c r="Q229" s="344"/>
      <c r="R229" s="336"/>
      <c r="S229" s="362"/>
      <c r="T229" s="341"/>
      <c r="U229" s="341"/>
      <c r="V229" s="341"/>
    </row>
    <row r="230" spans="1:22" s="368" customFormat="1">
      <c r="A230" s="336"/>
      <c r="B230" s="692">
        <v>2</v>
      </c>
      <c r="C230" s="693" t="s">
        <v>32</v>
      </c>
      <c r="D230" s="356" t="str">
        <f ca="1">IF(ISERROR(OFFSET('HARGA SATUAN'!$D$6,MATCH(RAB!C230,'HARGA SATUAN'!$C$7:$C$1492,0),0)),"",OFFSET('HARGA SATUAN'!$D$6,MATCH(RAB!C230,'HARGA SATUAN'!$C$7:$C$1492,0),0))</f>
        <v>HDW</v>
      </c>
      <c r="E230" s="357" t="str">
        <f ca="1">IF(B230="+","Unit",IF(ISERROR(OFFSET('HARGA SATUAN'!$E$6,MATCH(RAB!C230,'HARGA SATUAN'!$C$7:$C$1492,0),0)),"",OFFSET('HARGA SATUAN'!$E$6,MATCH(RAB!C230,'HARGA SATUAN'!$C$7:$C$1492,0),0)))</f>
        <v>Mtr</v>
      </c>
      <c r="F230" s="489">
        <f>F228*1</f>
        <v>1</v>
      </c>
      <c r="G230" s="358">
        <f ca="1">IF(ISERROR(OFFSET('HARGA SATUAN'!$I$6,MATCH(RAB!C230,'HARGA SATUAN'!$C$7:$C$1492,0),0)),0,OFFSET('HARGA SATUAN'!$I$6,MATCH(RAB!C230,'HARGA SATUAN'!$C$7:$C$1492,0),0))</f>
        <v>30000</v>
      </c>
      <c r="H230" s="359">
        <f t="shared" ca="1" si="28"/>
        <v>0</v>
      </c>
      <c r="I230" s="359">
        <f t="shared" ca="1" si="29"/>
        <v>30000</v>
      </c>
      <c r="J230" s="359">
        <f t="shared" ca="1" si="30"/>
        <v>0</v>
      </c>
      <c r="K230" s="360">
        <f t="shared" ca="1" si="31"/>
        <v>30000</v>
      </c>
      <c r="L230" s="367"/>
      <c r="M230" s="367"/>
      <c r="N230" s="367"/>
      <c r="O230" s="361"/>
      <c r="P230" s="361"/>
      <c r="Q230" s="344"/>
      <c r="R230" s="336"/>
      <c r="S230" s="362"/>
      <c r="T230" s="341"/>
      <c r="U230" s="341"/>
      <c r="V230" s="341"/>
    </row>
    <row r="231" spans="1:22" s="368" customFormat="1">
      <c r="A231" s="336"/>
      <c r="B231" s="692">
        <v>3</v>
      </c>
      <c r="C231" s="693" t="s">
        <v>33</v>
      </c>
      <c r="D231" s="356" t="str">
        <f ca="1">IF(ISERROR(OFFSET('HARGA SATUAN'!$D$6,MATCH(RAB!C231,'HARGA SATUAN'!$C$7:$C$1492,0),0)),"",OFFSET('HARGA SATUAN'!$D$6,MATCH(RAB!C231,'HARGA SATUAN'!$C$7:$C$1492,0),0))</f>
        <v>HDW</v>
      </c>
      <c r="E231" s="357" t="str">
        <f ca="1">IF(B231="+","Unit",IF(ISERROR(OFFSET('HARGA SATUAN'!$E$6,MATCH(RAB!C231,'HARGA SATUAN'!$C$7:$C$1492,0),0)),"",OFFSET('HARGA SATUAN'!$E$6,MATCH(RAB!C231,'HARGA SATUAN'!$C$7:$C$1492,0),0)))</f>
        <v>Bh</v>
      </c>
      <c r="F231" s="489">
        <f>F228*1</f>
        <v>1</v>
      </c>
      <c r="G231" s="358">
        <f ca="1">IF(ISERROR(OFFSET('HARGA SATUAN'!$I$6,MATCH(RAB!C231,'HARGA SATUAN'!$C$7:$C$1492,0),0)),0,OFFSET('HARGA SATUAN'!$I$6,MATCH(RAB!C231,'HARGA SATUAN'!$C$7:$C$1492,0),0))</f>
        <v>9500</v>
      </c>
      <c r="H231" s="359">
        <f t="shared" ca="1" si="28"/>
        <v>0</v>
      </c>
      <c r="I231" s="359">
        <f t="shared" ca="1" si="29"/>
        <v>9500</v>
      </c>
      <c r="J231" s="359">
        <f t="shared" ca="1" si="30"/>
        <v>0</v>
      </c>
      <c r="K231" s="360">
        <f t="shared" ca="1" si="31"/>
        <v>9500</v>
      </c>
      <c r="L231" s="367"/>
      <c r="M231" s="367"/>
      <c r="N231" s="367"/>
      <c r="O231" s="361"/>
      <c r="P231" s="361"/>
      <c r="Q231" s="344"/>
      <c r="R231" s="336"/>
      <c r="S231" s="362"/>
      <c r="T231" s="341"/>
      <c r="U231" s="341"/>
      <c r="V231" s="341"/>
    </row>
    <row r="232" spans="1:22" s="368" customFormat="1">
      <c r="A232" s="336"/>
      <c r="B232" s="692">
        <v>4</v>
      </c>
      <c r="C232" s="693" t="s">
        <v>738</v>
      </c>
      <c r="D232" s="356" t="str">
        <f ca="1">IF(ISERROR(OFFSET('HARGA SATUAN'!$D$6,MATCH(RAB!C232,'HARGA SATUAN'!$C$7:$C$1492,0),0)),"",OFFSET('HARGA SATUAN'!$D$6,MATCH(RAB!C232,'HARGA SATUAN'!$C$7:$C$1492,0),0))</f>
        <v>JASA</v>
      </c>
      <c r="E232" s="357" t="str">
        <f ca="1">IF(B232="+","Unit",IF(ISERROR(OFFSET('HARGA SATUAN'!$E$6,MATCH(RAB!C232,'HARGA SATUAN'!$C$7:$C$1492,0),0)),"",OFFSET('HARGA SATUAN'!$E$6,MATCH(RAB!C232,'HARGA SATUAN'!$C$7:$C$1492,0),0)))</f>
        <v>Unit</v>
      </c>
      <c r="F232" s="489">
        <f>F228*1</f>
        <v>1</v>
      </c>
      <c r="G232" s="358">
        <f ca="1">IF(ISERROR(OFFSET('HARGA SATUAN'!$I$6,MATCH(RAB!C232,'HARGA SATUAN'!$C$7:$C$1492,0),0)),0,OFFSET('HARGA SATUAN'!$I$6,MATCH(RAB!C232,'HARGA SATUAN'!$C$7:$C$1492,0),0))</f>
        <v>21200</v>
      </c>
      <c r="H232" s="359">
        <f t="shared" ca="1" si="28"/>
        <v>0</v>
      </c>
      <c r="I232" s="359">
        <f t="shared" ca="1" si="29"/>
        <v>0</v>
      </c>
      <c r="J232" s="359">
        <f t="shared" ca="1" si="30"/>
        <v>21200</v>
      </c>
      <c r="K232" s="360">
        <f t="shared" ca="1" si="31"/>
        <v>21200</v>
      </c>
      <c r="L232" s="367"/>
      <c r="M232" s="367"/>
      <c r="N232" s="367"/>
      <c r="O232" s="361"/>
      <c r="P232" s="361"/>
      <c r="Q232" s="344"/>
      <c r="R232" s="336"/>
      <c r="S232" s="362"/>
      <c r="T232" s="341"/>
      <c r="U232" s="341"/>
      <c r="V232" s="341"/>
    </row>
    <row r="233" spans="1:22" s="368" customFormat="1">
      <c r="A233" s="336"/>
      <c r="B233" s="692"/>
      <c r="C233" s="693"/>
      <c r="D233" s="356" t="str">
        <f ca="1">IF(ISERROR(OFFSET('HARGA SATUAN'!$D$6,MATCH(RAB!C233,'HARGA SATUAN'!$C$7:$C$1492,0),0)),"",OFFSET('HARGA SATUAN'!$D$6,MATCH(RAB!C233,'HARGA SATUAN'!$C$7:$C$1492,0),0))</f>
        <v/>
      </c>
      <c r="E233" s="357" t="str">
        <f ca="1">IF(B233="+","Unit",IF(ISERROR(OFFSET('HARGA SATUAN'!$E$6,MATCH(RAB!C233,'HARGA SATUAN'!$C$7:$C$1492,0),0)),"",OFFSET('HARGA SATUAN'!$E$6,MATCH(RAB!C233,'HARGA SATUAN'!$C$7:$C$1492,0),0)))</f>
        <v/>
      </c>
      <c r="F233" s="714"/>
      <c r="G233" s="358">
        <f ca="1">IF(ISERROR(OFFSET('HARGA SATUAN'!$I$6,MATCH(RAB!C233,'HARGA SATUAN'!$C$7:$C$1492,0),0)),0,OFFSET('HARGA SATUAN'!$I$6,MATCH(RAB!C233,'HARGA SATUAN'!$C$7:$C$1492,0),0))</f>
        <v>0</v>
      </c>
      <c r="H233" s="359">
        <f t="shared" ca="1" si="28"/>
        <v>0</v>
      </c>
      <c r="I233" s="359">
        <f t="shared" ca="1" si="29"/>
        <v>0</v>
      </c>
      <c r="J233" s="359">
        <f t="shared" ca="1" si="30"/>
        <v>0</v>
      </c>
      <c r="K233" s="360">
        <f t="shared" ca="1" si="31"/>
        <v>0</v>
      </c>
      <c r="L233" s="367"/>
      <c r="M233" s="367"/>
      <c r="N233" s="367"/>
      <c r="O233" s="361"/>
      <c r="P233" s="361"/>
      <c r="Q233" s="344"/>
      <c r="R233" s="336"/>
      <c r="S233" s="362"/>
      <c r="T233" s="341"/>
      <c r="U233" s="341"/>
      <c r="V233" s="341"/>
    </row>
    <row r="234" spans="1:22" s="368" customFormat="1">
      <c r="A234" s="336"/>
      <c r="B234" s="692" t="s">
        <v>1035</v>
      </c>
      <c r="C234" s="693" t="s">
        <v>1627</v>
      </c>
      <c r="D234" s="356" t="str">
        <f ca="1">IF(ISERROR(OFFSET('HARGA SATUAN'!$D$6,MATCH(RAB!C234,'HARGA SATUAN'!$C$7:$C$1492,0),0)),"",OFFSET('HARGA SATUAN'!$D$6,MATCH(RAB!C234,'HARGA SATUAN'!$C$7:$C$1492,0),0))</f>
        <v/>
      </c>
      <c r="E234" s="357" t="str">
        <f ca="1">IF(B234="+","Unit",IF(ISERROR(OFFSET('HARGA SATUAN'!$E$6,MATCH(RAB!C234,'HARGA SATUAN'!$C$7:$C$1492,0),0)),"",OFFSET('HARGA SATUAN'!$E$6,MATCH(RAB!C234,'HARGA SATUAN'!$C$7:$C$1492,0),0)))</f>
        <v>Unit</v>
      </c>
      <c r="F234" s="714"/>
      <c r="G234" s="358">
        <f ca="1">IF(ISERROR(OFFSET('HARGA SATUAN'!$I$6,MATCH(RAB!C234,'HARGA SATUAN'!$C$7:$C$1492,0),0)),0,OFFSET('HARGA SATUAN'!$I$6,MATCH(RAB!C234,'HARGA SATUAN'!$C$7:$C$1492,0),0))</f>
        <v>0</v>
      </c>
      <c r="H234" s="359">
        <f t="shared" ca="1" si="28"/>
        <v>0</v>
      </c>
      <c r="I234" s="359">
        <f t="shared" ca="1" si="29"/>
        <v>0</v>
      </c>
      <c r="J234" s="359">
        <f t="shared" ca="1" si="30"/>
        <v>0</v>
      </c>
      <c r="K234" s="360">
        <f t="shared" ca="1" si="31"/>
        <v>0</v>
      </c>
      <c r="L234" s="367"/>
      <c r="M234" s="367"/>
      <c r="N234" s="367"/>
      <c r="O234" s="361"/>
      <c r="P234" s="361"/>
      <c r="Q234" s="344"/>
      <c r="R234" s="336"/>
      <c r="S234" s="362"/>
      <c r="T234" s="341"/>
      <c r="U234" s="341"/>
      <c r="V234" s="341"/>
    </row>
    <row r="235" spans="1:22" s="368" customFormat="1">
      <c r="A235" s="336"/>
      <c r="B235" s="694">
        <v>1</v>
      </c>
      <c r="C235" s="109" t="s">
        <v>66</v>
      </c>
      <c r="D235" s="356" t="str">
        <f ca="1">IF(ISERROR(OFFSET('HARGA SATUAN'!$D$6,MATCH(RAB!C235,'HARGA SATUAN'!$C$7:$C$1492,0),0)),"",OFFSET('HARGA SATUAN'!$D$6,MATCH(RAB!C235,'HARGA SATUAN'!$C$7:$C$1492,0),0))</f>
        <v>MDU-KD</v>
      </c>
      <c r="E235" s="357" t="str">
        <f ca="1">IF(B235="+","Unit",IF(ISERROR(OFFSET('HARGA SATUAN'!$E$6,MATCH(RAB!C235,'HARGA SATUAN'!$C$7:$C$1492,0),0)),"",OFFSET('HARGA SATUAN'!$E$6,MATCH(RAB!C235,'HARGA SATUAN'!$C$7:$C$1492,0),0)))</f>
        <v>Mtr</v>
      </c>
      <c r="F235" s="715">
        <v>2200</v>
      </c>
      <c r="G235" s="358">
        <f ca="1">IF(ISERROR(OFFSET('HARGA SATUAN'!$I$6,MATCH(RAB!C235,'HARGA SATUAN'!$C$7:$C$1492,0),0)),0,OFFSET('HARGA SATUAN'!$I$6,MATCH(RAB!C235,'HARGA SATUAN'!$C$7:$C$1492,0),0))</f>
        <v>25300</v>
      </c>
      <c r="H235" s="359">
        <f t="shared" ca="1" si="28"/>
        <v>55660000</v>
      </c>
      <c r="I235" s="359">
        <f t="shared" ca="1" si="29"/>
        <v>0</v>
      </c>
      <c r="J235" s="359">
        <f t="shared" ca="1" si="30"/>
        <v>0</v>
      </c>
      <c r="K235" s="360">
        <f t="shared" ca="1" si="31"/>
        <v>55660000</v>
      </c>
      <c r="L235" s="367"/>
      <c r="M235" s="367"/>
      <c r="N235" s="367"/>
      <c r="O235" s="361"/>
      <c r="P235" s="361"/>
      <c r="Q235" s="344"/>
      <c r="R235" s="336"/>
      <c r="S235" s="362"/>
      <c r="T235" s="341"/>
      <c r="U235" s="341"/>
      <c r="V235" s="341"/>
    </row>
    <row r="236" spans="1:22" s="368" customFormat="1" ht="30">
      <c r="A236" s="336"/>
      <c r="B236" s="694">
        <v>2</v>
      </c>
      <c r="C236" s="109" t="s">
        <v>1202</v>
      </c>
      <c r="D236" s="356" t="str">
        <f ca="1">IF(ISERROR(OFFSET('HARGA SATUAN'!$D$6,MATCH(RAB!C236,'HARGA SATUAN'!$C$7:$C$1492,0),0)),"",OFFSET('HARGA SATUAN'!$D$6,MATCH(RAB!C236,'HARGA SATUAN'!$C$7:$C$1492,0),0))</f>
        <v>JASA</v>
      </c>
      <c r="E236" s="357" t="str">
        <f ca="1">IF(B236="+","Unit",IF(ISERROR(OFFSET('HARGA SATUAN'!$E$6,MATCH(RAB!C236,'HARGA SATUAN'!$C$7:$C$1492,0),0)),"",OFFSET('HARGA SATUAN'!$E$6,MATCH(RAB!C236,'HARGA SATUAN'!$C$7:$C$1492,0),0)))</f>
        <v>Per Kms</v>
      </c>
      <c r="F236" s="717">
        <v>0.92</v>
      </c>
      <c r="G236" s="358">
        <f ca="1">IF(ISERROR(OFFSET('HARGA SATUAN'!$I$6,MATCH(RAB!C236,'HARGA SATUAN'!$C$7:$C$1492,0),0)),0,OFFSET('HARGA SATUAN'!$I$6,MATCH(RAB!C236,'HARGA SATUAN'!$C$7:$C$1492,0),0))</f>
        <v>7034000</v>
      </c>
      <c r="H236" s="359">
        <f t="shared" ca="1" si="28"/>
        <v>0</v>
      </c>
      <c r="I236" s="359">
        <f t="shared" ca="1" si="29"/>
        <v>0</v>
      </c>
      <c r="J236" s="359">
        <f t="shared" ca="1" si="30"/>
        <v>6471280</v>
      </c>
      <c r="K236" s="360">
        <f t="shared" ca="1" si="31"/>
        <v>6471280</v>
      </c>
      <c r="L236" s="367"/>
      <c r="M236" s="367"/>
      <c r="N236" s="367"/>
      <c r="O236" s="361"/>
      <c r="P236" s="361"/>
      <c r="Q236" s="344"/>
      <c r="R236" s="336"/>
      <c r="S236" s="362"/>
      <c r="T236" s="341"/>
      <c r="U236" s="341"/>
      <c r="V236" s="341"/>
    </row>
    <row r="237" spans="1:22" s="368" customFormat="1">
      <c r="A237" s="336"/>
      <c r="B237" s="692"/>
      <c r="C237" s="693"/>
      <c r="D237" s="356" t="str">
        <f ca="1">IF(ISERROR(OFFSET('HARGA SATUAN'!$D$6,MATCH(RAB!C237,'HARGA SATUAN'!$C$7:$C$1492,0),0)),"",OFFSET('HARGA SATUAN'!$D$6,MATCH(RAB!C237,'HARGA SATUAN'!$C$7:$C$1492,0),0))</f>
        <v/>
      </c>
      <c r="E237" s="357" t="str">
        <f ca="1">IF(B237="+","Unit",IF(ISERROR(OFFSET('HARGA SATUAN'!$E$6,MATCH(RAB!C237,'HARGA SATUAN'!$C$7:$C$1492,0),0)),"",OFFSET('HARGA SATUAN'!$E$6,MATCH(RAB!C237,'HARGA SATUAN'!$C$7:$C$1492,0),0)))</f>
        <v/>
      </c>
      <c r="F237" s="714"/>
      <c r="G237" s="358">
        <f ca="1">IF(ISERROR(OFFSET('HARGA SATUAN'!$I$6,MATCH(RAB!C237,'HARGA SATUAN'!$C$7:$C$1492,0),0)),0,OFFSET('HARGA SATUAN'!$I$6,MATCH(RAB!C237,'HARGA SATUAN'!$C$7:$C$1492,0),0))</f>
        <v>0</v>
      </c>
      <c r="H237" s="359">
        <f t="shared" ca="1" si="28"/>
        <v>0</v>
      </c>
      <c r="I237" s="359">
        <f t="shared" ca="1" si="29"/>
        <v>0</v>
      </c>
      <c r="J237" s="359">
        <f t="shared" ca="1" si="30"/>
        <v>0</v>
      </c>
      <c r="K237" s="360">
        <f t="shared" ca="1" si="31"/>
        <v>0</v>
      </c>
      <c r="L237" s="367"/>
      <c r="M237" s="367"/>
      <c r="N237" s="367"/>
      <c r="O237" s="361"/>
      <c r="P237" s="361"/>
      <c r="Q237" s="344"/>
      <c r="R237" s="336"/>
      <c r="S237" s="362"/>
      <c r="T237" s="341"/>
      <c r="U237" s="341"/>
      <c r="V237" s="341"/>
    </row>
    <row r="238" spans="1:22" s="368" customFormat="1">
      <c r="A238" s="336"/>
      <c r="B238" s="738" t="s">
        <v>1035</v>
      </c>
      <c r="C238" s="739" t="s">
        <v>1670</v>
      </c>
      <c r="D238" s="356" t="str">
        <f ca="1">IF(ISERROR(OFFSET('HARGA SATUAN'!$D$6,MATCH(RAB!C238,'HARGA SATUAN'!$C$7:$C$1492,0),0)),"",OFFSET('HARGA SATUAN'!$D$6,MATCH(RAB!C238,'HARGA SATUAN'!$C$7:$C$1492,0),0))</f>
        <v/>
      </c>
      <c r="E238" s="357" t="str">
        <f ca="1">IF(B238="+","Unit",IF(ISERROR(OFFSET('HARGA SATUAN'!$E$6,MATCH(RAB!C238,'HARGA SATUAN'!$C$7:$C$1492,0),0)),"",OFFSET('HARGA SATUAN'!$E$6,MATCH(RAB!C238,'HARGA SATUAN'!$C$7:$C$1492,0),0)))</f>
        <v>Unit</v>
      </c>
      <c r="F238" s="714"/>
      <c r="G238" s="358">
        <f ca="1">IF(ISERROR(OFFSET('HARGA SATUAN'!$I$6,MATCH(RAB!C238,'HARGA SATUAN'!$C$7:$C$1492,0),0)),0,OFFSET('HARGA SATUAN'!$I$6,MATCH(RAB!C238,'HARGA SATUAN'!$C$7:$C$1492,0),0))</f>
        <v>0</v>
      </c>
      <c r="H238" s="359">
        <f t="shared" ca="1" si="28"/>
        <v>0</v>
      </c>
      <c r="I238" s="359">
        <f t="shared" ca="1" si="29"/>
        <v>0</v>
      </c>
      <c r="J238" s="359">
        <f t="shared" ca="1" si="30"/>
        <v>0</v>
      </c>
      <c r="K238" s="360">
        <f t="shared" ca="1" si="31"/>
        <v>0</v>
      </c>
      <c r="L238" s="367"/>
      <c r="M238" s="367"/>
      <c r="N238" s="367"/>
      <c r="O238" s="361"/>
      <c r="P238" s="361"/>
      <c r="Q238" s="344"/>
      <c r="R238" s="336"/>
      <c r="S238" s="362"/>
      <c r="T238" s="341"/>
      <c r="U238" s="341"/>
      <c r="V238" s="341"/>
    </row>
    <row r="239" spans="1:22" s="368" customFormat="1">
      <c r="A239" s="336"/>
      <c r="B239" s="692"/>
      <c r="C239" s="693"/>
      <c r="D239" s="356" t="str">
        <f ca="1">IF(ISERROR(OFFSET('HARGA SATUAN'!$D$6,MATCH(RAB!C239,'HARGA SATUAN'!$C$7:$C$1492,0),0)),"",OFFSET('HARGA SATUAN'!$D$6,MATCH(RAB!C239,'HARGA SATUAN'!$C$7:$C$1492,0),0))</f>
        <v/>
      </c>
      <c r="E239" s="357" t="str">
        <f ca="1">IF(B239="+","Unit",IF(ISERROR(OFFSET('HARGA SATUAN'!$E$6,MATCH(RAB!C239,'HARGA SATUAN'!$C$7:$C$1492,0),0)),"",OFFSET('HARGA SATUAN'!$E$6,MATCH(RAB!C239,'HARGA SATUAN'!$C$7:$C$1492,0),0)))</f>
        <v/>
      </c>
      <c r="F239" s="714"/>
      <c r="G239" s="358">
        <f ca="1">IF(ISERROR(OFFSET('HARGA SATUAN'!$I$6,MATCH(RAB!C239,'HARGA SATUAN'!$C$7:$C$1492,0),0)),0,OFFSET('HARGA SATUAN'!$I$6,MATCH(RAB!C239,'HARGA SATUAN'!$C$7:$C$1492,0),0))</f>
        <v>0</v>
      </c>
      <c r="H239" s="359">
        <f t="shared" ca="1" si="28"/>
        <v>0</v>
      </c>
      <c r="I239" s="359">
        <f t="shared" ca="1" si="29"/>
        <v>0</v>
      </c>
      <c r="J239" s="359">
        <f t="shared" ca="1" si="30"/>
        <v>0</v>
      </c>
      <c r="K239" s="360">
        <f t="shared" ca="1" si="31"/>
        <v>0</v>
      </c>
      <c r="L239" s="367"/>
      <c r="M239" s="367"/>
      <c r="N239" s="367"/>
      <c r="O239" s="361"/>
      <c r="P239" s="361"/>
      <c r="Q239" s="344"/>
      <c r="R239" s="336"/>
      <c r="S239" s="362"/>
      <c r="T239" s="341"/>
      <c r="U239" s="341"/>
      <c r="V239" s="341"/>
    </row>
    <row r="240" spans="1:22" s="368" customFormat="1">
      <c r="A240" s="336"/>
      <c r="B240" s="692" t="s">
        <v>1035</v>
      </c>
      <c r="C240" s="693" t="s">
        <v>1621</v>
      </c>
      <c r="D240" s="356" t="str">
        <f ca="1">IF(ISERROR(OFFSET('HARGA SATUAN'!$D$6,MATCH(RAB!C240,'HARGA SATUAN'!$C$7:$C$1492,0),0)),"",OFFSET('HARGA SATUAN'!$D$6,MATCH(RAB!C240,'HARGA SATUAN'!$C$7:$C$1492,0),0))</f>
        <v/>
      </c>
      <c r="E240" s="357" t="str">
        <f ca="1">IF(B240="+","Unit",IF(ISERROR(OFFSET('HARGA SATUAN'!$E$6,MATCH(RAB!C240,'HARGA SATUAN'!$C$7:$C$1492,0),0)),"",OFFSET('HARGA SATUAN'!$E$6,MATCH(RAB!C240,'HARGA SATUAN'!$C$7:$C$1492,0),0)))</f>
        <v>Unit</v>
      </c>
      <c r="F240" s="489">
        <v>4</v>
      </c>
      <c r="G240" s="358">
        <f ca="1">IF(ISERROR(OFFSET('HARGA SATUAN'!$I$6,MATCH(RAB!C240,'HARGA SATUAN'!$C$7:$C$1492,0),0)),0,OFFSET('HARGA SATUAN'!$I$6,MATCH(RAB!C240,'HARGA SATUAN'!$C$7:$C$1492,0),0))</f>
        <v>0</v>
      </c>
      <c r="H240" s="359">
        <f t="shared" ca="1" si="28"/>
        <v>0</v>
      </c>
      <c r="I240" s="359">
        <f t="shared" ca="1" si="29"/>
        <v>0</v>
      </c>
      <c r="J240" s="359">
        <f t="shared" ca="1" si="30"/>
        <v>0</v>
      </c>
      <c r="K240" s="360">
        <f t="shared" ca="1" si="31"/>
        <v>0</v>
      </c>
      <c r="L240" s="367"/>
      <c r="M240" s="367"/>
      <c r="N240" s="367"/>
      <c r="O240" s="361"/>
      <c r="P240" s="361"/>
      <c r="Q240" s="344"/>
      <c r="R240" s="336"/>
      <c r="S240" s="362"/>
      <c r="T240" s="341"/>
      <c r="U240" s="341"/>
      <c r="V240" s="341"/>
    </row>
    <row r="241" spans="1:22" s="368" customFormat="1">
      <c r="A241" s="336"/>
      <c r="B241" s="692">
        <v>1</v>
      </c>
      <c r="C241" s="109" t="s">
        <v>1564</v>
      </c>
      <c r="D241" s="356" t="str">
        <f ca="1">IF(ISERROR(OFFSET('HARGA SATUAN'!$D$6,MATCH(RAB!C241,'HARGA SATUAN'!$C$7:$C$1492,0),0)),"",OFFSET('HARGA SATUAN'!$D$6,MATCH(RAB!C241,'HARGA SATUAN'!$C$7:$C$1492,0),0))</f>
        <v>MDU-KD</v>
      </c>
      <c r="E241" s="357" t="str">
        <f ca="1">IF(B241="+","Unit",IF(ISERROR(OFFSET('HARGA SATUAN'!$E$6,MATCH(RAB!C241,'HARGA SATUAN'!$C$7:$C$1492,0),0)),"",OFFSET('HARGA SATUAN'!$E$6,MATCH(RAB!C241,'HARGA SATUAN'!$C$7:$C$1492,0),0)))</f>
        <v>Bh</v>
      </c>
      <c r="F241" s="489">
        <f>F240*1</f>
        <v>4</v>
      </c>
      <c r="G241" s="358">
        <f ca="1">IF(ISERROR(OFFSET('HARGA SATUAN'!$I$6,MATCH(RAB!C241,'HARGA SATUAN'!$C$7:$C$1492,0),0)),0,OFFSET('HARGA SATUAN'!$I$6,MATCH(RAB!C241,'HARGA SATUAN'!$C$7:$C$1492,0),0))</f>
        <v>235900</v>
      </c>
      <c r="H241" s="359">
        <f t="shared" ca="1" si="28"/>
        <v>943600</v>
      </c>
      <c r="I241" s="359">
        <f t="shared" ca="1" si="29"/>
        <v>0</v>
      </c>
      <c r="J241" s="359">
        <f t="shared" ca="1" si="30"/>
        <v>0</v>
      </c>
      <c r="K241" s="360">
        <f t="shared" ca="1" si="31"/>
        <v>943600</v>
      </c>
      <c r="L241" s="367"/>
      <c r="M241" s="367"/>
      <c r="N241" s="367"/>
      <c r="O241" s="361"/>
      <c r="P241" s="361"/>
      <c r="Q241" s="344"/>
      <c r="R241" s="336"/>
      <c r="S241" s="362"/>
      <c r="T241" s="341"/>
      <c r="U241" s="341"/>
      <c r="V241" s="341"/>
    </row>
    <row r="242" spans="1:22" s="368" customFormat="1">
      <c r="A242" s="336"/>
      <c r="B242" s="692">
        <v>2</v>
      </c>
      <c r="C242" s="109" t="s">
        <v>1564</v>
      </c>
      <c r="D242" s="356" t="str">
        <f ca="1">IF(ISERROR(OFFSET('HARGA SATUAN'!$D$6,MATCH(RAB!C242,'HARGA SATUAN'!$C$7:$C$1492,0),0)),"",OFFSET('HARGA SATUAN'!$D$6,MATCH(RAB!C242,'HARGA SATUAN'!$C$7:$C$1492,0),0))</f>
        <v>MDU-KD</v>
      </c>
      <c r="E242" s="357" t="str">
        <f ca="1">IF(B242="+","Unit",IF(ISERROR(OFFSET('HARGA SATUAN'!$E$6,MATCH(RAB!C242,'HARGA SATUAN'!$C$7:$C$1492,0),0)),"",OFFSET('HARGA SATUAN'!$E$6,MATCH(RAB!C242,'HARGA SATUAN'!$C$7:$C$1492,0),0)))</f>
        <v>Bh</v>
      </c>
      <c r="F242" s="489">
        <f>F240*2</f>
        <v>8</v>
      </c>
      <c r="G242" s="358">
        <f ca="1">IF(ISERROR(OFFSET('HARGA SATUAN'!$I$6,MATCH(RAB!C242,'HARGA SATUAN'!$C$7:$C$1492,0),0)),0,OFFSET('HARGA SATUAN'!$I$6,MATCH(RAB!C242,'HARGA SATUAN'!$C$7:$C$1492,0),0))</f>
        <v>235900</v>
      </c>
      <c r="H242" s="359">
        <f t="shared" ca="1" si="28"/>
        <v>1887200</v>
      </c>
      <c r="I242" s="359">
        <f t="shared" ca="1" si="29"/>
        <v>0</v>
      </c>
      <c r="J242" s="359">
        <f t="shared" ca="1" si="30"/>
        <v>0</v>
      </c>
      <c r="K242" s="360">
        <f t="shared" ca="1" si="31"/>
        <v>1887200</v>
      </c>
      <c r="L242" s="367"/>
      <c r="M242" s="367"/>
      <c r="N242" s="367"/>
      <c r="O242" s="361"/>
      <c r="P242" s="361"/>
      <c r="Q242" s="344"/>
      <c r="R242" s="336"/>
      <c r="S242" s="362"/>
      <c r="T242" s="341"/>
      <c r="U242" s="341"/>
      <c r="V242" s="341"/>
    </row>
    <row r="243" spans="1:22" s="368" customFormat="1">
      <c r="A243" s="336"/>
      <c r="B243" s="692">
        <v>3</v>
      </c>
      <c r="C243" s="693" t="s">
        <v>28</v>
      </c>
      <c r="D243" s="356" t="str">
        <f ca="1">IF(ISERROR(OFFSET('HARGA SATUAN'!$D$6,MATCH(RAB!C243,'HARGA SATUAN'!$C$7:$C$1492,0),0)),"",OFFSET('HARGA SATUAN'!$D$6,MATCH(RAB!C243,'HARGA SATUAN'!$C$7:$C$1492,0),0))</f>
        <v>HDW</v>
      </c>
      <c r="E243" s="357" t="str">
        <f ca="1">IF(B243="+","Unit",IF(ISERROR(OFFSET('HARGA SATUAN'!$E$6,MATCH(RAB!C243,'HARGA SATUAN'!$C$7:$C$1492,0),0)),"",OFFSET('HARGA SATUAN'!$E$6,MATCH(RAB!C243,'HARGA SATUAN'!$C$7:$C$1492,0),0)))</f>
        <v>Bh</v>
      </c>
      <c r="F243" s="489">
        <f>F240*3</f>
        <v>12</v>
      </c>
      <c r="G243" s="358">
        <f ca="1">IF(ISERROR(OFFSET('HARGA SATUAN'!$I$6,MATCH(RAB!C243,'HARGA SATUAN'!$C$7:$C$1492,0),0)),0,OFFSET('HARGA SATUAN'!$I$6,MATCH(RAB!C243,'HARGA SATUAN'!$C$7:$C$1492,0),0))</f>
        <v>26500</v>
      </c>
      <c r="H243" s="359">
        <f t="shared" ca="1" si="28"/>
        <v>0</v>
      </c>
      <c r="I243" s="359">
        <f t="shared" ca="1" si="29"/>
        <v>318000</v>
      </c>
      <c r="J243" s="359">
        <f t="shared" ca="1" si="30"/>
        <v>0</v>
      </c>
      <c r="K243" s="360">
        <f t="shared" ca="1" si="31"/>
        <v>318000</v>
      </c>
      <c r="L243" s="367"/>
      <c r="M243" s="367"/>
      <c r="N243" s="367"/>
      <c r="O243" s="361"/>
      <c r="P243" s="361"/>
      <c r="Q243" s="344"/>
      <c r="R243" s="336"/>
      <c r="S243" s="362"/>
      <c r="T243" s="341"/>
      <c r="U243" s="341"/>
      <c r="V243" s="341"/>
    </row>
    <row r="244" spans="1:22" s="368" customFormat="1">
      <c r="A244" s="336"/>
      <c r="B244" s="692">
        <v>4</v>
      </c>
      <c r="C244" s="693" t="s">
        <v>163</v>
      </c>
      <c r="D244" s="356" t="str">
        <f ca="1">IF(ISERROR(OFFSET('HARGA SATUAN'!$D$6,MATCH(RAB!C244,'HARGA SATUAN'!$C$7:$C$1492,0),0)),"",OFFSET('HARGA SATUAN'!$D$6,MATCH(RAB!C244,'HARGA SATUAN'!$C$7:$C$1492,0),0))</f>
        <v>HDW</v>
      </c>
      <c r="E244" s="357" t="str">
        <f ca="1">IF(B244="+","Unit",IF(ISERROR(OFFSET('HARGA SATUAN'!$E$6,MATCH(RAB!C244,'HARGA SATUAN'!$C$7:$C$1492,0),0)),"",OFFSET('HARGA SATUAN'!$E$6,MATCH(RAB!C244,'HARGA SATUAN'!$C$7:$C$1492,0),0)))</f>
        <v>Bh</v>
      </c>
      <c r="F244" s="489">
        <f>F240*2</f>
        <v>8</v>
      </c>
      <c r="G244" s="358">
        <f ca="1">IF(ISERROR(OFFSET('HARGA SATUAN'!$I$6,MATCH(RAB!C244,'HARGA SATUAN'!$C$7:$C$1492,0),0)),0,OFFSET('HARGA SATUAN'!$I$6,MATCH(RAB!C244,'HARGA SATUAN'!$C$7:$C$1492,0),0))</f>
        <v>7938</v>
      </c>
      <c r="H244" s="359">
        <f t="shared" ca="1" si="28"/>
        <v>0</v>
      </c>
      <c r="I244" s="359">
        <f t="shared" ca="1" si="29"/>
        <v>63504</v>
      </c>
      <c r="J244" s="359">
        <f t="shared" ca="1" si="30"/>
        <v>0</v>
      </c>
      <c r="K244" s="360">
        <f t="shared" ca="1" si="31"/>
        <v>63504</v>
      </c>
      <c r="L244" s="367"/>
      <c r="M244" s="367"/>
      <c r="N244" s="367"/>
      <c r="O244" s="361"/>
      <c r="P244" s="361"/>
      <c r="Q244" s="344"/>
      <c r="R244" s="336"/>
      <c r="S244" s="362"/>
      <c r="T244" s="341"/>
      <c r="U244" s="341"/>
      <c r="V244" s="341"/>
    </row>
    <row r="245" spans="1:22" s="368" customFormat="1">
      <c r="A245" s="336"/>
      <c r="B245" s="692">
        <v>5</v>
      </c>
      <c r="C245" s="693" t="s">
        <v>168</v>
      </c>
      <c r="D245" s="356" t="str">
        <f ca="1">IF(ISERROR(OFFSET('HARGA SATUAN'!$D$6,MATCH(RAB!C245,'HARGA SATUAN'!$C$7:$C$1492,0),0)),"",OFFSET('HARGA SATUAN'!$D$6,MATCH(RAB!C245,'HARGA SATUAN'!$C$7:$C$1492,0),0))</f>
        <v>HDW</v>
      </c>
      <c r="E245" s="357" t="str">
        <f ca="1">IF(B245="+","Unit",IF(ISERROR(OFFSET('HARGA SATUAN'!$E$6,MATCH(RAB!C245,'HARGA SATUAN'!$C$7:$C$1492,0),0)),"",OFFSET('HARGA SATUAN'!$E$6,MATCH(RAB!C245,'HARGA SATUAN'!$C$7:$C$1492,0),0)))</f>
        <v>Bh</v>
      </c>
      <c r="F245" s="489">
        <f>F240*1</f>
        <v>4</v>
      </c>
      <c r="G245" s="358">
        <f ca="1">IF(ISERROR(OFFSET('HARGA SATUAN'!$I$6,MATCH(RAB!C245,'HARGA SATUAN'!$C$7:$C$1492,0),0)),0,OFFSET('HARGA SATUAN'!$I$6,MATCH(RAB!C245,'HARGA SATUAN'!$C$7:$C$1492,0),0))</f>
        <v>33600</v>
      </c>
      <c r="H245" s="359">
        <f t="shared" ca="1" si="28"/>
        <v>0</v>
      </c>
      <c r="I245" s="359">
        <f t="shared" ca="1" si="29"/>
        <v>134400</v>
      </c>
      <c r="J245" s="359">
        <f t="shared" ca="1" si="30"/>
        <v>0</v>
      </c>
      <c r="K245" s="360">
        <f t="shared" ca="1" si="31"/>
        <v>134400</v>
      </c>
      <c r="L245" s="367"/>
      <c r="M245" s="367"/>
      <c r="N245" s="367"/>
      <c r="O245" s="361"/>
      <c r="P245" s="361"/>
      <c r="Q245" s="344"/>
      <c r="R245" s="336"/>
      <c r="S245" s="362"/>
      <c r="T245" s="341"/>
      <c r="U245" s="341"/>
      <c r="V245" s="341"/>
    </row>
    <row r="246" spans="1:22" s="368" customFormat="1">
      <c r="A246" s="336"/>
      <c r="B246" s="692">
        <v>6</v>
      </c>
      <c r="C246" s="693" t="s">
        <v>173</v>
      </c>
      <c r="D246" s="356" t="str">
        <f ca="1">IF(ISERROR(OFFSET('HARGA SATUAN'!$D$6,MATCH(RAB!C246,'HARGA SATUAN'!$C$7:$C$1492,0),0)),"",OFFSET('HARGA SATUAN'!$D$6,MATCH(RAB!C246,'HARGA SATUAN'!$C$7:$C$1492,0),0))</f>
        <v>HDW</v>
      </c>
      <c r="E246" s="357" t="str">
        <f ca="1">IF(B246="+","Unit",IF(ISERROR(OFFSET('HARGA SATUAN'!$E$6,MATCH(RAB!C246,'HARGA SATUAN'!$C$7:$C$1492,0),0)),"",OFFSET('HARGA SATUAN'!$E$6,MATCH(RAB!C246,'HARGA SATUAN'!$C$7:$C$1492,0),0)))</f>
        <v>Bh</v>
      </c>
      <c r="F246" s="489">
        <f>F240*2</f>
        <v>8</v>
      </c>
      <c r="G246" s="358">
        <f ca="1">IF(ISERROR(OFFSET('HARGA SATUAN'!$I$6,MATCH(RAB!C246,'HARGA SATUAN'!$C$7:$C$1492,0),0)),0,OFFSET('HARGA SATUAN'!$I$6,MATCH(RAB!C246,'HARGA SATUAN'!$C$7:$C$1492,0),0))</f>
        <v>45000</v>
      </c>
      <c r="H246" s="359">
        <f t="shared" ca="1" si="28"/>
        <v>0</v>
      </c>
      <c r="I246" s="359">
        <f t="shared" ca="1" si="29"/>
        <v>360000</v>
      </c>
      <c r="J246" s="359">
        <f t="shared" ca="1" si="30"/>
        <v>0</v>
      </c>
      <c r="K246" s="360">
        <f t="shared" ca="1" si="31"/>
        <v>360000</v>
      </c>
      <c r="L246" s="367"/>
      <c r="M246" s="367"/>
      <c r="N246" s="367"/>
      <c r="O246" s="361"/>
      <c r="P246" s="361"/>
      <c r="Q246" s="344"/>
      <c r="R246" s="336"/>
      <c r="S246" s="362"/>
      <c r="T246" s="341"/>
      <c r="U246" s="341"/>
      <c r="V246" s="341"/>
    </row>
    <row r="247" spans="1:22" s="368" customFormat="1">
      <c r="A247" s="336"/>
      <c r="B247" s="692">
        <v>7</v>
      </c>
      <c r="C247" s="693" t="s">
        <v>178</v>
      </c>
      <c r="D247" s="356" t="str">
        <f ca="1">IF(ISERROR(OFFSET('HARGA SATUAN'!$D$6,MATCH(RAB!C247,'HARGA SATUAN'!$C$7:$C$1492,0),0)),"",OFFSET('HARGA SATUAN'!$D$6,MATCH(RAB!C247,'HARGA SATUAN'!$C$7:$C$1492,0),0))</f>
        <v>HDW</v>
      </c>
      <c r="E247" s="357" t="str">
        <f ca="1">IF(B247="+","Unit",IF(ISERROR(OFFSET('HARGA SATUAN'!$E$6,MATCH(RAB!C247,'HARGA SATUAN'!$C$7:$C$1492,0),0)),"",OFFSET('HARGA SATUAN'!$E$6,MATCH(RAB!C247,'HARGA SATUAN'!$C$7:$C$1492,0),0)))</f>
        <v>Bh</v>
      </c>
      <c r="F247" s="489">
        <f>F240*1</f>
        <v>4</v>
      </c>
      <c r="G247" s="358">
        <f ca="1">IF(ISERROR(OFFSET('HARGA SATUAN'!$I$6,MATCH(RAB!C247,'HARGA SATUAN'!$C$7:$C$1492,0),0)),0,OFFSET('HARGA SATUAN'!$I$6,MATCH(RAB!C247,'HARGA SATUAN'!$C$7:$C$1492,0),0))</f>
        <v>95000</v>
      </c>
      <c r="H247" s="359">
        <f t="shared" ref="H247:H259" ca="1" si="32">IF(OR(D247="MDU",D247="MDU-KD"),(IF($O$3="RAB NON MDU","PLN KD",G247*F247)),0)</f>
        <v>0</v>
      </c>
      <c r="I247" s="359">
        <f t="shared" ref="I247:I259" ca="1" si="33">IF(D247="HDW",G247*F247,0)</f>
        <v>380000</v>
      </c>
      <c r="J247" s="359">
        <f t="shared" ref="J247:J259" ca="1" si="34">IF(D247="JASA",G247*F247,0)</f>
        <v>0</v>
      </c>
      <c r="K247" s="360">
        <f t="shared" ref="K247:K259" ca="1" si="35">SUM(H247:J247)</f>
        <v>380000</v>
      </c>
      <c r="L247" s="367"/>
      <c r="M247" s="367"/>
      <c r="N247" s="367"/>
      <c r="O247" s="361"/>
      <c r="P247" s="361"/>
      <c r="Q247" s="344"/>
      <c r="R247" s="336"/>
      <c r="S247" s="362"/>
      <c r="T247" s="341"/>
      <c r="U247" s="341"/>
      <c r="V247" s="341"/>
    </row>
    <row r="248" spans="1:22" s="368" customFormat="1">
      <c r="A248" s="336"/>
      <c r="B248" s="692">
        <v>8</v>
      </c>
      <c r="C248" s="693" t="s">
        <v>593</v>
      </c>
      <c r="D248" s="356" t="str">
        <f ca="1">IF(ISERROR(OFFSET('HARGA SATUAN'!$D$6,MATCH(RAB!C248,'HARGA SATUAN'!$C$7:$C$1492,0),0)),"",OFFSET('HARGA SATUAN'!$D$6,MATCH(RAB!C248,'HARGA SATUAN'!$C$7:$C$1492,0),0))</f>
        <v>HDW</v>
      </c>
      <c r="E248" s="357" t="str">
        <f ca="1">IF(B248="+","Unit",IF(ISERROR(OFFSET('HARGA SATUAN'!$E$6,MATCH(RAB!C248,'HARGA SATUAN'!$C$7:$C$1492,0),0)),"",OFFSET('HARGA SATUAN'!$E$6,MATCH(RAB!C248,'HARGA SATUAN'!$C$7:$C$1492,0),0)))</f>
        <v>Bh</v>
      </c>
      <c r="F248" s="489">
        <f>F240*1</f>
        <v>4</v>
      </c>
      <c r="G248" s="358">
        <f ca="1">IF(ISERROR(OFFSET('HARGA SATUAN'!$I$6,MATCH(RAB!C248,'HARGA SATUAN'!$C$7:$C$1492,0),0)),0,OFFSET('HARGA SATUAN'!$I$6,MATCH(RAB!C248,'HARGA SATUAN'!$C$7:$C$1492,0),0))</f>
        <v>380500</v>
      </c>
      <c r="H248" s="359">
        <f t="shared" ca="1" si="32"/>
        <v>0</v>
      </c>
      <c r="I248" s="359">
        <f t="shared" ca="1" si="33"/>
        <v>1522000</v>
      </c>
      <c r="J248" s="359">
        <f t="shared" ca="1" si="34"/>
        <v>0</v>
      </c>
      <c r="K248" s="360">
        <f t="shared" ca="1" si="35"/>
        <v>1522000</v>
      </c>
      <c r="L248" s="367"/>
      <c r="M248" s="367"/>
      <c r="N248" s="367"/>
      <c r="O248" s="361"/>
      <c r="P248" s="361"/>
      <c r="Q248" s="344"/>
      <c r="R248" s="336"/>
      <c r="S248" s="362"/>
      <c r="T248" s="341"/>
      <c r="U248" s="341"/>
      <c r="V248" s="341"/>
    </row>
    <row r="249" spans="1:22" s="368" customFormat="1">
      <c r="A249" s="336"/>
      <c r="B249" s="692">
        <v>9</v>
      </c>
      <c r="C249" s="693" t="s">
        <v>217</v>
      </c>
      <c r="D249" s="356" t="str">
        <f ca="1">IF(ISERROR(OFFSET('HARGA SATUAN'!$D$6,MATCH(RAB!C249,'HARGA SATUAN'!$C$7:$C$1492,0),0)),"",OFFSET('HARGA SATUAN'!$D$6,MATCH(RAB!C249,'HARGA SATUAN'!$C$7:$C$1492,0),0))</f>
        <v>HDW</v>
      </c>
      <c r="E249" s="357" t="str">
        <f ca="1">IF(B249="+","Unit",IF(ISERROR(OFFSET('HARGA SATUAN'!$E$6,MATCH(RAB!C249,'HARGA SATUAN'!$C$7:$C$1492,0),0)),"",OFFSET('HARGA SATUAN'!$E$6,MATCH(RAB!C249,'HARGA SATUAN'!$C$7:$C$1492,0),0)))</f>
        <v>Bh</v>
      </c>
      <c r="F249" s="489">
        <f>F240*4</f>
        <v>16</v>
      </c>
      <c r="G249" s="358">
        <f ca="1">IF(ISERROR(OFFSET('HARGA SATUAN'!$I$6,MATCH(RAB!C249,'HARGA SATUAN'!$C$7:$C$1492,0),0)),0,OFFSET('HARGA SATUAN'!$I$6,MATCH(RAB!C249,'HARGA SATUAN'!$C$7:$C$1492,0),0))</f>
        <v>11400</v>
      </c>
      <c r="H249" s="359">
        <f t="shared" ca="1" si="32"/>
        <v>0</v>
      </c>
      <c r="I249" s="359">
        <f t="shared" ca="1" si="33"/>
        <v>182400</v>
      </c>
      <c r="J249" s="359">
        <f t="shared" ca="1" si="34"/>
        <v>0</v>
      </c>
      <c r="K249" s="360">
        <f t="shared" ca="1" si="35"/>
        <v>182400</v>
      </c>
      <c r="L249" s="367"/>
      <c r="M249" s="367"/>
      <c r="N249" s="367"/>
      <c r="O249" s="361"/>
      <c r="P249" s="361"/>
      <c r="Q249" s="344"/>
      <c r="R249" s="336"/>
      <c r="S249" s="362"/>
      <c r="T249" s="341"/>
      <c r="U249" s="341"/>
      <c r="V249" s="341"/>
    </row>
    <row r="250" spans="1:22" s="368" customFormat="1">
      <c r="A250" s="336"/>
      <c r="B250" s="692">
        <v>10</v>
      </c>
      <c r="C250" s="693" t="s">
        <v>247</v>
      </c>
      <c r="D250" s="356" t="str">
        <f ca="1">IF(ISERROR(OFFSET('HARGA SATUAN'!$D$6,MATCH(RAB!C250,'HARGA SATUAN'!$C$7:$C$1492,0),0)),"",OFFSET('HARGA SATUAN'!$D$6,MATCH(RAB!C250,'HARGA SATUAN'!$C$7:$C$1492,0),0))</f>
        <v>HDW</v>
      </c>
      <c r="E250" s="357" t="str">
        <f ca="1">IF(B250="+","Unit",IF(ISERROR(OFFSET('HARGA SATUAN'!$E$6,MATCH(RAB!C250,'HARGA SATUAN'!$C$7:$C$1492,0),0)),"",OFFSET('HARGA SATUAN'!$E$6,MATCH(RAB!C250,'HARGA SATUAN'!$C$7:$C$1492,0),0)))</f>
        <v>Bh</v>
      </c>
      <c r="F250" s="489">
        <f>F240*1</f>
        <v>4</v>
      </c>
      <c r="G250" s="358">
        <f ca="1">IF(ISERROR(OFFSET('HARGA SATUAN'!$I$6,MATCH(RAB!C250,'HARGA SATUAN'!$C$7:$C$1492,0),0)),0,OFFSET('HARGA SATUAN'!$I$6,MATCH(RAB!C250,'HARGA SATUAN'!$C$7:$C$1492,0),0))</f>
        <v>57690</v>
      </c>
      <c r="H250" s="359">
        <f t="shared" ca="1" si="32"/>
        <v>0</v>
      </c>
      <c r="I250" s="359">
        <f t="shared" ca="1" si="33"/>
        <v>230760</v>
      </c>
      <c r="J250" s="359">
        <f t="shared" ca="1" si="34"/>
        <v>0</v>
      </c>
      <c r="K250" s="360">
        <f t="shared" ca="1" si="35"/>
        <v>230760</v>
      </c>
      <c r="L250" s="367"/>
      <c r="M250" s="367"/>
      <c r="N250" s="367"/>
      <c r="O250" s="361"/>
      <c r="P250" s="361"/>
      <c r="Q250" s="344"/>
      <c r="R250" s="336"/>
      <c r="S250" s="362"/>
      <c r="T250" s="341"/>
      <c r="U250" s="341"/>
      <c r="V250" s="341"/>
    </row>
    <row r="251" spans="1:22" s="368" customFormat="1">
      <c r="A251" s="336"/>
      <c r="B251" s="692">
        <v>11</v>
      </c>
      <c r="C251" s="693" t="s">
        <v>264</v>
      </c>
      <c r="D251" s="356" t="str">
        <f ca="1">IF(ISERROR(OFFSET('HARGA SATUAN'!$D$6,MATCH(RAB!C251,'HARGA SATUAN'!$C$7:$C$1492,0),0)),"",OFFSET('HARGA SATUAN'!$D$6,MATCH(RAB!C251,'HARGA SATUAN'!$C$7:$C$1492,0),0))</f>
        <v>HDW</v>
      </c>
      <c r="E251" s="357" t="str">
        <f ca="1">IF(B251="+","Unit",IF(ISERROR(OFFSET('HARGA SATUAN'!$E$6,MATCH(RAB!C251,'HARGA SATUAN'!$C$7:$C$1492,0),0)),"",OFFSET('HARGA SATUAN'!$E$6,MATCH(RAB!C251,'HARGA SATUAN'!$C$7:$C$1492,0),0)))</f>
        <v>Bh</v>
      </c>
      <c r="F251" s="489">
        <f>F240*1</f>
        <v>4</v>
      </c>
      <c r="G251" s="358">
        <f ca="1">IF(ISERROR(OFFSET('HARGA SATUAN'!$I$6,MATCH(RAB!C251,'HARGA SATUAN'!$C$7:$C$1492,0),0)),0,OFFSET('HARGA SATUAN'!$I$6,MATCH(RAB!C251,'HARGA SATUAN'!$C$7:$C$1492,0),0))</f>
        <v>28000</v>
      </c>
      <c r="H251" s="359">
        <f t="shared" ca="1" si="32"/>
        <v>0</v>
      </c>
      <c r="I251" s="359">
        <f t="shared" ca="1" si="33"/>
        <v>112000</v>
      </c>
      <c r="J251" s="359">
        <f t="shared" ca="1" si="34"/>
        <v>0</v>
      </c>
      <c r="K251" s="360">
        <f t="shared" ca="1" si="35"/>
        <v>112000</v>
      </c>
      <c r="L251" s="367"/>
      <c r="M251" s="367"/>
      <c r="N251" s="367"/>
      <c r="O251" s="361"/>
      <c r="P251" s="361"/>
      <c r="Q251" s="344"/>
      <c r="R251" s="336"/>
      <c r="S251" s="362"/>
      <c r="T251" s="341"/>
      <c r="U251" s="341"/>
      <c r="V251" s="341"/>
    </row>
    <row r="252" spans="1:22" s="368" customFormat="1">
      <c r="A252" s="336"/>
      <c r="B252" s="692">
        <v>12</v>
      </c>
      <c r="C252" s="693" t="s">
        <v>38</v>
      </c>
      <c r="D252" s="356" t="str">
        <f ca="1">IF(ISERROR(OFFSET('HARGA SATUAN'!$D$6,MATCH(RAB!C252,'HARGA SATUAN'!$C$7:$C$1492,0),0)),"",OFFSET('HARGA SATUAN'!$D$6,MATCH(RAB!C252,'HARGA SATUAN'!$C$7:$C$1492,0),0))</f>
        <v>HDW</v>
      </c>
      <c r="E252" s="357" t="str">
        <f ca="1">IF(B252="+","Unit",IF(ISERROR(OFFSET('HARGA SATUAN'!$E$6,MATCH(RAB!C252,'HARGA SATUAN'!$C$7:$C$1492,0),0)),"",OFFSET('HARGA SATUAN'!$E$6,MATCH(RAB!C252,'HARGA SATUAN'!$C$7:$C$1492,0),0)))</f>
        <v>Mtr</v>
      </c>
      <c r="F252" s="489">
        <f>6.2*F240</f>
        <v>24.8</v>
      </c>
      <c r="G252" s="358">
        <f ca="1">IF(ISERROR(OFFSET('HARGA SATUAN'!$I$6,MATCH(RAB!C252,'HARGA SATUAN'!$C$7:$C$1492,0),0)),0,OFFSET('HARGA SATUAN'!$I$6,MATCH(RAB!C252,'HARGA SATUAN'!$C$7:$C$1492,0),0))</f>
        <v>8550</v>
      </c>
      <c r="H252" s="359">
        <f t="shared" ca="1" si="32"/>
        <v>0</v>
      </c>
      <c r="I252" s="359">
        <f t="shared" ca="1" si="33"/>
        <v>212040</v>
      </c>
      <c r="J252" s="359">
        <f t="shared" ca="1" si="34"/>
        <v>0</v>
      </c>
      <c r="K252" s="360">
        <f t="shared" ca="1" si="35"/>
        <v>212040</v>
      </c>
      <c r="L252" s="367"/>
      <c r="M252" s="367"/>
      <c r="N252" s="367"/>
      <c r="O252" s="361"/>
      <c r="P252" s="361"/>
      <c r="Q252" s="344"/>
      <c r="R252" s="336"/>
      <c r="S252" s="362"/>
      <c r="T252" s="341"/>
      <c r="U252" s="341"/>
      <c r="V252" s="341"/>
    </row>
    <row r="253" spans="1:22" s="368" customFormat="1">
      <c r="A253" s="336"/>
      <c r="B253" s="692">
        <v>13</v>
      </c>
      <c r="C253" s="693" t="s">
        <v>26</v>
      </c>
      <c r="D253" s="356" t="str">
        <f ca="1">IF(ISERROR(OFFSET('HARGA SATUAN'!$D$6,MATCH(RAB!C253,'HARGA SATUAN'!$C$7:$C$1492,0),0)),"",OFFSET('HARGA SATUAN'!$D$6,MATCH(RAB!C253,'HARGA SATUAN'!$C$7:$C$1492,0),0))</f>
        <v>HDW</v>
      </c>
      <c r="E253" s="357" t="str">
        <f ca="1">IF(B253="+","Unit",IF(ISERROR(OFFSET('HARGA SATUAN'!$E$6,MATCH(RAB!C253,'HARGA SATUAN'!$C$7:$C$1492,0),0)),"",OFFSET('HARGA SATUAN'!$E$6,MATCH(RAB!C253,'HARGA SATUAN'!$C$7:$C$1492,0),0)))</f>
        <v>Bh</v>
      </c>
      <c r="F253" s="489">
        <f>F240*5</f>
        <v>20</v>
      </c>
      <c r="G253" s="358">
        <f ca="1">IF(ISERROR(OFFSET('HARGA SATUAN'!$I$6,MATCH(RAB!C253,'HARGA SATUAN'!$C$7:$C$1492,0),0)),0,OFFSET('HARGA SATUAN'!$I$6,MATCH(RAB!C253,'HARGA SATUAN'!$C$7:$C$1492,0),0))</f>
        <v>2500</v>
      </c>
      <c r="H253" s="359">
        <f t="shared" ca="1" si="32"/>
        <v>0</v>
      </c>
      <c r="I253" s="359">
        <f t="shared" ca="1" si="33"/>
        <v>50000</v>
      </c>
      <c r="J253" s="359">
        <f t="shared" ca="1" si="34"/>
        <v>0</v>
      </c>
      <c r="K253" s="360">
        <f t="shared" ca="1" si="35"/>
        <v>50000</v>
      </c>
      <c r="L253" s="367"/>
      <c r="M253" s="367"/>
      <c r="N253" s="367"/>
      <c r="O253" s="361"/>
      <c r="P253" s="361"/>
      <c r="Q253" s="344"/>
      <c r="R253" s="336"/>
      <c r="S253" s="362"/>
      <c r="T253" s="341"/>
      <c r="U253" s="341"/>
      <c r="V253" s="341"/>
    </row>
    <row r="254" spans="1:22" s="368" customFormat="1">
      <c r="A254" s="336"/>
      <c r="B254" s="692">
        <v>14</v>
      </c>
      <c r="C254" s="693" t="s">
        <v>687</v>
      </c>
      <c r="D254" s="356" t="str">
        <f ca="1">IF(ISERROR(OFFSET('HARGA SATUAN'!$D$6,MATCH(RAB!C254,'HARGA SATUAN'!$C$7:$C$1492,0),0)),"",OFFSET('HARGA SATUAN'!$D$6,MATCH(RAB!C254,'HARGA SATUAN'!$C$7:$C$1492,0),0))</f>
        <v>JASA</v>
      </c>
      <c r="E254" s="357" t="str">
        <f ca="1">IF(B254="+","Unit",IF(ISERROR(OFFSET('HARGA SATUAN'!$E$6,MATCH(RAB!C254,'HARGA SATUAN'!$C$7:$C$1492,0),0)),"",OFFSET('HARGA SATUAN'!$E$6,MATCH(RAB!C254,'HARGA SATUAN'!$C$7:$C$1492,0),0)))</f>
        <v>Unit</v>
      </c>
      <c r="F254" s="489">
        <f>F240*1</f>
        <v>4</v>
      </c>
      <c r="G254" s="358">
        <f ca="1">IF(ISERROR(OFFSET('HARGA SATUAN'!$I$6,MATCH(RAB!C254,'HARGA SATUAN'!$C$7:$C$1492,0),0)),0,OFFSET('HARGA SATUAN'!$I$6,MATCH(RAB!C254,'HARGA SATUAN'!$C$7:$C$1492,0),0))</f>
        <v>111000</v>
      </c>
      <c r="H254" s="359">
        <f t="shared" ca="1" si="32"/>
        <v>0</v>
      </c>
      <c r="I254" s="359">
        <f t="shared" ca="1" si="33"/>
        <v>0</v>
      </c>
      <c r="J254" s="359">
        <f t="shared" ca="1" si="34"/>
        <v>444000</v>
      </c>
      <c r="K254" s="360">
        <f t="shared" ca="1" si="35"/>
        <v>444000</v>
      </c>
      <c r="L254" s="367"/>
      <c r="M254" s="367"/>
      <c r="N254" s="367"/>
      <c r="O254" s="361"/>
      <c r="P254" s="361"/>
      <c r="Q254" s="344"/>
      <c r="R254" s="336"/>
      <c r="S254" s="362"/>
      <c r="T254" s="341"/>
      <c r="U254" s="341"/>
      <c r="V254" s="341"/>
    </row>
    <row r="255" spans="1:22" s="368" customFormat="1">
      <c r="A255" s="336"/>
      <c r="B255" s="692"/>
      <c r="C255" s="693"/>
      <c r="D255" s="356" t="str">
        <f ca="1">IF(ISERROR(OFFSET('HARGA SATUAN'!$D$6,MATCH(RAB!C255,'HARGA SATUAN'!$C$7:$C$1492,0),0)),"",OFFSET('HARGA SATUAN'!$D$6,MATCH(RAB!C255,'HARGA SATUAN'!$C$7:$C$1492,0),0))</f>
        <v/>
      </c>
      <c r="E255" s="357" t="str">
        <f ca="1">IF(B255="+","Unit",IF(ISERROR(OFFSET('HARGA SATUAN'!$E$6,MATCH(RAB!C255,'HARGA SATUAN'!$C$7:$C$1492,0),0)),"",OFFSET('HARGA SATUAN'!$E$6,MATCH(RAB!C255,'HARGA SATUAN'!$C$7:$C$1492,0),0)))</f>
        <v/>
      </c>
      <c r="F255" s="714"/>
      <c r="G255" s="358">
        <f ca="1">IF(ISERROR(OFFSET('HARGA SATUAN'!$I$6,MATCH(RAB!C255,'HARGA SATUAN'!$C$7:$C$1492,0),0)),0,OFFSET('HARGA SATUAN'!$I$6,MATCH(RAB!C255,'HARGA SATUAN'!$C$7:$C$1492,0),0))</f>
        <v>0</v>
      </c>
      <c r="H255" s="359">
        <f t="shared" ca="1" si="32"/>
        <v>0</v>
      </c>
      <c r="I255" s="359">
        <f t="shared" ca="1" si="33"/>
        <v>0</v>
      </c>
      <c r="J255" s="359">
        <f t="shared" ca="1" si="34"/>
        <v>0</v>
      </c>
      <c r="K255" s="360">
        <f t="shared" ca="1" si="35"/>
        <v>0</v>
      </c>
      <c r="L255" s="367"/>
      <c r="M255" s="367"/>
      <c r="N255" s="367"/>
      <c r="O255" s="361"/>
      <c r="P255" s="361"/>
      <c r="Q255" s="344"/>
      <c r="R255" s="336"/>
      <c r="S255" s="362"/>
      <c r="T255" s="341"/>
      <c r="U255" s="341"/>
      <c r="V255" s="341"/>
    </row>
    <row r="256" spans="1:22" s="368" customFormat="1">
      <c r="A256" s="336"/>
      <c r="B256" s="692" t="s">
        <v>1035</v>
      </c>
      <c r="C256" s="693" t="s">
        <v>1628</v>
      </c>
      <c r="D256" s="356" t="str">
        <f ca="1">IF(ISERROR(OFFSET('HARGA SATUAN'!$D$6,MATCH(RAB!C256,'HARGA SATUAN'!$C$7:$C$1492,0),0)),"",OFFSET('HARGA SATUAN'!$D$6,MATCH(RAB!C256,'HARGA SATUAN'!$C$7:$C$1492,0),0))</f>
        <v/>
      </c>
      <c r="E256" s="357" t="str">
        <f ca="1">IF(B256="+","Unit",IF(ISERROR(OFFSET('HARGA SATUAN'!$E$6,MATCH(RAB!C256,'HARGA SATUAN'!$C$7:$C$1492,0),0)),"",OFFSET('HARGA SATUAN'!$E$6,MATCH(RAB!C256,'HARGA SATUAN'!$C$7:$C$1492,0),0)))</f>
        <v>Unit</v>
      </c>
      <c r="F256" s="489">
        <v>1</v>
      </c>
      <c r="G256" s="358">
        <f ca="1">IF(ISERROR(OFFSET('HARGA SATUAN'!$I$6,MATCH(RAB!C256,'HARGA SATUAN'!$C$7:$C$1492,0),0)),0,OFFSET('HARGA SATUAN'!$I$6,MATCH(RAB!C256,'HARGA SATUAN'!$C$7:$C$1492,0),0))</f>
        <v>0</v>
      </c>
      <c r="H256" s="359">
        <f t="shared" ca="1" si="32"/>
        <v>0</v>
      </c>
      <c r="I256" s="359">
        <f t="shared" ca="1" si="33"/>
        <v>0</v>
      </c>
      <c r="J256" s="359">
        <f t="shared" ca="1" si="34"/>
        <v>0</v>
      </c>
      <c r="K256" s="360">
        <f t="shared" ca="1" si="35"/>
        <v>0</v>
      </c>
      <c r="L256" s="367"/>
      <c r="M256" s="367"/>
      <c r="N256" s="367"/>
      <c r="O256" s="361"/>
      <c r="P256" s="361"/>
      <c r="Q256" s="344"/>
      <c r="R256" s="336"/>
      <c r="S256" s="362"/>
      <c r="T256" s="341"/>
      <c r="U256" s="341"/>
      <c r="V256" s="341"/>
    </row>
    <row r="257" spans="1:22" s="368" customFormat="1">
      <c r="A257" s="336"/>
      <c r="B257" s="692">
        <v>1</v>
      </c>
      <c r="C257" s="109" t="s">
        <v>1564</v>
      </c>
      <c r="D257" s="356" t="str">
        <f ca="1">IF(ISERROR(OFFSET('HARGA SATUAN'!$D$6,MATCH(RAB!C257,'HARGA SATUAN'!$C$7:$C$1492,0),0)),"",OFFSET('HARGA SATUAN'!$D$6,MATCH(RAB!C257,'HARGA SATUAN'!$C$7:$C$1492,0),0))</f>
        <v>MDU-KD</v>
      </c>
      <c r="E257" s="357" t="str">
        <f ca="1">IF(B257="+","Unit",IF(ISERROR(OFFSET('HARGA SATUAN'!$E$6,MATCH(RAB!C257,'HARGA SATUAN'!$C$7:$C$1492,0),0)),"",OFFSET('HARGA SATUAN'!$E$6,MATCH(RAB!C257,'HARGA SATUAN'!$C$7:$C$1492,0),0)))</f>
        <v>Bh</v>
      </c>
      <c r="F257" s="489">
        <f>F256*1</f>
        <v>1</v>
      </c>
      <c r="G257" s="358">
        <f ca="1">IF(ISERROR(OFFSET('HARGA SATUAN'!$I$6,MATCH(RAB!C257,'HARGA SATUAN'!$C$7:$C$1492,0),0)),0,OFFSET('HARGA SATUAN'!$I$6,MATCH(RAB!C257,'HARGA SATUAN'!$C$7:$C$1492,0),0))</f>
        <v>235900</v>
      </c>
      <c r="H257" s="359">
        <f t="shared" ca="1" si="32"/>
        <v>235900</v>
      </c>
      <c r="I257" s="359">
        <f t="shared" ca="1" si="33"/>
        <v>0</v>
      </c>
      <c r="J257" s="359">
        <f t="shared" ca="1" si="34"/>
        <v>0</v>
      </c>
      <c r="K257" s="360">
        <f t="shared" ca="1" si="35"/>
        <v>235900</v>
      </c>
      <c r="L257" s="367"/>
      <c r="M257" s="367"/>
      <c r="N257" s="367"/>
      <c r="O257" s="361"/>
      <c r="P257" s="361"/>
      <c r="Q257" s="344"/>
      <c r="R257" s="336"/>
      <c r="S257" s="362"/>
      <c r="T257" s="341"/>
      <c r="U257" s="341"/>
      <c r="V257" s="341"/>
    </row>
    <row r="258" spans="1:22" s="368" customFormat="1">
      <c r="A258" s="336"/>
      <c r="B258" s="692">
        <v>2</v>
      </c>
      <c r="C258" s="109" t="s">
        <v>1564</v>
      </c>
      <c r="D258" s="356" t="str">
        <f ca="1">IF(ISERROR(OFFSET('HARGA SATUAN'!$D$6,MATCH(RAB!C258,'HARGA SATUAN'!$C$7:$C$1492,0),0)),"",OFFSET('HARGA SATUAN'!$D$6,MATCH(RAB!C258,'HARGA SATUAN'!$C$7:$C$1492,0),0))</f>
        <v>MDU-KD</v>
      </c>
      <c r="E258" s="357" t="str">
        <f ca="1">IF(B258="+","Unit",IF(ISERROR(OFFSET('HARGA SATUAN'!$E$6,MATCH(RAB!C258,'HARGA SATUAN'!$C$7:$C$1492,0),0)),"",OFFSET('HARGA SATUAN'!$E$6,MATCH(RAB!C258,'HARGA SATUAN'!$C$7:$C$1492,0),0)))</f>
        <v>Bh</v>
      </c>
      <c r="F258" s="489">
        <f>F256*2</f>
        <v>2</v>
      </c>
      <c r="G258" s="358">
        <f ca="1">IF(ISERROR(OFFSET('HARGA SATUAN'!$I$6,MATCH(RAB!C258,'HARGA SATUAN'!$C$7:$C$1492,0),0)),0,OFFSET('HARGA SATUAN'!$I$6,MATCH(RAB!C258,'HARGA SATUAN'!$C$7:$C$1492,0),0))</f>
        <v>235900</v>
      </c>
      <c r="H258" s="359">
        <f t="shared" ca="1" si="32"/>
        <v>471800</v>
      </c>
      <c r="I258" s="359">
        <f t="shared" ca="1" si="33"/>
        <v>0</v>
      </c>
      <c r="J258" s="359">
        <f t="shared" ca="1" si="34"/>
        <v>0</v>
      </c>
      <c r="K258" s="360">
        <f t="shared" ca="1" si="35"/>
        <v>471800</v>
      </c>
      <c r="L258" s="367"/>
      <c r="M258" s="367"/>
      <c r="N258" s="367"/>
      <c r="O258" s="361"/>
      <c r="P258" s="361"/>
      <c r="Q258" s="344"/>
      <c r="R258" s="336"/>
      <c r="S258" s="362"/>
      <c r="T258" s="341"/>
      <c r="U258" s="341"/>
      <c r="V258" s="341"/>
    </row>
    <row r="259" spans="1:22" s="368" customFormat="1">
      <c r="A259" s="336"/>
      <c r="B259" s="692">
        <v>3</v>
      </c>
      <c r="C259" s="109" t="s">
        <v>1565</v>
      </c>
      <c r="D259" s="356" t="str">
        <f ca="1">IF(ISERROR(OFFSET('HARGA SATUAN'!$D$6,MATCH(RAB!C259,'HARGA SATUAN'!$C$7:$C$1492,0),0)),"",OFFSET('HARGA SATUAN'!$D$6,MATCH(RAB!C259,'HARGA SATUAN'!$C$7:$C$1492,0),0))</f>
        <v>MDU-KD</v>
      </c>
      <c r="E259" s="357" t="str">
        <f ca="1">IF(B259="+","Unit",IF(ISERROR(OFFSET('HARGA SATUAN'!$E$6,MATCH(RAB!C259,'HARGA SATUAN'!$C$7:$C$1492,0),0)),"",OFFSET('HARGA SATUAN'!$E$6,MATCH(RAB!C259,'HARGA SATUAN'!$C$7:$C$1492,0),0)))</f>
        <v>Set</v>
      </c>
      <c r="F259" s="714">
        <f>F256*6</f>
        <v>6</v>
      </c>
      <c r="G259" s="358">
        <f ca="1">IF(ISERROR(OFFSET('HARGA SATUAN'!$I$6,MATCH(RAB!C259,'HARGA SATUAN'!$C$7:$C$1492,0),0)),0,OFFSET('HARGA SATUAN'!$I$6,MATCH(RAB!C259,'HARGA SATUAN'!$C$7:$C$1492,0),0))</f>
        <v>430000</v>
      </c>
      <c r="H259" s="359">
        <f t="shared" ca="1" si="32"/>
        <v>2580000</v>
      </c>
      <c r="I259" s="359">
        <f t="shared" ca="1" si="33"/>
        <v>0</v>
      </c>
      <c r="J259" s="359">
        <f t="shared" ca="1" si="34"/>
        <v>0</v>
      </c>
      <c r="K259" s="360">
        <f t="shared" ca="1" si="35"/>
        <v>2580000</v>
      </c>
      <c r="L259" s="367"/>
      <c r="M259" s="367"/>
      <c r="N259" s="367"/>
      <c r="O259" s="361"/>
      <c r="P259" s="361"/>
      <c r="Q259" s="344"/>
      <c r="R259" s="336"/>
      <c r="S259" s="362"/>
      <c r="T259" s="341"/>
      <c r="U259" s="341"/>
      <c r="V259" s="341"/>
    </row>
    <row r="260" spans="1:22" s="368" customFormat="1">
      <c r="A260" s="336"/>
      <c r="B260" s="692">
        <v>4</v>
      </c>
      <c r="C260" s="693" t="s">
        <v>152</v>
      </c>
      <c r="D260" s="356" t="str">
        <f ca="1">IF(ISERROR(OFFSET('HARGA SATUAN'!$D$6,MATCH(RAB!C260,'HARGA SATUAN'!$C$7:$C$1492,0),0)),"",OFFSET('HARGA SATUAN'!$D$6,MATCH(RAB!C260,'HARGA SATUAN'!$C$7:$C$1492,0),0))</f>
        <v>HDW</v>
      </c>
      <c r="E260" s="357" t="str">
        <f ca="1">IF(B260="+","Unit",IF(ISERROR(OFFSET('HARGA SATUAN'!$E$6,MATCH(RAB!C260,'HARGA SATUAN'!$C$7:$C$1492,0),0)),"",OFFSET('HARGA SATUAN'!$E$6,MATCH(RAB!C260,'HARGA SATUAN'!$C$7:$C$1492,0),0)))</f>
        <v>Mtr</v>
      </c>
      <c r="F260" s="489">
        <f>F256*2</f>
        <v>2</v>
      </c>
      <c r="G260" s="358">
        <f ca="1">IF(ISERROR(OFFSET('HARGA SATUAN'!$I$6,MATCH(RAB!C260,'HARGA SATUAN'!$C$7:$C$1492,0),0)),0,OFFSET('HARGA SATUAN'!$I$6,MATCH(RAB!C260,'HARGA SATUAN'!$C$7:$C$1492,0),0))</f>
        <v>7789</v>
      </c>
      <c r="H260" s="359">
        <f t="shared" ref="H260:H347" ca="1" si="36">IF(OR(D260="MDU",D260="MDU-KD"),(IF($O$3="RAB NON MDU","PLN KD",G260*F260)),0)</f>
        <v>0</v>
      </c>
      <c r="I260" s="359">
        <f t="shared" ref="I260:I347" ca="1" si="37">IF(D260="HDW",G260*F260,0)</f>
        <v>15578</v>
      </c>
      <c r="J260" s="359">
        <f t="shared" ref="J260:J347" ca="1" si="38">IF(D260="JASA",G260*F260,0)</f>
        <v>0</v>
      </c>
      <c r="K260" s="360">
        <f t="shared" ref="K260:K347" ca="1" si="39">SUM(H260:J260)</f>
        <v>15578</v>
      </c>
      <c r="L260" s="367"/>
      <c r="M260" s="367"/>
      <c r="N260" s="367"/>
      <c r="O260" s="361"/>
      <c r="P260" s="361"/>
      <c r="Q260" s="344"/>
      <c r="R260" s="336"/>
      <c r="S260" s="362"/>
      <c r="T260" s="341"/>
      <c r="U260" s="341"/>
      <c r="V260" s="341"/>
    </row>
    <row r="261" spans="1:22" s="368" customFormat="1">
      <c r="A261" s="336"/>
      <c r="B261" s="696">
        <v>5</v>
      </c>
      <c r="C261" s="697" t="s">
        <v>157</v>
      </c>
      <c r="D261" s="356" t="str">
        <f ca="1">IF(ISERROR(OFFSET('HARGA SATUAN'!$D$6,MATCH(RAB!C261,'HARGA SATUAN'!$C$7:$C$1492,0),0)),"",OFFSET('HARGA SATUAN'!$D$6,MATCH(RAB!C261,'HARGA SATUAN'!$C$7:$C$1492,0),0))</f>
        <v>HDW</v>
      </c>
      <c r="E261" s="357" t="str">
        <f ca="1">IF(B261="+","Unit",IF(ISERROR(OFFSET('HARGA SATUAN'!$E$6,MATCH(RAB!C261,'HARGA SATUAN'!$C$7:$C$1492,0),0)),"",OFFSET('HARGA SATUAN'!$E$6,MATCH(RAB!C261,'HARGA SATUAN'!$C$7:$C$1492,0),0)))</f>
        <v>Bh</v>
      </c>
      <c r="F261" s="716">
        <f>F256*2</f>
        <v>2</v>
      </c>
      <c r="G261" s="358">
        <f ca="1">IF(ISERROR(OFFSET('HARGA SATUAN'!$I$6,MATCH(RAB!C261,'HARGA SATUAN'!$C$7:$C$1492,0),0)),0,OFFSET('HARGA SATUAN'!$I$6,MATCH(RAB!C261,'HARGA SATUAN'!$C$7:$C$1492,0),0))</f>
        <v>40000</v>
      </c>
      <c r="H261" s="359">
        <f t="shared" ca="1" si="36"/>
        <v>0</v>
      </c>
      <c r="I261" s="359">
        <f t="shared" ca="1" si="37"/>
        <v>80000</v>
      </c>
      <c r="J261" s="359">
        <f t="shared" ca="1" si="38"/>
        <v>0</v>
      </c>
      <c r="K261" s="360">
        <f t="shared" ca="1" si="39"/>
        <v>80000</v>
      </c>
      <c r="L261" s="367"/>
      <c r="M261" s="367"/>
      <c r="N261" s="367"/>
      <c r="O261" s="361"/>
      <c r="P261" s="361"/>
      <c r="Q261" s="344"/>
      <c r="R261" s="336"/>
      <c r="S261" s="362"/>
      <c r="T261" s="341"/>
      <c r="U261" s="341"/>
      <c r="V261" s="341"/>
    </row>
    <row r="262" spans="1:22" s="368" customFormat="1">
      <c r="A262" s="336"/>
      <c r="B262" s="696">
        <v>6</v>
      </c>
      <c r="C262" s="697" t="s">
        <v>28</v>
      </c>
      <c r="D262" s="356" t="str">
        <f ca="1">IF(ISERROR(OFFSET('HARGA SATUAN'!$D$6,MATCH(RAB!C262,'HARGA SATUAN'!$C$7:$C$1492,0),0)),"",OFFSET('HARGA SATUAN'!$D$6,MATCH(RAB!C262,'HARGA SATUAN'!$C$7:$C$1492,0),0))</f>
        <v>HDW</v>
      </c>
      <c r="E262" s="357" t="str">
        <f ca="1">IF(B262="+","Unit",IF(ISERROR(OFFSET('HARGA SATUAN'!$E$6,MATCH(RAB!C262,'HARGA SATUAN'!$C$7:$C$1492,0),0)),"",OFFSET('HARGA SATUAN'!$E$6,MATCH(RAB!C262,'HARGA SATUAN'!$C$7:$C$1492,0),0)))</f>
        <v>Bh</v>
      </c>
      <c r="F262" s="716">
        <f>F256*3</f>
        <v>3</v>
      </c>
      <c r="G262" s="358">
        <f ca="1">IF(ISERROR(OFFSET('HARGA SATUAN'!$I$6,MATCH(RAB!C262,'HARGA SATUAN'!$C$7:$C$1492,0),0)),0,OFFSET('HARGA SATUAN'!$I$6,MATCH(RAB!C262,'HARGA SATUAN'!$C$7:$C$1492,0),0))</f>
        <v>26500</v>
      </c>
      <c r="H262" s="359">
        <f t="shared" ca="1" si="36"/>
        <v>0</v>
      </c>
      <c r="I262" s="359">
        <f t="shared" ca="1" si="37"/>
        <v>79500</v>
      </c>
      <c r="J262" s="359">
        <f t="shared" ca="1" si="38"/>
        <v>0</v>
      </c>
      <c r="K262" s="360">
        <f t="shared" ca="1" si="39"/>
        <v>79500</v>
      </c>
      <c r="L262" s="367"/>
      <c r="M262" s="367"/>
      <c r="N262" s="367"/>
      <c r="O262" s="361"/>
      <c r="P262" s="361"/>
      <c r="Q262" s="344"/>
      <c r="R262" s="336"/>
      <c r="S262" s="362"/>
      <c r="T262" s="341"/>
      <c r="U262" s="341"/>
      <c r="V262" s="341"/>
    </row>
    <row r="263" spans="1:22" s="368" customFormat="1">
      <c r="A263" s="336"/>
      <c r="B263" s="696">
        <v>7</v>
      </c>
      <c r="C263" s="697" t="s">
        <v>163</v>
      </c>
      <c r="D263" s="356" t="str">
        <f ca="1">IF(ISERROR(OFFSET('HARGA SATUAN'!$D$6,MATCH(RAB!C263,'HARGA SATUAN'!$C$7:$C$1492,0),0)),"",OFFSET('HARGA SATUAN'!$D$6,MATCH(RAB!C263,'HARGA SATUAN'!$C$7:$C$1492,0),0))</f>
        <v>HDW</v>
      </c>
      <c r="E263" s="357" t="str">
        <f ca="1">IF(B263="+","Unit",IF(ISERROR(OFFSET('HARGA SATUAN'!$E$6,MATCH(RAB!C263,'HARGA SATUAN'!$C$7:$C$1492,0),0)),"",OFFSET('HARGA SATUAN'!$E$6,MATCH(RAB!C263,'HARGA SATUAN'!$C$7:$C$1492,0),0)))</f>
        <v>Bh</v>
      </c>
      <c r="F263" s="716">
        <f>F256*4</f>
        <v>4</v>
      </c>
      <c r="G263" s="358">
        <f ca="1">IF(ISERROR(OFFSET('HARGA SATUAN'!$I$6,MATCH(RAB!C263,'HARGA SATUAN'!$C$7:$C$1492,0),0)),0,OFFSET('HARGA SATUAN'!$I$6,MATCH(RAB!C263,'HARGA SATUAN'!$C$7:$C$1492,0),0))</f>
        <v>7938</v>
      </c>
      <c r="H263" s="359">
        <f t="shared" ca="1" si="36"/>
        <v>0</v>
      </c>
      <c r="I263" s="359">
        <f t="shared" ca="1" si="37"/>
        <v>31752</v>
      </c>
      <c r="J263" s="359">
        <f t="shared" ca="1" si="38"/>
        <v>0</v>
      </c>
      <c r="K263" s="360">
        <f t="shared" ca="1" si="39"/>
        <v>31752</v>
      </c>
      <c r="L263" s="367"/>
      <c r="M263" s="367"/>
      <c r="N263" s="367"/>
      <c r="O263" s="361"/>
      <c r="P263" s="361"/>
      <c r="Q263" s="344"/>
      <c r="R263" s="336"/>
      <c r="S263" s="362"/>
      <c r="T263" s="341"/>
      <c r="U263" s="341"/>
      <c r="V263" s="341"/>
    </row>
    <row r="264" spans="1:22" s="368" customFormat="1">
      <c r="A264" s="336"/>
      <c r="B264" s="696">
        <v>8</v>
      </c>
      <c r="C264" s="697" t="s">
        <v>173</v>
      </c>
      <c r="D264" s="356" t="str">
        <f ca="1">IF(ISERROR(OFFSET('HARGA SATUAN'!$D$6,MATCH(RAB!C264,'HARGA SATUAN'!$C$7:$C$1492,0),0)),"",OFFSET('HARGA SATUAN'!$D$6,MATCH(RAB!C264,'HARGA SATUAN'!$C$7:$C$1492,0),0))</f>
        <v>HDW</v>
      </c>
      <c r="E264" s="357" t="str">
        <f ca="1">IF(B264="+","Unit",IF(ISERROR(OFFSET('HARGA SATUAN'!$E$6,MATCH(RAB!C264,'HARGA SATUAN'!$C$7:$C$1492,0),0)),"",OFFSET('HARGA SATUAN'!$E$6,MATCH(RAB!C264,'HARGA SATUAN'!$C$7:$C$1492,0),0)))</f>
        <v>Bh</v>
      </c>
      <c r="F264" s="716">
        <f>F256*4</f>
        <v>4</v>
      </c>
      <c r="G264" s="358">
        <f ca="1">IF(ISERROR(OFFSET('HARGA SATUAN'!$I$6,MATCH(RAB!C264,'HARGA SATUAN'!$C$7:$C$1492,0),0)),0,OFFSET('HARGA SATUAN'!$I$6,MATCH(RAB!C264,'HARGA SATUAN'!$C$7:$C$1492,0),0))</f>
        <v>45000</v>
      </c>
      <c r="H264" s="359">
        <f t="shared" ca="1" si="36"/>
        <v>0</v>
      </c>
      <c r="I264" s="359">
        <f t="shared" ca="1" si="37"/>
        <v>180000</v>
      </c>
      <c r="J264" s="359">
        <f t="shared" ca="1" si="38"/>
        <v>0</v>
      </c>
      <c r="K264" s="360">
        <f t="shared" ca="1" si="39"/>
        <v>180000</v>
      </c>
      <c r="L264" s="367"/>
      <c r="M264" s="367"/>
      <c r="N264" s="367"/>
      <c r="O264" s="361"/>
      <c r="P264" s="361"/>
      <c r="Q264" s="344"/>
      <c r="R264" s="336"/>
      <c r="S264" s="362"/>
      <c r="T264" s="341"/>
      <c r="U264" s="341"/>
      <c r="V264" s="341"/>
    </row>
    <row r="265" spans="1:22" s="368" customFormat="1">
      <c r="A265" s="336"/>
      <c r="B265" s="696">
        <v>9</v>
      </c>
      <c r="C265" s="697" t="s">
        <v>178</v>
      </c>
      <c r="D265" s="356" t="str">
        <f ca="1">IF(ISERROR(OFFSET('HARGA SATUAN'!$D$6,MATCH(RAB!C265,'HARGA SATUAN'!$C$7:$C$1492,0),0)),"",OFFSET('HARGA SATUAN'!$D$6,MATCH(RAB!C265,'HARGA SATUAN'!$C$7:$C$1492,0),0))</f>
        <v>HDW</v>
      </c>
      <c r="E265" s="357" t="str">
        <f ca="1">IF(B265="+","Unit",IF(ISERROR(OFFSET('HARGA SATUAN'!$E$6,MATCH(RAB!C265,'HARGA SATUAN'!$C$7:$C$1492,0),0)),"",OFFSET('HARGA SATUAN'!$E$6,MATCH(RAB!C265,'HARGA SATUAN'!$C$7:$C$1492,0),0)))</f>
        <v>Bh</v>
      </c>
      <c r="F265" s="716">
        <f>F256*1</f>
        <v>1</v>
      </c>
      <c r="G265" s="358">
        <f ca="1">IF(ISERROR(OFFSET('HARGA SATUAN'!$I$6,MATCH(RAB!C265,'HARGA SATUAN'!$C$7:$C$1492,0),0)),0,OFFSET('HARGA SATUAN'!$I$6,MATCH(RAB!C265,'HARGA SATUAN'!$C$7:$C$1492,0),0))</f>
        <v>95000</v>
      </c>
      <c r="H265" s="359">
        <f t="shared" ca="1" si="36"/>
        <v>0</v>
      </c>
      <c r="I265" s="359">
        <f t="shared" ca="1" si="37"/>
        <v>95000</v>
      </c>
      <c r="J265" s="359">
        <f t="shared" ca="1" si="38"/>
        <v>0</v>
      </c>
      <c r="K265" s="360">
        <f t="shared" ca="1" si="39"/>
        <v>95000</v>
      </c>
      <c r="L265" s="367"/>
      <c r="M265" s="367"/>
      <c r="N265" s="367"/>
      <c r="O265" s="361"/>
      <c r="P265" s="361"/>
      <c r="Q265" s="344"/>
      <c r="R265" s="336"/>
      <c r="S265" s="362"/>
      <c r="T265" s="341"/>
      <c r="U265" s="341"/>
      <c r="V265" s="341"/>
    </row>
    <row r="266" spans="1:22" s="368" customFormat="1">
      <c r="A266" s="336"/>
      <c r="B266" s="696">
        <v>10</v>
      </c>
      <c r="C266" s="697" t="s">
        <v>179</v>
      </c>
      <c r="D266" s="356" t="str">
        <f ca="1">IF(ISERROR(OFFSET('HARGA SATUAN'!$D$6,MATCH(RAB!C266,'HARGA SATUAN'!$C$7:$C$1492,0),0)),"",OFFSET('HARGA SATUAN'!$D$6,MATCH(RAB!C266,'HARGA SATUAN'!$C$7:$C$1492,0),0))</f>
        <v>HDW</v>
      </c>
      <c r="E266" s="357" t="str">
        <f ca="1">IF(B266="+","Unit",IF(ISERROR(OFFSET('HARGA SATUAN'!$E$6,MATCH(RAB!C266,'HARGA SATUAN'!$C$7:$C$1492,0),0)),"",OFFSET('HARGA SATUAN'!$E$6,MATCH(RAB!C266,'HARGA SATUAN'!$C$7:$C$1492,0),0)))</f>
        <v>Bh</v>
      </c>
      <c r="F266" s="716">
        <f>F256*2</f>
        <v>2</v>
      </c>
      <c r="G266" s="358">
        <f ca="1">IF(ISERROR(OFFSET('HARGA SATUAN'!$I$6,MATCH(RAB!C266,'HARGA SATUAN'!$C$7:$C$1492,0),0)),0,OFFSET('HARGA SATUAN'!$I$6,MATCH(RAB!C266,'HARGA SATUAN'!$C$7:$C$1492,0),0))</f>
        <v>15500</v>
      </c>
      <c r="H266" s="359">
        <f t="shared" ca="1" si="36"/>
        <v>0</v>
      </c>
      <c r="I266" s="359">
        <f t="shared" ca="1" si="37"/>
        <v>31000</v>
      </c>
      <c r="J266" s="359">
        <f t="shared" ca="1" si="38"/>
        <v>0</v>
      </c>
      <c r="K266" s="360">
        <f t="shared" ca="1" si="39"/>
        <v>31000</v>
      </c>
      <c r="L266" s="367"/>
      <c r="M266" s="367"/>
      <c r="N266" s="367"/>
      <c r="O266" s="361"/>
      <c r="P266" s="361"/>
      <c r="Q266" s="344"/>
      <c r="R266" s="336"/>
      <c r="S266" s="362"/>
      <c r="T266" s="341"/>
      <c r="U266" s="341"/>
      <c r="V266" s="341"/>
    </row>
    <row r="267" spans="1:22" s="368" customFormat="1">
      <c r="A267" s="336"/>
      <c r="B267" s="696">
        <v>11</v>
      </c>
      <c r="C267" s="697" t="s">
        <v>181</v>
      </c>
      <c r="D267" s="356" t="str">
        <f ca="1">IF(ISERROR(OFFSET('HARGA SATUAN'!$D$6,MATCH(RAB!C267,'HARGA SATUAN'!$C$7:$C$1492,0),0)),"",OFFSET('HARGA SATUAN'!$D$6,MATCH(RAB!C267,'HARGA SATUAN'!$C$7:$C$1492,0),0))</f>
        <v>HDW</v>
      </c>
      <c r="E267" s="357" t="str">
        <f ca="1">IF(B267="+","Unit",IF(ISERROR(OFFSET('HARGA SATUAN'!$E$6,MATCH(RAB!C267,'HARGA SATUAN'!$C$7:$C$1492,0),0)),"",OFFSET('HARGA SATUAN'!$E$6,MATCH(RAB!C267,'HARGA SATUAN'!$C$7:$C$1492,0),0)))</f>
        <v>Bh</v>
      </c>
      <c r="F267" s="716">
        <f>F256*4</f>
        <v>4</v>
      </c>
      <c r="G267" s="358">
        <f ca="1">IF(ISERROR(OFFSET('HARGA SATUAN'!$I$6,MATCH(RAB!C267,'HARGA SATUAN'!$C$7:$C$1492,0),0)),0,OFFSET('HARGA SATUAN'!$I$6,MATCH(RAB!C267,'HARGA SATUAN'!$C$7:$C$1492,0),0))</f>
        <v>28100</v>
      </c>
      <c r="H267" s="359">
        <f t="shared" ca="1" si="36"/>
        <v>0</v>
      </c>
      <c r="I267" s="359">
        <f t="shared" ca="1" si="37"/>
        <v>112400</v>
      </c>
      <c r="J267" s="359">
        <f t="shared" ca="1" si="38"/>
        <v>0</v>
      </c>
      <c r="K267" s="360">
        <f t="shared" ca="1" si="39"/>
        <v>112400</v>
      </c>
      <c r="L267" s="367"/>
      <c r="M267" s="367"/>
      <c r="N267" s="367"/>
      <c r="O267" s="361"/>
      <c r="P267" s="361"/>
      <c r="Q267" s="344"/>
      <c r="R267" s="336"/>
      <c r="S267" s="362"/>
      <c r="T267" s="341"/>
      <c r="U267" s="341"/>
      <c r="V267" s="341"/>
    </row>
    <row r="268" spans="1:22" s="368" customFormat="1">
      <c r="A268" s="336"/>
      <c r="B268" s="696">
        <v>12</v>
      </c>
      <c r="C268" s="697" t="s">
        <v>593</v>
      </c>
      <c r="D268" s="356" t="str">
        <f ca="1">IF(ISERROR(OFFSET('HARGA SATUAN'!$D$6,MATCH(RAB!C268,'HARGA SATUAN'!$C$7:$C$1492,0),0)),"",OFFSET('HARGA SATUAN'!$D$6,MATCH(RAB!C268,'HARGA SATUAN'!$C$7:$C$1492,0),0))</f>
        <v>HDW</v>
      </c>
      <c r="E268" s="357" t="str">
        <f ca="1">IF(B268="+","Unit",IF(ISERROR(OFFSET('HARGA SATUAN'!$E$6,MATCH(RAB!C268,'HARGA SATUAN'!$C$7:$C$1492,0),0)),"",OFFSET('HARGA SATUAN'!$E$6,MATCH(RAB!C268,'HARGA SATUAN'!$C$7:$C$1492,0),0)))</f>
        <v>Bh</v>
      </c>
      <c r="F268" s="716">
        <f>F256*2</f>
        <v>2</v>
      </c>
      <c r="G268" s="358">
        <f ca="1">IF(ISERROR(OFFSET('HARGA SATUAN'!$I$6,MATCH(RAB!C268,'HARGA SATUAN'!$C$7:$C$1492,0),0)),0,OFFSET('HARGA SATUAN'!$I$6,MATCH(RAB!C268,'HARGA SATUAN'!$C$7:$C$1492,0),0))</f>
        <v>380500</v>
      </c>
      <c r="H268" s="359">
        <f t="shared" ca="1" si="36"/>
        <v>0</v>
      </c>
      <c r="I268" s="359">
        <f t="shared" ca="1" si="37"/>
        <v>761000</v>
      </c>
      <c r="J268" s="359">
        <f t="shared" ca="1" si="38"/>
        <v>0</v>
      </c>
      <c r="K268" s="360">
        <f t="shared" ca="1" si="39"/>
        <v>761000</v>
      </c>
      <c r="L268" s="367"/>
      <c r="M268" s="367"/>
      <c r="N268" s="367"/>
      <c r="O268" s="361"/>
      <c r="P268" s="361"/>
      <c r="Q268" s="344"/>
      <c r="R268" s="336"/>
      <c r="S268" s="362"/>
      <c r="T268" s="341"/>
      <c r="U268" s="341"/>
      <c r="V268" s="341"/>
    </row>
    <row r="269" spans="1:22" s="368" customFormat="1">
      <c r="A269" s="336"/>
      <c r="B269" s="696">
        <v>13</v>
      </c>
      <c r="C269" s="697" t="s">
        <v>217</v>
      </c>
      <c r="D269" s="356" t="str">
        <f ca="1">IF(ISERROR(OFFSET('HARGA SATUAN'!$D$6,MATCH(RAB!C269,'HARGA SATUAN'!$C$7:$C$1492,0),0)),"",OFFSET('HARGA SATUAN'!$D$6,MATCH(RAB!C269,'HARGA SATUAN'!$C$7:$C$1492,0),0))</f>
        <v>HDW</v>
      </c>
      <c r="E269" s="357" t="str">
        <f ca="1">IF(B269="+","Unit",IF(ISERROR(OFFSET('HARGA SATUAN'!$E$6,MATCH(RAB!C269,'HARGA SATUAN'!$C$7:$C$1492,0),0)),"",OFFSET('HARGA SATUAN'!$E$6,MATCH(RAB!C269,'HARGA SATUAN'!$C$7:$C$1492,0),0)))</f>
        <v>Bh</v>
      </c>
      <c r="F269" s="716">
        <f>F256*3</f>
        <v>3</v>
      </c>
      <c r="G269" s="358">
        <f ca="1">IF(ISERROR(OFFSET('HARGA SATUAN'!$I$6,MATCH(RAB!C269,'HARGA SATUAN'!$C$7:$C$1492,0),0)),0,OFFSET('HARGA SATUAN'!$I$6,MATCH(RAB!C269,'HARGA SATUAN'!$C$7:$C$1492,0),0))</f>
        <v>11400</v>
      </c>
      <c r="H269" s="359">
        <f t="shared" ca="1" si="36"/>
        <v>0</v>
      </c>
      <c r="I269" s="359">
        <f t="shared" ca="1" si="37"/>
        <v>34200</v>
      </c>
      <c r="J269" s="359">
        <f t="shared" ca="1" si="38"/>
        <v>0</v>
      </c>
      <c r="K269" s="360">
        <f t="shared" ca="1" si="39"/>
        <v>34200</v>
      </c>
      <c r="L269" s="367"/>
      <c r="M269" s="367"/>
      <c r="N269" s="367"/>
      <c r="O269" s="361"/>
      <c r="P269" s="361"/>
      <c r="Q269" s="344"/>
      <c r="R269" s="336"/>
      <c r="S269" s="362"/>
      <c r="T269" s="341"/>
      <c r="U269" s="341"/>
      <c r="V269" s="341"/>
    </row>
    <row r="270" spans="1:22" s="368" customFormat="1">
      <c r="A270" s="336"/>
      <c r="B270" s="696">
        <v>14</v>
      </c>
      <c r="C270" s="697" t="s">
        <v>218</v>
      </c>
      <c r="D270" s="356" t="str">
        <f ca="1">IF(ISERROR(OFFSET('HARGA SATUAN'!$D$6,MATCH(RAB!C270,'HARGA SATUAN'!$C$7:$C$1492,0),0)),"",OFFSET('HARGA SATUAN'!$D$6,MATCH(RAB!C270,'HARGA SATUAN'!$C$7:$C$1492,0),0))</f>
        <v>HDW</v>
      </c>
      <c r="E270" s="357" t="str">
        <f ca="1">IF(B270="+","Unit",IF(ISERROR(OFFSET('HARGA SATUAN'!$E$6,MATCH(RAB!C270,'HARGA SATUAN'!$C$7:$C$1492,0),0)),"",OFFSET('HARGA SATUAN'!$E$6,MATCH(RAB!C270,'HARGA SATUAN'!$C$7:$C$1492,0),0)))</f>
        <v>Bh</v>
      </c>
      <c r="F270" s="716">
        <f>F256*4</f>
        <v>4</v>
      </c>
      <c r="G270" s="358">
        <f ca="1">IF(ISERROR(OFFSET('HARGA SATUAN'!$I$6,MATCH(RAB!C270,'HARGA SATUAN'!$C$7:$C$1492,0),0)),0,OFFSET('HARGA SATUAN'!$I$6,MATCH(RAB!C270,'HARGA SATUAN'!$C$7:$C$1492,0),0))</f>
        <v>29600</v>
      </c>
      <c r="H270" s="359">
        <f t="shared" ca="1" si="36"/>
        <v>0</v>
      </c>
      <c r="I270" s="359">
        <f t="shared" ca="1" si="37"/>
        <v>118400</v>
      </c>
      <c r="J270" s="359">
        <f t="shared" ca="1" si="38"/>
        <v>0</v>
      </c>
      <c r="K270" s="360">
        <f t="shared" ca="1" si="39"/>
        <v>118400</v>
      </c>
      <c r="L270" s="367"/>
      <c r="M270" s="367"/>
      <c r="N270" s="367"/>
      <c r="O270" s="361"/>
      <c r="P270" s="361"/>
      <c r="Q270" s="344"/>
      <c r="R270" s="336"/>
      <c r="S270" s="362"/>
      <c r="T270" s="341"/>
      <c r="U270" s="341"/>
      <c r="V270" s="341"/>
    </row>
    <row r="271" spans="1:22" s="368" customFormat="1">
      <c r="A271" s="336"/>
      <c r="B271" s="696">
        <v>15</v>
      </c>
      <c r="C271" s="697" t="s">
        <v>223</v>
      </c>
      <c r="D271" s="356" t="str">
        <f ca="1">IF(ISERROR(OFFSET('HARGA SATUAN'!$D$6,MATCH(RAB!C271,'HARGA SATUAN'!$C$7:$C$1492,0),0)),"",OFFSET('HARGA SATUAN'!$D$6,MATCH(RAB!C271,'HARGA SATUAN'!$C$7:$C$1492,0),0))</f>
        <v>HDW</v>
      </c>
      <c r="E271" s="357" t="str">
        <f ca="1">IF(B271="+","Unit",IF(ISERROR(OFFSET('HARGA SATUAN'!$E$6,MATCH(RAB!C271,'HARGA SATUAN'!$C$7:$C$1492,0),0)),"",OFFSET('HARGA SATUAN'!$E$6,MATCH(RAB!C271,'HARGA SATUAN'!$C$7:$C$1492,0),0)))</f>
        <v>Bh</v>
      </c>
      <c r="F271" s="716">
        <f>F256*3</f>
        <v>3</v>
      </c>
      <c r="G271" s="358">
        <f ca="1">IF(ISERROR(OFFSET('HARGA SATUAN'!$I$6,MATCH(RAB!C271,'HARGA SATUAN'!$C$7:$C$1492,0),0)),0,OFFSET('HARGA SATUAN'!$I$6,MATCH(RAB!C271,'HARGA SATUAN'!$C$7:$C$1492,0),0))</f>
        <v>27815</v>
      </c>
      <c r="H271" s="359">
        <f t="shared" ca="1" si="36"/>
        <v>0</v>
      </c>
      <c r="I271" s="359">
        <f t="shared" ca="1" si="37"/>
        <v>83445</v>
      </c>
      <c r="J271" s="359">
        <f t="shared" ca="1" si="38"/>
        <v>0</v>
      </c>
      <c r="K271" s="360">
        <f t="shared" ca="1" si="39"/>
        <v>83445</v>
      </c>
      <c r="L271" s="367"/>
      <c r="M271" s="367"/>
      <c r="N271" s="367"/>
      <c r="O271" s="361"/>
      <c r="P271" s="361"/>
      <c r="Q271" s="344"/>
      <c r="R271" s="336"/>
      <c r="S271" s="362"/>
      <c r="T271" s="341"/>
      <c r="U271" s="341"/>
      <c r="V271" s="341"/>
    </row>
    <row r="272" spans="1:22" s="368" customFormat="1">
      <c r="A272" s="336"/>
      <c r="B272" s="696">
        <v>16</v>
      </c>
      <c r="C272" s="697" t="s">
        <v>25</v>
      </c>
      <c r="D272" s="356" t="str">
        <f ca="1">IF(ISERROR(OFFSET('HARGA SATUAN'!$D$6,MATCH(RAB!C272,'HARGA SATUAN'!$C$7:$C$1492,0),0)),"",OFFSET('HARGA SATUAN'!$D$6,MATCH(RAB!C272,'HARGA SATUAN'!$C$7:$C$1492,0),0))</f>
        <v>HDW</v>
      </c>
      <c r="E272" s="357" t="str">
        <f ca="1">IF(B272="+","Unit",IF(ISERROR(OFFSET('HARGA SATUAN'!$E$6,MATCH(RAB!C272,'HARGA SATUAN'!$C$7:$C$1492,0),0)),"",OFFSET('HARGA SATUAN'!$E$6,MATCH(RAB!C272,'HARGA SATUAN'!$C$7:$C$1492,0),0)))</f>
        <v>Bh</v>
      </c>
      <c r="F272" s="716">
        <f>F256*9</f>
        <v>9</v>
      </c>
      <c r="G272" s="358">
        <f ca="1">IF(ISERROR(OFFSET('HARGA SATUAN'!$I$6,MATCH(RAB!C272,'HARGA SATUAN'!$C$7:$C$1492,0),0)),0,OFFSET('HARGA SATUAN'!$I$6,MATCH(RAB!C272,'HARGA SATUAN'!$C$7:$C$1492,0),0))</f>
        <v>23936</v>
      </c>
      <c r="H272" s="359">
        <f t="shared" ca="1" si="36"/>
        <v>0</v>
      </c>
      <c r="I272" s="359">
        <f t="shared" ca="1" si="37"/>
        <v>215424</v>
      </c>
      <c r="J272" s="359">
        <f t="shared" ca="1" si="38"/>
        <v>0</v>
      </c>
      <c r="K272" s="360">
        <f t="shared" ca="1" si="39"/>
        <v>215424</v>
      </c>
      <c r="L272" s="367"/>
      <c r="M272" s="367"/>
      <c r="N272" s="367"/>
      <c r="O272" s="361"/>
      <c r="P272" s="361"/>
      <c r="Q272" s="344"/>
      <c r="R272" s="336"/>
      <c r="S272" s="362"/>
      <c r="T272" s="341"/>
      <c r="U272" s="341"/>
      <c r="V272" s="341"/>
    </row>
    <row r="273" spans="1:22" s="368" customFormat="1">
      <c r="A273" s="336"/>
      <c r="B273" s="696">
        <v>17</v>
      </c>
      <c r="C273" s="697" t="s">
        <v>37</v>
      </c>
      <c r="D273" s="356" t="str">
        <f ca="1">IF(ISERROR(OFFSET('HARGA SATUAN'!$D$6,MATCH(RAB!C273,'HARGA SATUAN'!$C$7:$C$1492,0),0)),"",OFFSET('HARGA SATUAN'!$D$6,MATCH(RAB!C273,'HARGA SATUAN'!$C$7:$C$1492,0),0))</f>
        <v>HDW</v>
      </c>
      <c r="E273" s="357" t="str">
        <f ca="1">IF(B273="+","Unit",IF(ISERROR(OFFSET('HARGA SATUAN'!$E$6,MATCH(RAB!C273,'HARGA SATUAN'!$C$7:$C$1492,0),0)),"",OFFSET('HARGA SATUAN'!$E$6,MATCH(RAB!C273,'HARGA SATUAN'!$C$7:$C$1492,0),0)))</f>
        <v>Bh</v>
      </c>
      <c r="F273" s="716">
        <f>F256*1</f>
        <v>1</v>
      </c>
      <c r="G273" s="358">
        <f ca="1">IF(ISERROR(OFFSET('HARGA SATUAN'!$I$6,MATCH(RAB!C273,'HARGA SATUAN'!$C$7:$C$1492,0),0)),0,OFFSET('HARGA SATUAN'!$I$6,MATCH(RAB!C273,'HARGA SATUAN'!$C$7:$C$1492,0),0))</f>
        <v>63500</v>
      </c>
      <c r="H273" s="359">
        <f t="shared" ca="1" si="36"/>
        <v>0</v>
      </c>
      <c r="I273" s="359">
        <f t="shared" ca="1" si="37"/>
        <v>63500</v>
      </c>
      <c r="J273" s="359">
        <f t="shared" ca="1" si="38"/>
        <v>0</v>
      </c>
      <c r="K273" s="360">
        <f t="shared" ca="1" si="39"/>
        <v>63500</v>
      </c>
      <c r="L273" s="367"/>
      <c r="M273" s="367"/>
      <c r="N273" s="367"/>
      <c r="O273" s="361"/>
      <c r="P273" s="361"/>
      <c r="Q273" s="344"/>
      <c r="R273" s="336"/>
      <c r="S273" s="362"/>
      <c r="T273" s="341"/>
      <c r="U273" s="341"/>
      <c r="V273" s="341"/>
    </row>
    <row r="274" spans="1:22" s="368" customFormat="1">
      <c r="A274" s="336"/>
      <c r="B274" s="696">
        <v>18</v>
      </c>
      <c r="C274" s="697" t="s">
        <v>27</v>
      </c>
      <c r="D274" s="356" t="str">
        <f ca="1">IF(ISERROR(OFFSET('HARGA SATUAN'!$D$6,MATCH(RAB!C274,'HARGA SATUAN'!$C$7:$C$1492,0),0)),"",OFFSET('HARGA SATUAN'!$D$6,MATCH(RAB!C274,'HARGA SATUAN'!$C$7:$C$1492,0),0))</f>
        <v>HDW</v>
      </c>
      <c r="E274" s="357" t="str">
        <f ca="1">IF(B274="+","Unit",IF(ISERROR(OFFSET('HARGA SATUAN'!$E$6,MATCH(RAB!C274,'HARGA SATUAN'!$C$7:$C$1492,0),0)),"",OFFSET('HARGA SATUAN'!$E$6,MATCH(RAB!C274,'HARGA SATUAN'!$C$7:$C$1492,0),0)))</f>
        <v>Bh</v>
      </c>
      <c r="F274" s="716">
        <f>F256*8</f>
        <v>8</v>
      </c>
      <c r="G274" s="358">
        <f ca="1">IF(ISERROR(OFFSET('HARGA SATUAN'!$I$6,MATCH(RAB!C274,'HARGA SATUAN'!$C$7:$C$1492,0),0)),0,OFFSET('HARGA SATUAN'!$I$6,MATCH(RAB!C274,'HARGA SATUAN'!$C$7:$C$1492,0),0))</f>
        <v>16000</v>
      </c>
      <c r="H274" s="359">
        <f t="shared" ca="1" si="36"/>
        <v>0</v>
      </c>
      <c r="I274" s="359">
        <f t="shared" ca="1" si="37"/>
        <v>128000</v>
      </c>
      <c r="J274" s="359">
        <f t="shared" ca="1" si="38"/>
        <v>0</v>
      </c>
      <c r="K274" s="360">
        <f t="shared" ca="1" si="39"/>
        <v>128000</v>
      </c>
      <c r="L274" s="367"/>
      <c r="M274" s="367"/>
      <c r="N274" s="367"/>
      <c r="O274" s="361"/>
      <c r="P274" s="361"/>
      <c r="Q274" s="344"/>
      <c r="R274" s="336"/>
      <c r="S274" s="362"/>
      <c r="T274" s="341"/>
      <c r="U274" s="341"/>
      <c r="V274" s="341"/>
    </row>
    <row r="275" spans="1:22" s="368" customFormat="1">
      <c r="A275" s="336"/>
      <c r="B275" s="696">
        <v>19</v>
      </c>
      <c r="C275" s="697" t="s">
        <v>265</v>
      </c>
      <c r="D275" s="356" t="str">
        <f ca="1">IF(ISERROR(OFFSET('HARGA SATUAN'!$D$6,MATCH(RAB!C275,'HARGA SATUAN'!$C$7:$C$1492,0),0)),"",OFFSET('HARGA SATUAN'!$D$6,MATCH(RAB!C275,'HARGA SATUAN'!$C$7:$C$1492,0),0))</f>
        <v>HDW</v>
      </c>
      <c r="E275" s="357" t="str">
        <f ca="1">IF(B275="+","Unit",IF(ISERROR(OFFSET('HARGA SATUAN'!$E$6,MATCH(RAB!C275,'HARGA SATUAN'!$C$7:$C$1492,0),0)),"",OFFSET('HARGA SATUAN'!$E$6,MATCH(RAB!C275,'HARGA SATUAN'!$C$7:$C$1492,0),0)))</f>
        <v>Bh</v>
      </c>
      <c r="F275" s="716">
        <f>F256*2</f>
        <v>2</v>
      </c>
      <c r="G275" s="358">
        <f ca="1">IF(ISERROR(OFFSET('HARGA SATUAN'!$I$6,MATCH(RAB!C275,'HARGA SATUAN'!$C$7:$C$1492,0),0)),0,OFFSET('HARGA SATUAN'!$I$6,MATCH(RAB!C275,'HARGA SATUAN'!$C$7:$C$1492,0),0))</f>
        <v>33501.866666666669</v>
      </c>
      <c r="H275" s="359">
        <f t="shared" ca="1" si="36"/>
        <v>0</v>
      </c>
      <c r="I275" s="359">
        <f t="shared" ca="1" si="37"/>
        <v>67003.733333333337</v>
      </c>
      <c r="J275" s="359">
        <f t="shared" ca="1" si="38"/>
        <v>0</v>
      </c>
      <c r="K275" s="360">
        <f t="shared" ca="1" si="39"/>
        <v>67003.733333333337</v>
      </c>
      <c r="L275" s="367"/>
      <c r="M275" s="367"/>
      <c r="N275" s="367"/>
      <c r="O275" s="361"/>
      <c r="P275" s="361"/>
      <c r="Q275" s="344"/>
      <c r="R275" s="336"/>
      <c r="S275" s="362"/>
      <c r="T275" s="341"/>
      <c r="U275" s="341"/>
      <c r="V275" s="341"/>
    </row>
    <row r="276" spans="1:22" s="368" customFormat="1">
      <c r="A276" s="336"/>
      <c r="B276" s="696">
        <v>20</v>
      </c>
      <c r="C276" s="697" t="s">
        <v>38</v>
      </c>
      <c r="D276" s="356" t="str">
        <f ca="1">IF(ISERROR(OFFSET('HARGA SATUAN'!$D$6,MATCH(RAB!C276,'HARGA SATUAN'!$C$7:$C$1492,0),0)),"",OFFSET('HARGA SATUAN'!$D$6,MATCH(RAB!C276,'HARGA SATUAN'!$C$7:$C$1492,0),0))</f>
        <v>HDW</v>
      </c>
      <c r="E276" s="357" t="str">
        <f ca="1">IF(B276="+","Unit",IF(ISERROR(OFFSET('HARGA SATUAN'!$E$6,MATCH(RAB!C276,'HARGA SATUAN'!$C$7:$C$1492,0),0)),"",OFFSET('HARGA SATUAN'!$E$6,MATCH(RAB!C276,'HARGA SATUAN'!$C$7:$C$1492,0),0)))</f>
        <v>Mtr</v>
      </c>
      <c r="F276" s="716">
        <f>5.4*F256</f>
        <v>5.4</v>
      </c>
      <c r="G276" s="358">
        <f ca="1">IF(ISERROR(OFFSET('HARGA SATUAN'!$I$6,MATCH(RAB!C276,'HARGA SATUAN'!$C$7:$C$1492,0),0)),0,OFFSET('HARGA SATUAN'!$I$6,MATCH(RAB!C276,'HARGA SATUAN'!$C$7:$C$1492,0),0))</f>
        <v>8550</v>
      </c>
      <c r="H276" s="359">
        <f t="shared" ca="1" si="36"/>
        <v>0</v>
      </c>
      <c r="I276" s="359">
        <f t="shared" ca="1" si="37"/>
        <v>46170</v>
      </c>
      <c r="J276" s="359">
        <f t="shared" ca="1" si="38"/>
        <v>0</v>
      </c>
      <c r="K276" s="360">
        <f t="shared" ca="1" si="39"/>
        <v>46170</v>
      </c>
      <c r="L276" s="367"/>
      <c r="M276" s="367"/>
      <c r="N276" s="367"/>
      <c r="O276" s="361"/>
      <c r="P276" s="361"/>
      <c r="Q276" s="344"/>
      <c r="R276" s="336"/>
      <c r="S276" s="362"/>
      <c r="T276" s="341"/>
      <c r="U276" s="341"/>
      <c r="V276" s="341"/>
    </row>
    <row r="277" spans="1:22" s="368" customFormat="1">
      <c r="A277" s="336"/>
      <c r="B277" s="696">
        <v>21</v>
      </c>
      <c r="C277" s="697" t="s">
        <v>26</v>
      </c>
      <c r="D277" s="356" t="str">
        <f ca="1">IF(ISERROR(OFFSET('HARGA SATUAN'!$D$6,MATCH(RAB!C277,'HARGA SATUAN'!$C$7:$C$1492,0),0)),"",OFFSET('HARGA SATUAN'!$D$6,MATCH(RAB!C277,'HARGA SATUAN'!$C$7:$C$1492,0),0))</f>
        <v>HDW</v>
      </c>
      <c r="E277" s="357" t="str">
        <f ca="1">IF(B277="+","Unit",IF(ISERROR(OFFSET('HARGA SATUAN'!$E$6,MATCH(RAB!C277,'HARGA SATUAN'!$C$7:$C$1492,0),0)),"",OFFSET('HARGA SATUAN'!$E$6,MATCH(RAB!C277,'HARGA SATUAN'!$C$7:$C$1492,0),0)))</f>
        <v>Bh</v>
      </c>
      <c r="F277" s="716">
        <f>F256*13</f>
        <v>13</v>
      </c>
      <c r="G277" s="358">
        <f ca="1">IF(ISERROR(OFFSET('HARGA SATUAN'!$I$6,MATCH(RAB!C277,'HARGA SATUAN'!$C$7:$C$1492,0),0)),0,OFFSET('HARGA SATUAN'!$I$6,MATCH(RAB!C277,'HARGA SATUAN'!$C$7:$C$1492,0),0))</f>
        <v>2500</v>
      </c>
      <c r="H277" s="359">
        <f t="shared" ca="1" si="36"/>
        <v>0</v>
      </c>
      <c r="I277" s="359">
        <f t="shared" ca="1" si="37"/>
        <v>32500</v>
      </c>
      <c r="J277" s="359">
        <f t="shared" ca="1" si="38"/>
        <v>0</v>
      </c>
      <c r="K277" s="360">
        <f t="shared" ca="1" si="39"/>
        <v>32500</v>
      </c>
      <c r="L277" s="367"/>
      <c r="M277" s="367"/>
      <c r="N277" s="367"/>
      <c r="O277" s="361"/>
      <c r="P277" s="361"/>
      <c r="Q277" s="344"/>
      <c r="R277" s="336"/>
      <c r="S277" s="362"/>
      <c r="T277" s="341"/>
      <c r="U277" s="341"/>
      <c r="V277" s="341"/>
    </row>
    <row r="278" spans="1:22" s="368" customFormat="1">
      <c r="A278" s="336"/>
      <c r="B278" s="696">
        <v>22</v>
      </c>
      <c r="C278" s="693" t="s">
        <v>708</v>
      </c>
      <c r="D278" s="356" t="str">
        <f ca="1">IF(ISERROR(OFFSET('HARGA SATUAN'!$D$6,MATCH(RAB!C278,'HARGA SATUAN'!$C$7:$C$1492,0),0)),"",OFFSET('HARGA SATUAN'!$D$6,MATCH(RAB!C278,'HARGA SATUAN'!$C$7:$C$1492,0),0))</f>
        <v>JASA</v>
      </c>
      <c r="E278" s="357" t="str">
        <f ca="1">IF(B278="+","Unit",IF(ISERROR(OFFSET('HARGA SATUAN'!$E$6,MATCH(RAB!C278,'HARGA SATUAN'!$C$7:$C$1492,0),0)),"",OFFSET('HARGA SATUAN'!$E$6,MATCH(RAB!C278,'HARGA SATUAN'!$C$7:$C$1492,0),0)))</f>
        <v>Unit</v>
      </c>
      <c r="F278" s="716">
        <f>F256*1</f>
        <v>1</v>
      </c>
      <c r="G278" s="358">
        <f ca="1">IF(ISERROR(OFFSET('HARGA SATUAN'!$I$6,MATCH(RAB!C278,'HARGA SATUAN'!$C$7:$C$1492,0),0)),0,OFFSET('HARGA SATUAN'!$I$6,MATCH(RAB!C278,'HARGA SATUAN'!$C$7:$C$1492,0),0))</f>
        <v>254900</v>
      </c>
      <c r="H278" s="359">
        <f t="shared" ca="1" si="36"/>
        <v>0</v>
      </c>
      <c r="I278" s="359">
        <f t="shared" ca="1" si="37"/>
        <v>0</v>
      </c>
      <c r="J278" s="359">
        <f t="shared" ca="1" si="38"/>
        <v>254900</v>
      </c>
      <c r="K278" s="360">
        <f t="shared" ca="1" si="39"/>
        <v>254900</v>
      </c>
      <c r="L278" s="367"/>
      <c r="M278" s="367"/>
      <c r="N278" s="367"/>
      <c r="O278" s="361"/>
      <c r="P278" s="361"/>
      <c r="Q278" s="344"/>
      <c r="R278" s="336"/>
      <c r="S278" s="362"/>
      <c r="T278" s="341"/>
      <c r="U278" s="341"/>
      <c r="V278" s="341"/>
    </row>
    <row r="279" spans="1:22" s="368" customFormat="1">
      <c r="A279" s="336"/>
      <c r="B279" s="692"/>
      <c r="C279" s="693"/>
      <c r="D279" s="356" t="str">
        <f ca="1">IF(ISERROR(OFFSET('HARGA SATUAN'!$D$6,MATCH(RAB!C279,'HARGA SATUAN'!$C$7:$C$1492,0),0)),"",OFFSET('HARGA SATUAN'!$D$6,MATCH(RAB!C279,'HARGA SATUAN'!$C$7:$C$1492,0),0))</f>
        <v/>
      </c>
      <c r="E279" s="357" t="str">
        <f ca="1">IF(B279="+","Unit",IF(ISERROR(OFFSET('HARGA SATUAN'!$E$6,MATCH(RAB!C279,'HARGA SATUAN'!$C$7:$C$1492,0),0)),"",OFFSET('HARGA SATUAN'!$E$6,MATCH(RAB!C279,'HARGA SATUAN'!$C$7:$C$1492,0),0)))</f>
        <v/>
      </c>
      <c r="F279" s="714"/>
      <c r="G279" s="358">
        <f ca="1">IF(ISERROR(OFFSET('HARGA SATUAN'!$I$6,MATCH(RAB!C279,'HARGA SATUAN'!$C$7:$C$1492,0),0)),0,OFFSET('HARGA SATUAN'!$I$6,MATCH(RAB!C279,'HARGA SATUAN'!$C$7:$C$1492,0),0))</f>
        <v>0</v>
      </c>
      <c r="H279" s="359">
        <f t="shared" ca="1" si="36"/>
        <v>0</v>
      </c>
      <c r="I279" s="359">
        <f t="shared" ca="1" si="37"/>
        <v>0</v>
      </c>
      <c r="J279" s="359">
        <f t="shared" ca="1" si="38"/>
        <v>0</v>
      </c>
      <c r="K279" s="360">
        <f t="shared" ca="1" si="39"/>
        <v>0</v>
      </c>
      <c r="L279" s="367"/>
      <c r="M279" s="367"/>
      <c r="N279" s="367"/>
      <c r="O279" s="361"/>
      <c r="P279" s="361"/>
      <c r="Q279" s="344"/>
      <c r="R279" s="336"/>
      <c r="S279" s="362"/>
      <c r="T279" s="341"/>
      <c r="U279" s="341"/>
      <c r="V279" s="341"/>
    </row>
    <row r="280" spans="1:22" s="368" customFormat="1">
      <c r="A280" s="336"/>
      <c r="B280" s="692" t="s">
        <v>1035</v>
      </c>
      <c r="C280" s="697" t="s">
        <v>1662</v>
      </c>
      <c r="D280" s="356" t="str">
        <f ca="1">IF(ISERROR(OFFSET('HARGA SATUAN'!$D$6,MATCH(RAB!C280,'HARGA SATUAN'!$C$7:$C$1492,0),0)),"",OFFSET('HARGA SATUAN'!$D$6,MATCH(RAB!C280,'HARGA SATUAN'!$C$7:$C$1492,0),0))</f>
        <v/>
      </c>
      <c r="E280" s="357" t="str">
        <f ca="1">IF(B280="+","Unit",IF(ISERROR(OFFSET('HARGA SATUAN'!$E$6,MATCH(RAB!C280,'HARGA SATUAN'!$C$7:$C$1492,0),0)),"",OFFSET('HARGA SATUAN'!$E$6,MATCH(RAB!C280,'HARGA SATUAN'!$C$7:$C$1492,0),0)))</f>
        <v>Unit</v>
      </c>
      <c r="F280" s="716">
        <v>1</v>
      </c>
      <c r="G280" s="358">
        <f ca="1">IF(ISERROR(OFFSET('HARGA SATUAN'!$I$6,MATCH(RAB!C280,'HARGA SATUAN'!$C$7:$C$1492,0),0)),0,OFFSET('HARGA SATUAN'!$I$6,MATCH(RAB!C280,'HARGA SATUAN'!$C$7:$C$1492,0),0))</f>
        <v>0</v>
      </c>
      <c r="H280" s="359">
        <f t="shared" ref="H280:H303" ca="1" si="40">IF(OR(D280="MDU",D280="MDU-KD"),(IF($O$3="RAB NON MDU","PLN KD",G280*F280)),0)</f>
        <v>0</v>
      </c>
      <c r="I280" s="359">
        <f t="shared" ref="I280:I303" ca="1" si="41">IF(D280="HDW",G280*F280,0)</f>
        <v>0</v>
      </c>
      <c r="J280" s="359">
        <f t="shared" ref="J280:J303" ca="1" si="42">IF(D280="JASA",G280*F280,0)</f>
        <v>0</v>
      </c>
      <c r="K280" s="360">
        <f t="shared" ref="K280:K303" ca="1" si="43">SUM(H280:J280)</f>
        <v>0</v>
      </c>
      <c r="L280" s="367"/>
      <c r="M280" s="367"/>
      <c r="N280" s="367"/>
      <c r="O280" s="361"/>
      <c r="P280" s="361"/>
      <c r="Q280" s="344"/>
      <c r="R280" s="336"/>
      <c r="S280" s="362"/>
      <c r="T280" s="341"/>
      <c r="U280" s="341"/>
      <c r="V280" s="341"/>
    </row>
    <row r="281" spans="1:22" s="368" customFormat="1">
      <c r="A281" s="336"/>
      <c r="B281" s="696">
        <v>1</v>
      </c>
      <c r="C281" s="109" t="s">
        <v>1564</v>
      </c>
      <c r="D281" s="356" t="str">
        <f ca="1">IF(ISERROR(OFFSET('HARGA SATUAN'!$D$6,MATCH(RAB!C281,'HARGA SATUAN'!$C$7:$C$1492,0),0)),"",OFFSET('HARGA SATUAN'!$D$6,MATCH(RAB!C281,'HARGA SATUAN'!$C$7:$C$1492,0),0))</f>
        <v>MDU-KD</v>
      </c>
      <c r="E281" s="357" t="str">
        <f ca="1">IF(B281="+","Unit",IF(ISERROR(OFFSET('HARGA SATUAN'!$E$6,MATCH(RAB!C281,'HARGA SATUAN'!$C$7:$C$1492,0),0)),"",OFFSET('HARGA SATUAN'!$E$6,MATCH(RAB!C281,'HARGA SATUAN'!$C$7:$C$1492,0),0)))</f>
        <v>Bh</v>
      </c>
      <c r="F281" s="716">
        <f>F280*1</f>
        <v>1</v>
      </c>
      <c r="G281" s="358">
        <f ca="1">IF(ISERROR(OFFSET('HARGA SATUAN'!$I$6,MATCH(RAB!C281,'HARGA SATUAN'!$C$7:$C$1492,0),0)),0,OFFSET('HARGA SATUAN'!$I$6,MATCH(RAB!C281,'HARGA SATUAN'!$C$7:$C$1492,0),0))</f>
        <v>235900</v>
      </c>
      <c r="H281" s="359">
        <f t="shared" ca="1" si="40"/>
        <v>235900</v>
      </c>
      <c r="I281" s="359">
        <f t="shared" ca="1" si="41"/>
        <v>0</v>
      </c>
      <c r="J281" s="359">
        <f t="shared" ca="1" si="42"/>
        <v>0</v>
      </c>
      <c r="K281" s="360">
        <f t="shared" ca="1" si="43"/>
        <v>235900</v>
      </c>
      <c r="L281" s="367"/>
      <c r="M281" s="367"/>
      <c r="N281" s="367"/>
      <c r="O281" s="361"/>
      <c r="P281" s="361"/>
      <c r="Q281" s="344"/>
      <c r="R281" s="336"/>
      <c r="S281" s="362"/>
      <c r="T281" s="341"/>
      <c r="U281" s="341"/>
      <c r="V281" s="341"/>
    </row>
    <row r="282" spans="1:22" s="368" customFormat="1">
      <c r="A282" s="336"/>
      <c r="B282" s="696">
        <v>2</v>
      </c>
      <c r="C282" s="109" t="s">
        <v>1564</v>
      </c>
      <c r="D282" s="356" t="str">
        <f ca="1">IF(ISERROR(OFFSET('HARGA SATUAN'!$D$6,MATCH(RAB!C282,'HARGA SATUAN'!$C$7:$C$1492,0),0)),"",OFFSET('HARGA SATUAN'!$D$6,MATCH(RAB!C282,'HARGA SATUAN'!$C$7:$C$1492,0),0))</f>
        <v>MDU-KD</v>
      </c>
      <c r="E282" s="357" t="str">
        <f ca="1">IF(B282="+","Unit",IF(ISERROR(OFFSET('HARGA SATUAN'!$E$6,MATCH(RAB!C282,'HARGA SATUAN'!$C$7:$C$1492,0),0)),"",OFFSET('HARGA SATUAN'!$E$6,MATCH(RAB!C282,'HARGA SATUAN'!$C$7:$C$1492,0),0)))</f>
        <v>Bh</v>
      </c>
      <c r="F282" s="716">
        <f>F280*1</f>
        <v>1</v>
      </c>
      <c r="G282" s="358">
        <f ca="1">IF(ISERROR(OFFSET('HARGA SATUAN'!$I$6,MATCH(RAB!C282,'HARGA SATUAN'!$C$7:$C$1492,0),0)),0,OFFSET('HARGA SATUAN'!$I$6,MATCH(RAB!C282,'HARGA SATUAN'!$C$7:$C$1492,0),0))</f>
        <v>235900</v>
      </c>
      <c r="H282" s="359">
        <f t="shared" ca="1" si="40"/>
        <v>235900</v>
      </c>
      <c r="I282" s="359">
        <f t="shared" ca="1" si="41"/>
        <v>0</v>
      </c>
      <c r="J282" s="359">
        <f t="shared" ca="1" si="42"/>
        <v>0</v>
      </c>
      <c r="K282" s="360">
        <f t="shared" ca="1" si="43"/>
        <v>235900</v>
      </c>
      <c r="L282" s="367"/>
      <c r="M282" s="367"/>
      <c r="N282" s="367"/>
      <c r="O282" s="361"/>
      <c r="P282" s="361"/>
      <c r="Q282" s="344"/>
      <c r="R282" s="336"/>
      <c r="S282" s="362"/>
      <c r="T282" s="341"/>
      <c r="U282" s="341"/>
      <c r="V282" s="341"/>
    </row>
    <row r="283" spans="1:22" s="368" customFormat="1">
      <c r="A283" s="336"/>
      <c r="B283" s="696">
        <v>3</v>
      </c>
      <c r="C283" s="109" t="s">
        <v>1565</v>
      </c>
      <c r="D283" s="356" t="str">
        <f ca="1">IF(ISERROR(OFFSET('HARGA SATUAN'!$D$6,MATCH(RAB!C283,'HARGA SATUAN'!$C$7:$C$1492,0),0)),"",OFFSET('HARGA SATUAN'!$D$6,MATCH(RAB!C283,'HARGA SATUAN'!$C$7:$C$1492,0),0))</f>
        <v>MDU-KD</v>
      </c>
      <c r="E283" s="357" t="str">
        <f ca="1">IF(B283="+","Unit",IF(ISERROR(OFFSET('HARGA SATUAN'!$E$6,MATCH(RAB!C283,'HARGA SATUAN'!$C$7:$C$1492,0),0)),"",OFFSET('HARGA SATUAN'!$E$6,MATCH(RAB!C283,'HARGA SATUAN'!$C$7:$C$1492,0),0)))</f>
        <v>Set</v>
      </c>
      <c r="F283" s="716">
        <f>F280*6</f>
        <v>6</v>
      </c>
      <c r="G283" s="358">
        <f ca="1">IF(ISERROR(OFFSET('HARGA SATUAN'!$I$6,MATCH(RAB!C283,'HARGA SATUAN'!$C$7:$C$1492,0),0)),0,OFFSET('HARGA SATUAN'!$I$6,MATCH(RAB!C283,'HARGA SATUAN'!$C$7:$C$1492,0),0))</f>
        <v>430000</v>
      </c>
      <c r="H283" s="359">
        <f t="shared" ca="1" si="40"/>
        <v>2580000</v>
      </c>
      <c r="I283" s="359">
        <f t="shared" ca="1" si="41"/>
        <v>0</v>
      </c>
      <c r="J283" s="359">
        <f t="shared" ca="1" si="42"/>
        <v>0</v>
      </c>
      <c r="K283" s="360">
        <f t="shared" ca="1" si="43"/>
        <v>2580000</v>
      </c>
      <c r="L283" s="367"/>
      <c r="M283" s="367"/>
      <c r="N283" s="367"/>
      <c r="O283" s="361"/>
      <c r="P283" s="361"/>
      <c r="Q283" s="344"/>
      <c r="R283" s="336"/>
      <c r="S283" s="362"/>
      <c r="T283" s="341"/>
      <c r="U283" s="341"/>
      <c r="V283" s="341"/>
    </row>
    <row r="284" spans="1:22" s="368" customFormat="1">
      <c r="A284" s="336"/>
      <c r="B284" s="696">
        <v>4</v>
      </c>
      <c r="C284" s="697" t="s">
        <v>152</v>
      </c>
      <c r="D284" s="356" t="str">
        <f ca="1">IF(ISERROR(OFFSET('HARGA SATUAN'!$D$6,MATCH(RAB!C284,'HARGA SATUAN'!$C$7:$C$1492,0),0)),"",OFFSET('HARGA SATUAN'!$D$6,MATCH(RAB!C284,'HARGA SATUAN'!$C$7:$C$1492,0),0))</f>
        <v>HDW</v>
      </c>
      <c r="E284" s="357" t="str">
        <f ca="1">IF(B284="+","Unit",IF(ISERROR(OFFSET('HARGA SATUAN'!$E$6,MATCH(RAB!C284,'HARGA SATUAN'!$C$7:$C$1492,0),0)),"",OFFSET('HARGA SATUAN'!$E$6,MATCH(RAB!C284,'HARGA SATUAN'!$C$7:$C$1492,0),0)))</f>
        <v>Mtr</v>
      </c>
      <c r="F284" s="716">
        <f>F280*2</f>
        <v>2</v>
      </c>
      <c r="G284" s="358">
        <f ca="1">IF(ISERROR(OFFSET('HARGA SATUAN'!$I$6,MATCH(RAB!C284,'HARGA SATUAN'!$C$7:$C$1492,0),0)),0,OFFSET('HARGA SATUAN'!$I$6,MATCH(RAB!C284,'HARGA SATUAN'!$C$7:$C$1492,0),0))</f>
        <v>7789</v>
      </c>
      <c r="H284" s="359">
        <f t="shared" ca="1" si="40"/>
        <v>0</v>
      </c>
      <c r="I284" s="359">
        <f t="shared" ca="1" si="41"/>
        <v>15578</v>
      </c>
      <c r="J284" s="359">
        <f t="shared" ca="1" si="42"/>
        <v>0</v>
      </c>
      <c r="K284" s="360">
        <f t="shared" ca="1" si="43"/>
        <v>15578</v>
      </c>
      <c r="L284" s="367"/>
      <c r="M284" s="367"/>
      <c r="N284" s="367"/>
      <c r="O284" s="361"/>
      <c r="P284" s="361"/>
      <c r="Q284" s="344"/>
      <c r="R284" s="336"/>
      <c r="S284" s="362"/>
      <c r="T284" s="341"/>
      <c r="U284" s="341"/>
      <c r="V284" s="341"/>
    </row>
    <row r="285" spans="1:22" s="368" customFormat="1">
      <c r="A285" s="336"/>
      <c r="B285" s="696">
        <v>5</v>
      </c>
      <c r="C285" s="697" t="s">
        <v>157</v>
      </c>
      <c r="D285" s="356" t="str">
        <f ca="1">IF(ISERROR(OFFSET('HARGA SATUAN'!$D$6,MATCH(RAB!C285,'HARGA SATUAN'!$C$7:$C$1492,0),0)),"",OFFSET('HARGA SATUAN'!$D$6,MATCH(RAB!C285,'HARGA SATUAN'!$C$7:$C$1492,0),0))</f>
        <v>HDW</v>
      </c>
      <c r="E285" s="357" t="str">
        <f ca="1">IF(B285="+","Unit",IF(ISERROR(OFFSET('HARGA SATUAN'!$E$6,MATCH(RAB!C285,'HARGA SATUAN'!$C$7:$C$1492,0),0)),"",OFFSET('HARGA SATUAN'!$E$6,MATCH(RAB!C285,'HARGA SATUAN'!$C$7:$C$1492,0),0)))</f>
        <v>Bh</v>
      </c>
      <c r="F285" s="716">
        <f>F280*4</f>
        <v>4</v>
      </c>
      <c r="G285" s="358">
        <f ca="1">IF(ISERROR(OFFSET('HARGA SATUAN'!$I$6,MATCH(RAB!C285,'HARGA SATUAN'!$C$7:$C$1492,0),0)),0,OFFSET('HARGA SATUAN'!$I$6,MATCH(RAB!C285,'HARGA SATUAN'!$C$7:$C$1492,0),0))</f>
        <v>40000</v>
      </c>
      <c r="H285" s="359">
        <f t="shared" ca="1" si="40"/>
        <v>0</v>
      </c>
      <c r="I285" s="359">
        <f t="shared" ca="1" si="41"/>
        <v>160000</v>
      </c>
      <c r="J285" s="359">
        <f t="shared" ca="1" si="42"/>
        <v>0</v>
      </c>
      <c r="K285" s="360">
        <f t="shared" ca="1" si="43"/>
        <v>160000</v>
      </c>
      <c r="L285" s="367"/>
      <c r="M285" s="367"/>
      <c r="N285" s="367"/>
      <c r="O285" s="361"/>
      <c r="P285" s="361"/>
      <c r="Q285" s="344"/>
      <c r="R285" s="336"/>
      <c r="S285" s="362"/>
      <c r="T285" s="341"/>
      <c r="U285" s="341"/>
      <c r="V285" s="341"/>
    </row>
    <row r="286" spans="1:22" s="368" customFormat="1">
      <c r="A286" s="336"/>
      <c r="B286" s="696">
        <v>6</v>
      </c>
      <c r="C286" s="697" t="s">
        <v>163</v>
      </c>
      <c r="D286" s="356" t="str">
        <f ca="1">IF(ISERROR(OFFSET('HARGA SATUAN'!$D$6,MATCH(RAB!C286,'HARGA SATUAN'!$C$7:$C$1492,0),0)),"",OFFSET('HARGA SATUAN'!$D$6,MATCH(RAB!C286,'HARGA SATUAN'!$C$7:$C$1492,0),0))</f>
        <v>HDW</v>
      </c>
      <c r="E286" s="357" t="str">
        <f ca="1">IF(B286="+","Unit",IF(ISERROR(OFFSET('HARGA SATUAN'!$E$6,MATCH(RAB!C286,'HARGA SATUAN'!$C$7:$C$1492,0),0)),"",OFFSET('HARGA SATUAN'!$E$6,MATCH(RAB!C286,'HARGA SATUAN'!$C$7:$C$1492,0),0)))</f>
        <v>Bh</v>
      </c>
      <c r="F286" s="716">
        <f>F280*8</f>
        <v>8</v>
      </c>
      <c r="G286" s="358">
        <f ca="1">IF(ISERROR(OFFSET('HARGA SATUAN'!$I$6,MATCH(RAB!C286,'HARGA SATUAN'!$C$7:$C$1492,0),0)),0,OFFSET('HARGA SATUAN'!$I$6,MATCH(RAB!C286,'HARGA SATUAN'!$C$7:$C$1492,0),0))</f>
        <v>7938</v>
      </c>
      <c r="H286" s="359">
        <f t="shared" ca="1" si="40"/>
        <v>0</v>
      </c>
      <c r="I286" s="359">
        <f t="shared" ca="1" si="41"/>
        <v>63504</v>
      </c>
      <c r="J286" s="359">
        <f t="shared" ca="1" si="42"/>
        <v>0</v>
      </c>
      <c r="K286" s="360">
        <f t="shared" ca="1" si="43"/>
        <v>63504</v>
      </c>
      <c r="L286" s="367"/>
      <c r="M286" s="367"/>
      <c r="N286" s="367"/>
      <c r="O286" s="361"/>
      <c r="P286" s="361"/>
      <c r="Q286" s="344"/>
      <c r="R286" s="336"/>
      <c r="S286" s="362"/>
      <c r="T286" s="341"/>
      <c r="U286" s="341"/>
      <c r="V286" s="341"/>
    </row>
    <row r="287" spans="1:22" s="368" customFormat="1">
      <c r="A287" s="336"/>
      <c r="B287" s="696">
        <v>7</v>
      </c>
      <c r="C287" s="697" t="s">
        <v>28</v>
      </c>
      <c r="D287" s="356" t="str">
        <f ca="1">IF(ISERROR(OFFSET('HARGA SATUAN'!$D$6,MATCH(RAB!C287,'HARGA SATUAN'!$C$7:$C$1492,0),0)),"",OFFSET('HARGA SATUAN'!$D$6,MATCH(RAB!C287,'HARGA SATUAN'!$C$7:$C$1492,0),0))</f>
        <v>HDW</v>
      </c>
      <c r="E287" s="357" t="str">
        <f ca="1">IF(B287="+","Unit",IF(ISERROR(OFFSET('HARGA SATUAN'!$E$6,MATCH(RAB!C287,'HARGA SATUAN'!$C$7:$C$1492,0),0)),"",OFFSET('HARGA SATUAN'!$E$6,MATCH(RAB!C287,'HARGA SATUAN'!$C$7:$C$1492,0),0)))</f>
        <v>Bh</v>
      </c>
      <c r="F287" s="716">
        <f>F280*1</f>
        <v>1</v>
      </c>
      <c r="G287" s="358">
        <f ca="1">IF(ISERROR(OFFSET('HARGA SATUAN'!$I$6,MATCH(RAB!C287,'HARGA SATUAN'!$C$7:$C$1492,0),0)),0,OFFSET('HARGA SATUAN'!$I$6,MATCH(RAB!C287,'HARGA SATUAN'!$C$7:$C$1492,0),0))</f>
        <v>26500</v>
      </c>
      <c r="H287" s="359">
        <f t="shared" ca="1" si="40"/>
        <v>0</v>
      </c>
      <c r="I287" s="359">
        <f t="shared" ca="1" si="41"/>
        <v>26500</v>
      </c>
      <c r="J287" s="359">
        <f t="shared" ca="1" si="42"/>
        <v>0</v>
      </c>
      <c r="K287" s="360">
        <f t="shared" ca="1" si="43"/>
        <v>26500</v>
      </c>
      <c r="L287" s="367"/>
      <c r="M287" s="367"/>
      <c r="N287" s="367"/>
      <c r="O287" s="361"/>
      <c r="P287" s="361"/>
      <c r="Q287" s="344"/>
      <c r="R287" s="336"/>
      <c r="S287" s="362"/>
      <c r="T287" s="341"/>
      <c r="U287" s="341"/>
      <c r="V287" s="341"/>
    </row>
    <row r="288" spans="1:22" s="368" customFormat="1">
      <c r="A288" s="336"/>
      <c r="B288" s="696">
        <v>8</v>
      </c>
      <c r="C288" s="697" t="s">
        <v>173</v>
      </c>
      <c r="D288" s="356" t="str">
        <f ca="1">IF(ISERROR(OFFSET('HARGA SATUAN'!$D$6,MATCH(RAB!C288,'HARGA SATUAN'!$C$7:$C$1492,0),0)),"",OFFSET('HARGA SATUAN'!$D$6,MATCH(RAB!C288,'HARGA SATUAN'!$C$7:$C$1492,0),0))</f>
        <v>HDW</v>
      </c>
      <c r="E288" s="357" t="str">
        <f ca="1">IF(B288="+","Unit",IF(ISERROR(OFFSET('HARGA SATUAN'!$E$6,MATCH(RAB!C288,'HARGA SATUAN'!$C$7:$C$1492,0),0)),"",OFFSET('HARGA SATUAN'!$E$6,MATCH(RAB!C288,'HARGA SATUAN'!$C$7:$C$1492,0),0)))</f>
        <v>Bh</v>
      </c>
      <c r="F288" s="716">
        <f>F280*8</f>
        <v>8</v>
      </c>
      <c r="G288" s="358">
        <f ca="1">IF(ISERROR(OFFSET('HARGA SATUAN'!$I$6,MATCH(RAB!C288,'HARGA SATUAN'!$C$7:$C$1492,0),0)),0,OFFSET('HARGA SATUAN'!$I$6,MATCH(RAB!C288,'HARGA SATUAN'!$C$7:$C$1492,0),0))</f>
        <v>45000</v>
      </c>
      <c r="H288" s="359">
        <f t="shared" ca="1" si="40"/>
        <v>0</v>
      </c>
      <c r="I288" s="359">
        <f t="shared" ca="1" si="41"/>
        <v>360000</v>
      </c>
      <c r="J288" s="359">
        <f t="shared" ca="1" si="42"/>
        <v>0</v>
      </c>
      <c r="K288" s="360">
        <f t="shared" ca="1" si="43"/>
        <v>360000</v>
      </c>
      <c r="L288" s="367"/>
      <c r="M288" s="367"/>
      <c r="N288" s="367"/>
      <c r="O288" s="361"/>
      <c r="P288" s="361"/>
      <c r="Q288" s="344"/>
      <c r="R288" s="336"/>
      <c r="S288" s="362"/>
      <c r="T288" s="341"/>
      <c r="U288" s="341"/>
      <c r="V288" s="341"/>
    </row>
    <row r="289" spans="1:22" s="368" customFormat="1">
      <c r="A289" s="336"/>
      <c r="B289" s="696">
        <v>9</v>
      </c>
      <c r="C289" s="697" t="s">
        <v>179</v>
      </c>
      <c r="D289" s="356" t="str">
        <f ca="1">IF(ISERROR(OFFSET('HARGA SATUAN'!$D$6,MATCH(RAB!C289,'HARGA SATUAN'!$C$7:$C$1492,0),0)),"",OFFSET('HARGA SATUAN'!$D$6,MATCH(RAB!C289,'HARGA SATUAN'!$C$7:$C$1492,0),0))</f>
        <v>HDW</v>
      </c>
      <c r="E289" s="357" t="str">
        <f ca="1">IF(B289="+","Unit",IF(ISERROR(OFFSET('HARGA SATUAN'!$E$6,MATCH(RAB!C289,'HARGA SATUAN'!$C$7:$C$1492,0),0)),"",OFFSET('HARGA SATUAN'!$E$6,MATCH(RAB!C289,'HARGA SATUAN'!$C$7:$C$1492,0),0)))</f>
        <v>Bh</v>
      </c>
      <c r="F289" s="716">
        <f>F280*2</f>
        <v>2</v>
      </c>
      <c r="G289" s="358">
        <f ca="1">IF(ISERROR(OFFSET('HARGA SATUAN'!$I$6,MATCH(RAB!C289,'HARGA SATUAN'!$C$7:$C$1492,0),0)),0,OFFSET('HARGA SATUAN'!$I$6,MATCH(RAB!C289,'HARGA SATUAN'!$C$7:$C$1492,0),0))</f>
        <v>15500</v>
      </c>
      <c r="H289" s="359">
        <f t="shared" ca="1" si="40"/>
        <v>0</v>
      </c>
      <c r="I289" s="359">
        <f t="shared" ca="1" si="41"/>
        <v>31000</v>
      </c>
      <c r="J289" s="359">
        <f t="shared" ca="1" si="42"/>
        <v>0</v>
      </c>
      <c r="K289" s="360">
        <f t="shared" ca="1" si="43"/>
        <v>31000</v>
      </c>
      <c r="L289" s="367"/>
      <c r="M289" s="367"/>
      <c r="N289" s="367"/>
      <c r="O289" s="361"/>
      <c r="P289" s="361"/>
      <c r="Q289" s="344"/>
      <c r="R289" s="336"/>
      <c r="S289" s="362"/>
      <c r="T289" s="341"/>
      <c r="U289" s="341"/>
      <c r="V289" s="341"/>
    </row>
    <row r="290" spans="1:22" s="368" customFormat="1">
      <c r="A290" s="336"/>
      <c r="B290" s="696">
        <v>10</v>
      </c>
      <c r="C290" s="697" t="s">
        <v>181</v>
      </c>
      <c r="D290" s="356" t="str">
        <f ca="1">IF(ISERROR(OFFSET('HARGA SATUAN'!$D$6,MATCH(RAB!C290,'HARGA SATUAN'!$C$7:$C$1492,0),0)),"",OFFSET('HARGA SATUAN'!$D$6,MATCH(RAB!C290,'HARGA SATUAN'!$C$7:$C$1492,0),0))</f>
        <v>HDW</v>
      </c>
      <c r="E290" s="357" t="str">
        <f ca="1">IF(B290="+","Unit",IF(ISERROR(OFFSET('HARGA SATUAN'!$E$6,MATCH(RAB!C290,'HARGA SATUAN'!$C$7:$C$1492,0),0)),"",OFFSET('HARGA SATUAN'!$E$6,MATCH(RAB!C290,'HARGA SATUAN'!$C$7:$C$1492,0),0)))</f>
        <v>Bh</v>
      </c>
      <c r="F290" s="716">
        <f>F280*4</f>
        <v>4</v>
      </c>
      <c r="G290" s="358">
        <f ca="1">IF(ISERROR(OFFSET('HARGA SATUAN'!$I$6,MATCH(RAB!C290,'HARGA SATUAN'!$C$7:$C$1492,0),0)),0,OFFSET('HARGA SATUAN'!$I$6,MATCH(RAB!C290,'HARGA SATUAN'!$C$7:$C$1492,0),0))</f>
        <v>28100</v>
      </c>
      <c r="H290" s="359">
        <f t="shared" ca="1" si="40"/>
        <v>0</v>
      </c>
      <c r="I290" s="359">
        <f t="shared" ca="1" si="41"/>
        <v>112400</v>
      </c>
      <c r="J290" s="359">
        <f t="shared" ca="1" si="42"/>
        <v>0</v>
      </c>
      <c r="K290" s="360">
        <f t="shared" ca="1" si="43"/>
        <v>112400</v>
      </c>
      <c r="L290" s="367"/>
      <c r="M290" s="367"/>
      <c r="N290" s="367"/>
      <c r="O290" s="361"/>
      <c r="P290" s="361"/>
      <c r="Q290" s="344"/>
      <c r="R290" s="336"/>
      <c r="S290" s="362"/>
      <c r="T290" s="341"/>
      <c r="U290" s="341"/>
      <c r="V290" s="341"/>
    </row>
    <row r="291" spans="1:22" s="368" customFormat="1">
      <c r="A291" s="336"/>
      <c r="B291" s="696">
        <v>11</v>
      </c>
      <c r="C291" s="697" t="s">
        <v>593</v>
      </c>
      <c r="D291" s="356" t="str">
        <f ca="1">IF(ISERROR(OFFSET('HARGA SATUAN'!$D$6,MATCH(RAB!C291,'HARGA SATUAN'!$C$7:$C$1492,0),0)),"",OFFSET('HARGA SATUAN'!$D$6,MATCH(RAB!C291,'HARGA SATUAN'!$C$7:$C$1492,0),0))</f>
        <v>HDW</v>
      </c>
      <c r="E291" s="357" t="str">
        <f ca="1">IF(B291="+","Unit",IF(ISERROR(OFFSET('HARGA SATUAN'!$E$6,MATCH(RAB!C291,'HARGA SATUAN'!$C$7:$C$1492,0),0)),"",OFFSET('HARGA SATUAN'!$E$6,MATCH(RAB!C291,'HARGA SATUAN'!$C$7:$C$1492,0),0)))</f>
        <v>Bh</v>
      </c>
      <c r="F291" s="716">
        <f>F280*4</f>
        <v>4</v>
      </c>
      <c r="G291" s="358">
        <f ca="1">IF(ISERROR(OFFSET('HARGA SATUAN'!$I$6,MATCH(RAB!C291,'HARGA SATUAN'!$C$7:$C$1492,0),0)),0,OFFSET('HARGA SATUAN'!$I$6,MATCH(RAB!C291,'HARGA SATUAN'!$C$7:$C$1492,0),0))</f>
        <v>380500</v>
      </c>
      <c r="H291" s="359">
        <f t="shared" ca="1" si="40"/>
        <v>0</v>
      </c>
      <c r="I291" s="359">
        <f t="shared" ca="1" si="41"/>
        <v>1522000</v>
      </c>
      <c r="J291" s="359">
        <f t="shared" ca="1" si="42"/>
        <v>0</v>
      </c>
      <c r="K291" s="360">
        <f t="shared" ca="1" si="43"/>
        <v>1522000</v>
      </c>
      <c r="L291" s="367"/>
      <c r="M291" s="367"/>
      <c r="N291" s="367"/>
      <c r="O291" s="361"/>
      <c r="P291" s="361"/>
      <c r="Q291" s="344"/>
      <c r="R291" s="336"/>
      <c r="S291" s="362"/>
      <c r="T291" s="341"/>
      <c r="U291" s="341"/>
      <c r="V291" s="341"/>
    </row>
    <row r="292" spans="1:22" s="368" customFormat="1">
      <c r="A292" s="336"/>
      <c r="B292" s="696">
        <v>12</v>
      </c>
      <c r="C292" s="697" t="s">
        <v>218</v>
      </c>
      <c r="D292" s="356" t="str">
        <f ca="1">IF(ISERROR(OFFSET('HARGA SATUAN'!$D$6,MATCH(RAB!C292,'HARGA SATUAN'!$C$7:$C$1492,0),0)),"",OFFSET('HARGA SATUAN'!$D$6,MATCH(RAB!C292,'HARGA SATUAN'!$C$7:$C$1492,0),0))</f>
        <v>HDW</v>
      </c>
      <c r="E292" s="357" t="str">
        <f ca="1">IF(B292="+","Unit",IF(ISERROR(OFFSET('HARGA SATUAN'!$E$6,MATCH(RAB!C292,'HARGA SATUAN'!$C$7:$C$1492,0),0)),"",OFFSET('HARGA SATUAN'!$E$6,MATCH(RAB!C292,'HARGA SATUAN'!$C$7:$C$1492,0),0)))</f>
        <v>Bh</v>
      </c>
      <c r="F292" s="716">
        <f>F280*4</f>
        <v>4</v>
      </c>
      <c r="G292" s="358">
        <f ca="1">IF(ISERROR(OFFSET('HARGA SATUAN'!$I$6,MATCH(RAB!C292,'HARGA SATUAN'!$C$7:$C$1492,0),0)),0,OFFSET('HARGA SATUAN'!$I$6,MATCH(RAB!C292,'HARGA SATUAN'!$C$7:$C$1492,0),0))</f>
        <v>29600</v>
      </c>
      <c r="H292" s="359">
        <f t="shared" ca="1" si="40"/>
        <v>0</v>
      </c>
      <c r="I292" s="359">
        <f t="shared" ca="1" si="41"/>
        <v>118400</v>
      </c>
      <c r="J292" s="359">
        <f t="shared" ca="1" si="42"/>
        <v>0</v>
      </c>
      <c r="K292" s="360">
        <f t="shared" ca="1" si="43"/>
        <v>118400</v>
      </c>
      <c r="L292" s="367"/>
      <c r="M292" s="367"/>
      <c r="N292" s="367"/>
      <c r="O292" s="361"/>
      <c r="P292" s="361"/>
      <c r="Q292" s="344"/>
      <c r="R292" s="336"/>
      <c r="S292" s="362"/>
      <c r="T292" s="341"/>
      <c r="U292" s="341"/>
      <c r="V292" s="341"/>
    </row>
    <row r="293" spans="1:22" s="368" customFormat="1">
      <c r="A293" s="336"/>
      <c r="B293" s="696">
        <v>13</v>
      </c>
      <c r="C293" s="697" t="s">
        <v>217</v>
      </c>
      <c r="D293" s="356" t="str">
        <f ca="1">IF(ISERROR(OFFSET('HARGA SATUAN'!$D$6,MATCH(RAB!C293,'HARGA SATUAN'!$C$7:$C$1492,0),0)),"",OFFSET('HARGA SATUAN'!$D$6,MATCH(RAB!C293,'HARGA SATUAN'!$C$7:$C$1492,0),0))</f>
        <v>HDW</v>
      </c>
      <c r="E293" s="357" t="str">
        <f ca="1">IF(B293="+","Unit",IF(ISERROR(OFFSET('HARGA SATUAN'!$E$6,MATCH(RAB!C293,'HARGA SATUAN'!$C$7:$C$1492,0),0)),"",OFFSET('HARGA SATUAN'!$E$6,MATCH(RAB!C293,'HARGA SATUAN'!$C$7:$C$1492,0),0)))</f>
        <v>Bh</v>
      </c>
      <c r="F293" s="716">
        <f>F280*9</f>
        <v>9</v>
      </c>
      <c r="G293" s="358">
        <f ca="1">IF(ISERROR(OFFSET('HARGA SATUAN'!$I$6,MATCH(RAB!C293,'HARGA SATUAN'!$C$7:$C$1492,0),0)),0,OFFSET('HARGA SATUAN'!$I$6,MATCH(RAB!C293,'HARGA SATUAN'!$C$7:$C$1492,0),0))</f>
        <v>11400</v>
      </c>
      <c r="H293" s="359">
        <f t="shared" ca="1" si="40"/>
        <v>0</v>
      </c>
      <c r="I293" s="359">
        <f t="shared" ca="1" si="41"/>
        <v>102600</v>
      </c>
      <c r="J293" s="359">
        <f t="shared" ca="1" si="42"/>
        <v>0</v>
      </c>
      <c r="K293" s="360">
        <f t="shared" ca="1" si="43"/>
        <v>102600</v>
      </c>
      <c r="L293" s="367"/>
      <c r="M293" s="367"/>
      <c r="N293" s="367"/>
      <c r="O293" s="361"/>
      <c r="P293" s="361"/>
      <c r="Q293" s="344"/>
      <c r="R293" s="336"/>
      <c r="S293" s="362"/>
      <c r="T293" s="341"/>
      <c r="U293" s="341"/>
      <c r="V293" s="341"/>
    </row>
    <row r="294" spans="1:22" s="368" customFormat="1">
      <c r="A294" s="336"/>
      <c r="B294" s="696">
        <v>14</v>
      </c>
      <c r="C294" s="697" t="s">
        <v>223</v>
      </c>
      <c r="D294" s="356" t="str">
        <f ca="1">IF(ISERROR(OFFSET('HARGA SATUAN'!$D$6,MATCH(RAB!C294,'HARGA SATUAN'!$C$7:$C$1492,0),0)),"",OFFSET('HARGA SATUAN'!$D$6,MATCH(RAB!C294,'HARGA SATUAN'!$C$7:$C$1492,0),0))</f>
        <v>HDW</v>
      </c>
      <c r="E294" s="357" t="str">
        <f ca="1">IF(B294="+","Unit",IF(ISERROR(OFFSET('HARGA SATUAN'!$E$6,MATCH(RAB!C294,'HARGA SATUAN'!$C$7:$C$1492,0),0)),"",OFFSET('HARGA SATUAN'!$E$6,MATCH(RAB!C294,'HARGA SATUAN'!$C$7:$C$1492,0),0)))</f>
        <v>Bh</v>
      </c>
      <c r="F294" s="716">
        <f>F280*2</f>
        <v>2</v>
      </c>
      <c r="G294" s="358">
        <f ca="1">IF(ISERROR(OFFSET('HARGA SATUAN'!$I$6,MATCH(RAB!C294,'HARGA SATUAN'!$C$7:$C$1492,0),0)),0,OFFSET('HARGA SATUAN'!$I$6,MATCH(RAB!C294,'HARGA SATUAN'!$C$7:$C$1492,0),0))</f>
        <v>27815</v>
      </c>
      <c r="H294" s="359">
        <f t="shared" ca="1" si="40"/>
        <v>0</v>
      </c>
      <c r="I294" s="359">
        <f t="shared" ca="1" si="41"/>
        <v>55630</v>
      </c>
      <c r="J294" s="359">
        <f t="shared" ca="1" si="42"/>
        <v>0</v>
      </c>
      <c r="K294" s="360">
        <f t="shared" ca="1" si="43"/>
        <v>55630</v>
      </c>
      <c r="L294" s="367"/>
      <c r="M294" s="367"/>
      <c r="N294" s="367"/>
      <c r="O294" s="361"/>
      <c r="P294" s="361"/>
      <c r="Q294" s="344"/>
      <c r="R294" s="336"/>
      <c r="S294" s="362"/>
      <c r="T294" s="341"/>
      <c r="U294" s="341"/>
      <c r="V294" s="341"/>
    </row>
    <row r="295" spans="1:22" s="368" customFormat="1">
      <c r="A295" s="336"/>
      <c r="B295" s="696">
        <v>15</v>
      </c>
      <c r="C295" s="697" t="s">
        <v>25</v>
      </c>
      <c r="D295" s="356" t="str">
        <f ca="1">IF(ISERROR(OFFSET('HARGA SATUAN'!$D$6,MATCH(RAB!C295,'HARGA SATUAN'!$C$7:$C$1492,0),0)),"",OFFSET('HARGA SATUAN'!$D$6,MATCH(RAB!C295,'HARGA SATUAN'!$C$7:$C$1492,0),0))</f>
        <v>HDW</v>
      </c>
      <c r="E295" s="357" t="str">
        <f ca="1">IF(B295="+","Unit",IF(ISERROR(OFFSET('HARGA SATUAN'!$E$6,MATCH(RAB!C295,'HARGA SATUAN'!$C$7:$C$1492,0),0)),"",OFFSET('HARGA SATUAN'!$E$6,MATCH(RAB!C295,'HARGA SATUAN'!$C$7:$C$1492,0),0)))</f>
        <v>Bh</v>
      </c>
      <c r="F295" s="716">
        <f>F280*6</f>
        <v>6</v>
      </c>
      <c r="G295" s="358">
        <f ca="1">IF(ISERROR(OFFSET('HARGA SATUAN'!$I$6,MATCH(RAB!C295,'HARGA SATUAN'!$C$7:$C$1492,0),0)),0,OFFSET('HARGA SATUAN'!$I$6,MATCH(RAB!C295,'HARGA SATUAN'!$C$7:$C$1492,0),0))</f>
        <v>23936</v>
      </c>
      <c r="H295" s="359">
        <f t="shared" ca="1" si="40"/>
        <v>0</v>
      </c>
      <c r="I295" s="359">
        <f t="shared" ca="1" si="41"/>
        <v>143616</v>
      </c>
      <c r="J295" s="359">
        <f t="shared" ca="1" si="42"/>
        <v>0</v>
      </c>
      <c r="K295" s="360">
        <f t="shared" ca="1" si="43"/>
        <v>143616</v>
      </c>
      <c r="L295" s="367"/>
      <c r="M295" s="367"/>
      <c r="N295" s="367"/>
      <c r="O295" s="361"/>
      <c r="P295" s="361"/>
      <c r="Q295" s="344"/>
      <c r="R295" s="336"/>
      <c r="S295" s="362"/>
      <c r="T295" s="341"/>
      <c r="U295" s="341"/>
      <c r="V295" s="341"/>
    </row>
    <row r="296" spans="1:22" s="368" customFormat="1">
      <c r="A296" s="336"/>
      <c r="B296" s="696">
        <v>16</v>
      </c>
      <c r="C296" s="697" t="s">
        <v>37</v>
      </c>
      <c r="D296" s="356" t="str">
        <f ca="1">IF(ISERROR(OFFSET('HARGA SATUAN'!$D$6,MATCH(RAB!C296,'HARGA SATUAN'!$C$7:$C$1492,0),0)),"",OFFSET('HARGA SATUAN'!$D$6,MATCH(RAB!C296,'HARGA SATUAN'!$C$7:$C$1492,0),0))</f>
        <v>HDW</v>
      </c>
      <c r="E296" s="357" t="str">
        <f ca="1">IF(B296="+","Unit",IF(ISERROR(OFFSET('HARGA SATUAN'!$E$6,MATCH(RAB!C296,'HARGA SATUAN'!$C$7:$C$1492,0),0)),"",OFFSET('HARGA SATUAN'!$E$6,MATCH(RAB!C296,'HARGA SATUAN'!$C$7:$C$1492,0),0)))</f>
        <v>Bh</v>
      </c>
      <c r="F296" s="716">
        <f>F280*3</f>
        <v>3</v>
      </c>
      <c r="G296" s="358">
        <f ca="1">IF(ISERROR(OFFSET('HARGA SATUAN'!$I$6,MATCH(RAB!C296,'HARGA SATUAN'!$C$7:$C$1492,0),0)),0,OFFSET('HARGA SATUAN'!$I$6,MATCH(RAB!C296,'HARGA SATUAN'!$C$7:$C$1492,0),0))</f>
        <v>63500</v>
      </c>
      <c r="H296" s="359">
        <f t="shared" ca="1" si="40"/>
        <v>0</v>
      </c>
      <c r="I296" s="359">
        <f t="shared" ca="1" si="41"/>
        <v>190500</v>
      </c>
      <c r="J296" s="359">
        <f t="shared" ca="1" si="42"/>
        <v>0</v>
      </c>
      <c r="K296" s="360">
        <f t="shared" ca="1" si="43"/>
        <v>190500</v>
      </c>
      <c r="L296" s="367"/>
      <c r="M296" s="367"/>
      <c r="N296" s="367"/>
      <c r="O296" s="361"/>
      <c r="P296" s="361"/>
      <c r="Q296" s="344"/>
      <c r="R296" s="336"/>
      <c r="S296" s="362"/>
      <c r="T296" s="341"/>
      <c r="U296" s="341"/>
      <c r="V296" s="341"/>
    </row>
    <row r="297" spans="1:22" s="368" customFormat="1">
      <c r="A297" s="336"/>
      <c r="B297" s="696">
        <v>17</v>
      </c>
      <c r="C297" s="697" t="s">
        <v>247</v>
      </c>
      <c r="D297" s="356" t="str">
        <f ca="1">IF(ISERROR(OFFSET('HARGA SATUAN'!$D$6,MATCH(RAB!C297,'HARGA SATUAN'!$C$7:$C$1492,0),0)),"",OFFSET('HARGA SATUAN'!$D$6,MATCH(RAB!C297,'HARGA SATUAN'!$C$7:$C$1492,0),0))</f>
        <v>HDW</v>
      </c>
      <c r="E297" s="357" t="str">
        <f ca="1">IF(B297="+","Unit",IF(ISERROR(OFFSET('HARGA SATUAN'!$E$6,MATCH(RAB!C297,'HARGA SATUAN'!$C$7:$C$1492,0),0)),"",OFFSET('HARGA SATUAN'!$E$6,MATCH(RAB!C297,'HARGA SATUAN'!$C$7:$C$1492,0),0)))</f>
        <v>Bh</v>
      </c>
      <c r="F297" s="716">
        <f>F280*3</f>
        <v>3</v>
      </c>
      <c r="G297" s="358">
        <f ca="1">IF(ISERROR(OFFSET('HARGA SATUAN'!$I$6,MATCH(RAB!C297,'HARGA SATUAN'!$C$7:$C$1492,0),0)),0,OFFSET('HARGA SATUAN'!$I$6,MATCH(RAB!C297,'HARGA SATUAN'!$C$7:$C$1492,0),0))</f>
        <v>57690</v>
      </c>
      <c r="H297" s="359">
        <f t="shared" ca="1" si="40"/>
        <v>0</v>
      </c>
      <c r="I297" s="359">
        <f t="shared" ca="1" si="41"/>
        <v>173070</v>
      </c>
      <c r="J297" s="359">
        <f t="shared" ca="1" si="42"/>
        <v>0</v>
      </c>
      <c r="K297" s="360">
        <f t="shared" ca="1" si="43"/>
        <v>173070</v>
      </c>
      <c r="L297" s="367"/>
      <c r="M297" s="367"/>
      <c r="N297" s="367"/>
      <c r="O297" s="361"/>
      <c r="P297" s="361"/>
      <c r="Q297" s="344"/>
      <c r="R297" s="336"/>
      <c r="S297" s="362"/>
      <c r="T297" s="341"/>
      <c r="U297" s="341"/>
      <c r="V297" s="341"/>
    </row>
    <row r="298" spans="1:22" s="368" customFormat="1">
      <c r="A298" s="336"/>
      <c r="B298" s="696">
        <v>18</v>
      </c>
      <c r="C298" s="697" t="s">
        <v>27</v>
      </c>
      <c r="D298" s="356" t="str">
        <f ca="1">IF(ISERROR(OFFSET('HARGA SATUAN'!$D$6,MATCH(RAB!C298,'HARGA SATUAN'!$C$7:$C$1492,0),0)),"",OFFSET('HARGA SATUAN'!$D$6,MATCH(RAB!C298,'HARGA SATUAN'!$C$7:$C$1492,0),0))</f>
        <v>HDW</v>
      </c>
      <c r="E298" s="357" t="str">
        <f ca="1">IF(B298="+","Unit",IF(ISERROR(OFFSET('HARGA SATUAN'!$E$6,MATCH(RAB!C298,'HARGA SATUAN'!$C$7:$C$1492,0),0)),"",OFFSET('HARGA SATUAN'!$E$6,MATCH(RAB!C298,'HARGA SATUAN'!$C$7:$C$1492,0),0)))</f>
        <v>Bh</v>
      </c>
      <c r="F298" s="716">
        <f>F280*6</f>
        <v>6</v>
      </c>
      <c r="G298" s="358">
        <f ca="1">IF(ISERROR(OFFSET('HARGA SATUAN'!$I$6,MATCH(RAB!C298,'HARGA SATUAN'!$C$7:$C$1492,0),0)),0,OFFSET('HARGA SATUAN'!$I$6,MATCH(RAB!C298,'HARGA SATUAN'!$C$7:$C$1492,0),0))</f>
        <v>16000</v>
      </c>
      <c r="H298" s="359">
        <f t="shared" ca="1" si="40"/>
        <v>0</v>
      </c>
      <c r="I298" s="359">
        <f t="shared" ca="1" si="41"/>
        <v>96000</v>
      </c>
      <c r="J298" s="359">
        <f t="shared" ca="1" si="42"/>
        <v>0</v>
      </c>
      <c r="K298" s="360">
        <f t="shared" ca="1" si="43"/>
        <v>96000</v>
      </c>
      <c r="L298" s="367"/>
      <c r="M298" s="367"/>
      <c r="N298" s="367"/>
      <c r="O298" s="361"/>
      <c r="P298" s="361"/>
      <c r="Q298" s="344"/>
      <c r="R298" s="336"/>
      <c r="S298" s="362"/>
      <c r="T298" s="341"/>
      <c r="U298" s="341"/>
      <c r="V298" s="341"/>
    </row>
    <row r="299" spans="1:22" s="368" customFormat="1">
      <c r="A299" s="336"/>
      <c r="B299" s="696">
        <v>19</v>
      </c>
      <c r="C299" s="697" t="s">
        <v>265</v>
      </c>
      <c r="D299" s="356" t="str">
        <f ca="1">IF(ISERROR(OFFSET('HARGA SATUAN'!$D$6,MATCH(RAB!C299,'HARGA SATUAN'!$C$7:$C$1492,0),0)),"",OFFSET('HARGA SATUAN'!$D$6,MATCH(RAB!C299,'HARGA SATUAN'!$C$7:$C$1492,0),0))</f>
        <v>HDW</v>
      </c>
      <c r="E299" s="357" t="str">
        <f ca="1">IF(B299="+","Unit",IF(ISERROR(OFFSET('HARGA SATUAN'!$E$6,MATCH(RAB!C299,'HARGA SATUAN'!$C$7:$C$1492,0),0)),"",OFFSET('HARGA SATUAN'!$E$6,MATCH(RAB!C299,'HARGA SATUAN'!$C$7:$C$1492,0),0)))</f>
        <v>Bh</v>
      </c>
      <c r="F299" s="716">
        <f>F280*2</f>
        <v>2</v>
      </c>
      <c r="G299" s="358">
        <f ca="1">IF(ISERROR(OFFSET('HARGA SATUAN'!$I$6,MATCH(RAB!C299,'HARGA SATUAN'!$C$7:$C$1492,0),0)),0,OFFSET('HARGA SATUAN'!$I$6,MATCH(RAB!C299,'HARGA SATUAN'!$C$7:$C$1492,0),0))</f>
        <v>33501.866666666669</v>
      </c>
      <c r="H299" s="359">
        <f t="shared" ca="1" si="40"/>
        <v>0</v>
      </c>
      <c r="I299" s="359">
        <f t="shared" ca="1" si="41"/>
        <v>67003.733333333337</v>
      </c>
      <c r="J299" s="359">
        <f t="shared" ca="1" si="42"/>
        <v>0</v>
      </c>
      <c r="K299" s="360">
        <f t="shared" ca="1" si="43"/>
        <v>67003.733333333337</v>
      </c>
      <c r="L299" s="367"/>
      <c r="M299" s="367"/>
      <c r="N299" s="367"/>
      <c r="O299" s="361"/>
      <c r="P299" s="361"/>
      <c r="Q299" s="344"/>
      <c r="R299" s="336"/>
      <c r="S299" s="362"/>
      <c r="T299" s="341"/>
      <c r="U299" s="341"/>
      <c r="V299" s="341"/>
    </row>
    <row r="300" spans="1:22" s="368" customFormat="1">
      <c r="A300" s="336"/>
      <c r="B300" s="696">
        <v>20</v>
      </c>
      <c r="C300" s="697" t="s">
        <v>38</v>
      </c>
      <c r="D300" s="356" t="str">
        <f ca="1">IF(ISERROR(OFFSET('HARGA SATUAN'!$D$6,MATCH(RAB!C300,'HARGA SATUAN'!$C$7:$C$1492,0),0)),"",OFFSET('HARGA SATUAN'!$D$6,MATCH(RAB!C300,'HARGA SATUAN'!$C$7:$C$1492,0),0))</f>
        <v>HDW</v>
      </c>
      <c r="E300" s="357" t="str">
        <f ca="1">IF(B300="+","Unit",IF(ISERROR(OFFSET('HARGA SATUAN'!$E$6,MATCH(RAB!C300,'HARGA SATUAN'!$C$7:$C$1492,0),0)),"",OFFSET('HARGA SATUAN'!$E$6,MATCH(RAB!C300,'HARGA SATUAN'!$C$7:$C$1492,0),0)))</f>
        <v>Mtr</v>
      </c>
      <c r="F300" s="716">
        <f>3.6*F280</f>
        <v>3.6</v>
      </c>
      <c r="G300" s="358">
        <f ca="1">IF(ISERROR(OFFSET('HARGA SATUAN'!$I$6,MATCH(RAB!C300,'HARGA SATUAN'!$C$7:$C$1492,0),0)),0,OFFSET('HARGA SATUAN'!$I$6,MATCH(RAB!C300,'HARGA SATUAN'!$C$7:$C$1492,0),0))</f>
        <v>8550</v>
      </c>
      <c r="H300" s="359">
        <f t="shared" ca="1" si="40"/>
        <v>0</v>
      </c>
      <c r="I300" s="359">
        <f t="shared" ca="1" si="41"/>
        <v>30780</v>
      </c>
      <c r="J300" s="359">
        <f t="shared" ca="1" si="42"/>
        <v>0</v>
      </c>
      <c r="K300" s="360">
        <f t="shared" ca="1" si="43"/>
        <v>30780</v>
      </c>
      <c r="L300" s="367"/>
      <c r="M300" s="367"/>
      <c r="N300" s="367"/>
      <c r="O300" s="361"/>
      <c r="P300" s="361"/>
      <c r="Q300" s="344"/>
      <c r="R300" s="336"/>
      <c r="S300" s="362"/>
      <c r="T300" s="341"/>
      <c r="U300" s="341"/>
      <c r="V300" s="341"/>
    </row>
    <row r="301" spans="1:22" s="368" customFormat="1">
      <c r="A301" s="336"/>
      <c r="B301" s="696">
        <v>21</v>
      </c>
      <c r="C301" s="697" t="s">
        <v>26</v>
      </c>
      <c r="D301" s="356" t="str">
        <f ca="1">IF(ISERROR(OFFSET('HARGA SATUAN'!$D$6,MATCH(RAB!C301,'HARGA SATUAN'!$C$7:$C$1492,0),0)),"",OFFSET('HARGA SATUAN'!$D$6,MATCH(RAB!C301,'HARGA SATUAN'!$C$7:$C$1492,0),0))</f>
        <v>HDW</v>
      </c>
      <c r="E301" s="357" t="str">
        <f ca="1">IF(B301="+","Unit",IF(ISERROR(OFFSET('HARGA SATUAN'!$E$6,MATCH(RAB!C301,'HARGA SATUAN'!$C$7:$C$1492,0),0)),"",OFFSET('HARGA SATUAN'!$E$6,MATCH(RAB!C301,'HARGA SATUAN'!$C$7:$C$1492,0),0)))</f>
        <v>Bh</v>
      </c>
      <c r="F301" s="716">
        <f>F280*22</f>
        <v>22</v>
      </c>
      <c r="G301" s="358">
        <f ca="1">IF(ISERROR(OFFSET('HARGA SATUAN'!$I$6,MATCH(RAB!C301,'HARGA SATUAN'!$C$7:$C$1492,0),0)),0,OFFSET('HARGA SATUAN'!$I$6,MATCH(RAB!C301,'HARGA SATUAN'!$C$7:$C$1492,0),0))</f>
        <v>2500</v>
      </c>
      <c r="H301" s="359">
        <f t="shared" ca="1" si="40"/>
        <v>0</v>
      </c>
      <c r="I301" s="359">
        <f t="shared" ca="1" si="41"/>
        <v>55000</v>
      </c>
      <c r="J301" s="359">
        <f t="shared" ca="1" si="42"/>
        <v>0</v>
      </c>
      <c r="K301" s="360">
        <f t="shared" ca="1" si="43"/>
        <v>55000</v>
      </c>
      <c r="L301" s="367"/>
      <c r="M301" s="367"/>
      <c r="N301" s="367"/>
      <c r="O301" s="361"/>
      <c r="P301" s="361"/>
      <c r="Q301" s="344"/>
      <c r="R301" s="336"/>
      <c r="S301" s="362"/>
      <c r="T301" s="341"/>
      <c r="U301" s="341"/>
      <c r="V301" s="341"/>
    </row>
    <row r="302" spans="1:22" s="368" customFormat="1">
      <c r="A302" s="336"/>
      <c r="B302" s="696">
        <v>22</v>
      </c>
      <c r="C302" s="693" t="s">
        <v>709</v>
      </c>
      <c r="D302" s="356" t="str">
        <f ca="1">IF(ISERROR(OFFSET('HARGA SATUAN'!$D$6,MATCH(RAB!C302,'HARGA SATUAN'!$C$7:$C$1492,0),0)),"",OFFSET('HARGA SATUAN'!$D$6,MATCH(RAB!C302,'HARGA SATUAN'!$C$7:$C$1492,0),0))</f>
        <v>JASA</v>
      </c>
      <c r="E302" s="357" t="str">
        <f ca="1">IF(B302="+","Unit",IF(ISERROR(OFFSET('HARGA SATUAN'!$E$6,MATCH(RAB!C302,'HARGA SATUAN'!$C$7:$C$1492,0),0)),"",OFFSET('HARGA SATUAN'!$E$6,MATCH(RAB!C302,'HARGA SATUAN'!$C$7:$C$1492,0),0)))</f>
        <v>Unit</v>
      </c>
      <c r="F302" s="716">
        <f>F280*1</f>
        <v>1</v>
      </c>
      <c r="G302" s="358">
        <f ca="1">IF(ISERROR(OFFSET('HARGA SATUAN'!$I$6,MATCH(RAB!C302,'HARGA SATUAN'!$C$7:$C$1492,0),0)),0,OFFSET('HARGA SATUAN'!$I$6,MATCH(RAB!C302,'HARGA SATUAN'!$C$7:$C$1492,0),0))</f>
        <v>197500</v>
      </c>
      <c r="H302" s="359">
        <f t="shared" ca="1" si="40"/>
        <v>0</v>
      </c>
      <c r="I302" s="359">
        <f t="shared" ca="1" si="41"/>
        <v>0</v>
      </c>
      <c r="J302" s="359">
        <f t="shared" ca="1" si="42"/>
        <v>197500</v>
      </c>
      <c r="K302" s="360">
        <f t="shared" ca="1" si="43"/>
        <v>197500</v>
      </c>
      <c r="L302" s="367"/>
      <c r="M302" s="367"/>
      <c r="N302" s="367"/>
      <c r="O302" s="361"/>
      <c r="P302" s="361"/>
      <c r="Q302" s="344"/>
      <c r="R302" s="336"/>
      <c r="S302" s="362"/>
      <c r="T302" s="341"/>
      <c r="U302" s="341"/>
      <c r="V302" s="341"/>
    </row>
    <row r="303" spans="1:22" s="368" customFormat="1">
      <c r="A303" s="336"/>
      <c r="B303" s="692"/>
      <c r="C303" s="693"/>
      <c r="D303" s="356" t="str">
        <f ca="1">IF(ISERROR(OFFSET('HARGA SATUAN'!$D$6,MATCH(RAB!C303,'HARGA SATUAN'!$C$7:$C$1492,0),0)),"",OFFSET('HARGA SATUAN'!$D$6,MATCH(RAB!C303,'HARGA SATUAN'!$C$7:$C$1492,0),0))</f>
        <v/>
      </c>
      <c r="E303" s="357" t="str">
        <f ca="1">IF(B303="+","Unit",IF(ISERROR(OFFSET('HARGA SATUAN'!$E$6,MATCH(RAB!C303,'HARGA SATUAN'!$C$7:$C$1492,0),0)),"",OFFSET('HARGA SATUAN'!$E$6,MATCH(RAB!C303,'HARGA SATUAN'!$C$7:$C$1492,0),0)))</f>
        <v/>
      </c>
      <c r="F303" s="714"/>
      <c r="G303" s="358">
        <f ca="1">IF(ISERROR(OFFSET('HARGA SATUAN'!$I$6,MATCH(RAB!C303,'HARGA SATUAN'!$C$7:$C$1492,0),0)),0,OFFSET('HARGA SATUAN'!$I$6,MATCH(RAB!C303,'HARGA SATUAN'!$C$7:$C$1492,0),0))</f>
        <v>0</v>
      </c>
      <c r="H303" s="359">
        <f t="shared" ca="1" si="40"/>
        <v>0</v>
      </c>
      <c r="I303" s="359">
        <f t="shared" ca="1" si="41"/>
        <v>0</v>
      </c>
      <c r="J303" s="359">
        <f t="shared" ca="1" si="42"/>
        <v>0</v>
      </c>
      <c r="K303" s="360">
        <f t="shared" ca="1" si="43"/>
        <v>0</v>
      </c>
      <c r="L303" s="367"/>
      <c r="M303" s="367"/>
      <c r="N303" s="367"/>
      <c r="O303" s="361"/>
      <c r="P303" s="361"/>
      <c r="Q303" s="344"/>
      <c r="R303" s="336"/>
      <c r="S303" s="362"/>
      <c r="T303" s="341"/>
      <c r="U303" s="341"/>
      <c r="V303" s="341"/>
    </row>
    <row r="304" spans="1:22" s="368" customFormat="1">
      <c r="A304" s="336"/>
      <c r="B304" s="692" t="s">
        <v>1035</v>
      </c>
      <c r="C304" s="693" t="s">
        <v>1629</v>
      </c>
      <c r="D304" s="356" t="str">
        <f ca="1">IF(ISERROR(OFFSET('HARGA SATUAN'!$D$6,MATCH(RAB!C304,'HARGA SATUAN'!$C$7:$C$1492,0),0)),"",OFFSET('HARGA SATUAN'!$D$6,MATCH(RAB!C304,'HARGA SATUAN'!$C$7:$C$1492,0),0))</f>
        <v/>
      </c>
      <c r="E304" s="357" t="str">
        <f ca="1">IF(B304="+","Unit",IF(ISERROR(OFFSET('HARGA SATUAN'!$E$6,MATCH(RAB!C304,'HARGA SATUAN'!$C$7:$C$1492,0),0)),"",OFFSET('HARGA SATUAN'!$E$6,MATCH(RAB!C304,'HARGA SATUAN'!$C$7:$C$1492,0),0)))</f>
        <v>Unit</v>
      </c>
      <c r="F304" s="714">
        <v>3</v>
      </c>
      <c r="G304" s="358">
        <f ca="1">IF(ISERROR(OFFSET('HARGA SATUAN'!$I$6,MATCH(RAB!C304,'HARGA SATUAN'!$C$7:$C$1492,0),0)),0,OFFSET('HARGA SATUAN'!$I$6,MATCH(RAB!C304,'HARGA SATUAN'!$C$7:$C$1492,0),0))</f>
        <v>0</v>
      </c>
      <c r="H304" s="359">
        <f t="shared" ca="1" si="36"/>
        <v>0</v>
      </c>
      <c r="I304" s="359">
        <f t="shared" ca="1" si="37"/>
        <v>0</v>
      </c>
      <c r="J304" s="359">
        <f t="shared" ca="1" si="38"/>
        <v>0</v>
      </c>
      <c r="K304" s="360">
        <f t="shared" ca="1" si="39"/>
        <v>0</v>
      </c>
      <c r="L304" s="367"/>
      <c r="M304" s="367"/>
      <c r="N304" s="367"/>
      <c r="O304" s="361"/>
      <c r="P304" s="361"/>
      <c r="Q304" s="344"/>
      <c r="R304" s="336"/>
      <c r="S304" s="362"/>
      <c r="T304" s="341"/>
      <c r="U304" s="341"/>
      <c r="V304" s="341"/>
    </row>
    <row r="305" spans="1:22" s="368" customFormat="1">
      <c r="A305" s="336"/>
      <c r="B305" s="692">
        <v>1</v>
      </c>
      <c r="C305" s="109" t="s">
        <v>1564</v>
      </c>
      <c r="D305" s="356" t="str">
        <f ca="1">IF(ISERROR(OFFSET('HARGA SATUAN'!$D$6,MATCH(RAB!C305,'HARGA SATUAN'!$C$7:$C$1492,0),0)),"",OFFSET('HARGA SATUAN'!$D$6,MATCH(RAB!C305,'HARGA SATUAN'!$C$7:$C$1492,0),0))</f>
        <v>MDU-KD</v>
      </c>
      <c r="E305" s="357" t="str">
        <f ca="1">IF(B305="+","Unit",IF(ISERROR(OFFSET('HARGA SATUAN'!$E$6,MATCH(RAB!C305,'HARGA SATUAN'!$C$7:$C$1492,0),0)),"",OFFSET('HARGA SATUAN'!$E$6,MATCH(RAB!C305,'HARGA SATUAN'!$C$7:$C$1492,0),0)))</f>
        <v>Bh</v>
      </c>
      <c r="F305" s="714">
        <f>F304*2</f>
        <v>6</v>
      </c>
      <c r="G305" s="358">
        <f ca="1">IF(ISERROR(OFFSET('HARGA SATUAN'!$I$6,MATCH(RAB!C305,'HARGA SATUAN'!$C$7:$C$1492,0),0)),0,OFFSET('HARGA SATUAN'!$I$6,MATCH(RAB!C305,'HARGA SATUAN'!$C$7:$C$1492,0),0))</f>
        <v>235900</v>
      </c>
      <c r="H305" s="359">
        <f t="shared" ca="1" si="36"/>
        <v>1415400</v>
      </c>
      <c r="I305" s="359">
        <f t="shared" ca="1" si="37"/>
        <v>0</v>
      </c>
      <c r="J305" s="359">
        <f t="shared" ca="1" si="38"/>
        <v>0</v>
      </c>
      <c r="K305" s="360">
        <f t="shared" ca="1" si="39"/>
        <v>1415400</v>
      </c>
      <c r="L305" s="367"/>
      <c r="M305" s="367"/>
      <c r="N305" s="367"/>
      <c r="O305" s="361"/>
      <c r="P305" s="361"/>
      <c r="Q305" s="344"/>
      <c r="R305" s="336"/>
      <c r="S305" s="362"/>
      <c r="T305" s="341"/>
      <c r="U305" s="341"/>
      <c r="V305" s="341"/>
    </row>
    <row r="306" spans="1:22" s="368" customFormat="1">
      <c r="A306" s="336"/>
      <c r="B306" s="692">
        <v>2</v>
      </c>
      <c r="C306" s="693" t="s">
        <v>163</v>
      </c>
      <c r="D306" s="356" t="str">
        <f ca="1">IF(ISERROR(OFFSET('HARGA SATUAN'!$D$6,MATCH(RAB!C306,'HARGA SATUAN'!$C$7:$C$1492,0),0)),"",OFFSET('HARGA SATUAN'!$D$6,MATCH(RAB!C306,'HARGA SATUAN'!$C$7:$C$1492,0),0))</f>
        <v>HDW</v>
      </c>
      <c r="E306" s="357" t="str">
        <f ca="1">IF(B306="+","Unit",IF(ISERROR(OFFSET('HARGA SATUAN'!$E$6,MATCH(RAB!C306,'HARGA SATUAN'!$C$7:$C$1492,0),0)),"",OFFSET('HARGA SATUAN'!$E$6,MATCH(RAB!C306,'HARGA SATUAN'!$C$7:$C$1492,0),0)))</f>
        <v>Bh</v>
      </c>
      <c r="F306" s="714">
        <f>F304*2</f>
        <v>6</v>
      </c>
      <c r="G306" s="358">
        <f ca="1">IF(ISERROR(OFFSET('HARGA SATUAN'!$I$6,MATCH(RAB!C306,'HARGA SATUAN'!$C$7:$C$1492,0),0)),0,OFFSET('HARGA SATUAN'!$I$6,MATCH(RAB!C306,'HARGA SATUAN'!$C$7:$C$1492,0),0))</f>
        <v>7938</v>
      </c>
      <c r="H306" s="359">
        <f t="shared" ca="1" si="36"/>
        <v>0</v>
      </c>
      <c r="I306" s="359">
        <f t="shared" ca="1" si="37"/>
        <v>47628</v>
      </c>
      <c r="J306" s="359">
        <f t="shared" ca="1" si="38"/>
        <v>0</v>
      </c>
      <c r="K306" s="360">
        <f t="shared" ca="1" si="39"/>
        <v>47628</v>
      </c>
      <c r="L306" s="367"/>
      <c r="M306" s="367"/>
      <c r="N306" s="367"/>
      <c r="O306" s="361"/>
      <c r="P306" s="361"/>
      <c r="Q306" s="344"/>
      <c r="R306" s="336"/>
      <c r="S306" s="362"/>
      <c r="T306" s="341"/>
      <c r="U306" s="341"/>
      <c r="V306" s="341"/>
    </row>
    <row r="307" spans="1:22" s="368" customFormat="1">
      <c r="A307" s="336"/>
      <c r="B307" s="692">
        <v>3</v>
      </c>
      <c r="C307" s="693" t="s">
        <v>28</v>
      </c>
      <c r="D307" s="356" t="str">
        <f ca="1">IF(ISERROR(OFFSET('HARGA SATUAN'!$D$6,MATCH(RAB!C307,'HARGA SATUAN'!$C$7:$C$1492,0),0)),"",OFFSET('HARGA SATUAN'!$D$6,MATCH(RAB!C307,'HARGA SATUAN'!$C$7:$C$1492,0),0))</f>
        <v>HDW</v>
      </c>
      <c r="E307" s="357" t="str">
        <f ca="1">IF(B307="+","Unit",IF(ISERROR(OFFSET('HARGA SATUAN'!$E$6,MATCH(RAB!C307,'HARGA SATUAN'!$C$7:$C$1492,0),0)),"",OFFSET('HARGA SATUAN'!$E$6,MATCH(RAB!C307,'HARGA SATUAN'!$C$7:$C$1492,0),0)))</f>
        <v>Bh</v>
      </c>
      <c r="F307" s="489">
        <f>F304*1</f>
        <v>3</v>
      </c>
      <c r="G307" s="358">
        <f ca="1">IF(ISERROR(OFFSET('HARGA SATUAN'!$I$6,MATCH(RAB!C307,'HARGA SATUAN'!$C$7:$C$1492,0),0)),0,OFFSET('HARGA SATUAN'!$I$6,MATCH(RAB!C307,'HARGA SATUAN'!$C$7:$C$1492,0),0))</f>
        <v>26500</v>
      </c>
      <c r="H307" s="359">
        <f t="shared" ca="1" si="36"/>
        <v>0</v>
      </c>
      <c r="I307" s="359">
        <f t="shared" ca="1" si="37"/>
        <v>79500</v>
      </c>
      <c r="J307" s="359">
        <f t="shared" ca="1" si="38"/>
        <v>0</v>
      </c>
      <c r="K307" s="360">
        <f t="shared" ca="1" si="39"/>
        <v>79500</v>
      </c>
      <c r="L307" s="367"/>
      <c r="M307" s="367"/>
      <c r="N307" s="367"/>
      <c r="O307" s="361"/>
      <c r="P307" s="361"/>
      <c r="Q307" s="344"/>
      <c r="R307" s="336"/>
      <c r="S307" s="362"/>
      <c r="T307" s="341"/>
      <c r="U307" s="341"/>
      <c r="V307" s="341"/>
    </row>
    <row r="308" spans="1:22" s="368" customFormat="1">
      <c r="A308" s="336"/>
      <c r="B308" s="692">
        <v>4</v>
      </c>
      <c r="C308" s="693" t="s">
        <v>173</v>
      </c>
      <c r="D308" s="356" t="str">
        <f ca="1">IF(ISERROR(OFFSET('HARGA SATUAN'!$D$6,MATCH(RAB!C308,'HARGA SATUAN'!$C$7:$C$1492,0),0)),"",OFFSET('HARGA SATUAN'!$D$6,MATCH(RAB!C308,'HARGA SATUAN'!$C$7:$C$1492,0),0))</f>
        <v>HDW</v>
      </c>
      <c r="E308" s="357" t="str">
        <f ca="1">IF(B308="+","Unit",IF(ISERROR(OFFSET('HARGA SATUAN'!$E$6,MATCH(RAB!C308,'HARGA SATUAN'!$C$7:$C$1492,0),0)),"",OFFSET('HARGA SATUAN'!$E$6,MATCH(RAB!C308,'HARGA SATUAN'!$C$7:$C$1492,0),0)))</f>
        <v>Bh</v>
      </c>
      <c r="F308" s="489">
        <f>F304*2</f>
        <v>6</v>
      </c>
      <c r="G308" s="358">
        <f ca="1">IF(ISERROR(OFFSET('HARGA SATUAN'!$I$6,MATCH(RAB!C308,'HARGA SATUAN'!$C$7:$C$1492,0),0)),0,OFFSET('HARGA SATUAN'!$I$6,MATCH(RAB!C308,'HARGA SATUAN'!$C$7:$C$1492,0),0))</f>
        <v>45000</v>
      </c>
      <c r="H308" s="359">
        <f t="shared" ca="1" si="36"/>
        <v>0</v>
      </c>
      <c r="I308" s="359">
        <f t="shared" ca="1" si="37"/>
        <v>270000</v>
      </c>
      <c r="J308" s="359">
        <f t="shared" ca="1" si="38"/>
        <v>0</v>
      </c>
      <c r="K308" s="360">
        <f t="shared" ca="1" si="39"/>
        <v>270000</v>
      </c>
      <c r="L308" s="367"/>
      <c r="M308" s="367"/>
      <c r="N308" s="367"/>
      <c r="O308" s="361"/>
      <c r="P308" s="361"/>
      <c r="Q308" s="344"/>
      <c r="R308" s="336"/>
      <c r="S308" s="362"/>
      <c r="T308" s="341"/>
      <c r="U308" s="341"/>
      <c r="V308" s="341"/>
    </row>
    <row r="309" spans="1:22" s="368" customFormat="1">
      <c r="A309" s="336"/>
      <c r="B309" s="692">
        <v>5</v>
      </c>
      <c r="C309" s="693" t="s">
        <v>593</v>
      </c>
      <c r="D309" s="356" t="str">
        <f ca="1">IF(ISERROR(OFFSET('HARGA SATUAN'!$D$6,MATCH(RAB!C309,'HARGA SATUAN'!$C$7:$C$1492,0),0)),"",OFFSET('HARGA SATUAN'!$D$6,MATCH(RAB!C309,'HARGA SATUAN'!$C$7:$C$1492,0),0))</f>
        <v>HDW</v>
      </c>
      <c r="E309" s="357" t="str">
        <f ca="1">IF(B309="+","Unit",IF(ISERROR(OFFSET('HARGA SATUAN'!$E$6,MATCH(RAB!C309,'HARGA SATUAN'!$C$7:$C$1492,0),0)),"",OFFSET('HARGA SATUAN'!$E$6,MATCH(RAB!C309,'HARGA SATUAN'!$C$7:$C$1492,0),0)))</f>
        <v>Bh</v>
      </c>
      <c r="F309" s="489">
        <f>F304*1</f>
        <v>3</v>
      </c>
      <c r="G309" s="358">
        <f ca="1">IF(ISERROR(OFFSET('HARGA SATUAN'!$I$6,MATCH(RAB!C309,'HARGA SATUAN'!$C$7:$C$1492,0),0)),0,OFFSET('HARGA SATUAN'!$I$6,MATCH(RAB!C309,'HARGA SATUAN'!$C$7:$C$1492,0),0))</f>
        <v>380500</v>
      </c>
      <c r="H309" s="359">
        <f t="shared" ca="1" si="36"/>
        <v>0</v>
      </c>
      <c r="I309" s="359">
        <f t="shared" ca="1" si="37"/>
        <v>1141500</v>
      </c>
      <c r="J309" s="359">
        <f t="shared" ca="1" si="38"/>
        <v>0</v>
      </c>
      <c r="K309" s="360">
        <f t="shared" ca="1" si="39"/>
        <v>1141500</v>
      </c>
      <c r="L309" s="367"/>
      <c r="M309" s="367"/>
      <c r="N309" s="367"/>
      <c r="O309" s="361"/>
      <c r="P309" s="361"/>
      <c r="Q309" s="344"/>
      <c r="R309" s="336"/>
      <c r="S309" s="362"/>
      <c r="T309" s="341"/>
      <c r="U309" s="341"/>
      <c r="V309" s="341"/>
    </row>
    <row r="310" spans="1:22" s="368" customFormat="1">
      <c r="A310" s="336"/>
      <c r="B310" s="692">
        <v>6</v>
      </c>
      <c r="C310" s="693" t="s">
        <v>217</v>
      </c>
      <c r="D310" s="356" t="str">
        <f ca="1">IF(ISERROR(OFFSET('HARGA SATUAN'!$D$6,MATCH(RAB!C310,'HARGA SATUAN'!$C$7:$C$1492,0),0)),"",OFFSET('HARGA SATUAN'!$D$6,MATCH(RAB!C310,'HARGA SATUAN'!$C$7:$C$1492,0),0))</f>
        <v>HDW</v>
      </c>
      <c r="E310" s="357" t="str">
        <f ca="1">IF(B310="+","Unit",IF(ISERROR(OFFSET('HARGA SATUAN'!$E$6,MATCH(RAB!C310,'HARGA SATUAN'!$C$7:$C$1492,0),0)),"",OFFSET('HARGA SATUAN'!$E$6,MATCH(RAB!C310,'HARGA SATUAN'!$C$7:$C$1492,0),0)))</f>
        <v>Bh</v>
      </c>
      <c r="F310" s="489">
        <f>F304*1</f>
        <v>3</v>
      </c>
      <c r="G310" s="358">
        <f ca="1">IF(ISERROR(OFFSET('HARGA SATUAN'!$I$6,MATCH(RAB!C310,'HARGA SATUAN'!$C$7:$C$1492,0),0)),0,OFFSET('HARGA SATUAN'!$I$6,MATCH(RAB!C310,'HARGA SATUAN'!$C$7:$C$1492,0),0))</f>
        <v>11400</v>
      </c>
      <c r="H310" s="359">
        <f t="shared" ca="1" si="36"/>
        <v>0</v>
      </c>
      <c r="I310" s="359">
        <f t="shared" ca="1" si="37"/>
        <v>34200</v>
      </c>
      <c r="J310" s="359">
        <f t="shared" ca="1" si="38"/>
        <v>0</v>
      </c>
      <c r="K310" s="360">
        <f t="shared" ca="1" si="39"/>
        <v>34200</v>
      </c>
      <c r="L310" s="367"/>
      <c r="M310" s="367"/>
      <c r="N310" s="367"/>
      <c r="O310" s="361"/>
      <c r="P310" s="361"/>
      <c r="Q310" s="344"/>
      <c r="R310" s="336"/>
      <c r="S310" s="362"/>
      <c r="T310" s="341"/>
      <c r="U310" s="341"/>
      <c r="V310" s="341"/>
    </row>
    <row r="311" spans="1:22" s="368" customFormat="1">
      <c r="A311" s="336"/>
      <c r="B311" s="698">
        <v>7</v>
      </c>
      <c r="C311" s="699" t="s">
        <v>247</v>
      </c>
      <c r="D311" s="356" t="str">
        <f ca="1">IF(ISERROR(OFFSET('HARGA SATUAN'!$D$6,MATCH(RAB!C311,'HARGA SATUAN'!$C$7:$C$1492,0),0)),"",OFFSET('HARGA SATUAN'!$D$6,MATCH(RAB!C311,'HARGA SATUAN'!$C$7:$C$1492,0),0))</f>
        <v>HDW</v>
      </c>
      <c r="E311" s="357" t="str">
        <f ca="1">IF(B311="+","Unit",IF(ISERROR(OFFSET('HARGA SATUAN'!$E$6,MATCH(RAB!C311,'HARGA SATUAN'!$C$7:$C$1492,0),0)),"",OFFSET('HARGA SATUAN'!$E$6,MATCH(RAB!C311,'HARGA SATUAN'!$C$7:$C$1492,0),0)))</f>
        <v>Bh</v>
      </c>
      <c r="F311" s="489">
        <f>F304*1</f>
        <v>3</v>
      </c>
      <c r="G311" s="358">
        <f ca="1">IF(ISERROR(OFFSET('HARGA SATUAN'!$I$6,MATCH(RAB!C311,'HARGA SATUAN'!$C$7:$C$1492,0),0)),0,OFFSET('HARGA SATUAN'!$I$6,MATCH(RAB!C311,'HARGA SATUAN'!$C$7:$C$1492,0),0))</f>
        <v>57690</v>
      </c>
      <c r="H311" s="359">
        <f t="shared" ca="1" si="36"/>
        <v>0</v>
      </c>
      <c r="I311" s="359">
        <f t="shared" ca="1" si="37"/>
        <v>173070</v>
      </c>
      <c r="J311" s="359">
        <f t="shared" ca="1" si="38"/>
        <v>0</v>
      </c>
      <c r="K311" s="360">
        <f t="shared" ca="1" si="39"/>
        <v>173070</v>
      </c>
      <c r="L311" s="367"/>
      <c r="M311" s="367"/>
      <c r="N311" s="367"/>
      <c r="O311" s="361"/>
      <c r="P311" s="361"/>
      <c r="Q311" s="344"/>
      <c r="R311" s="336"/>
      <c r="S311" s="362"/>
      <c r="T311" s="341"/>
      <c r="U311" s="341"/>
      <c r="V311" s="341"/>
    </row>
    <row r="312" spans="1:22" s="368" customFormat="1">
      <c r="A312" s="336"/>
      <c r="B312" s="700">
        <v>8</v>
      </c>
      <c r="C312" s="701" t="s">
        <v>38</v>
      </c>
      <c r="D312" s="356" t="str">
        <f ca="1">IF(ISERROR(OFFSET('HARGA SATUAN'!$D$6,MATCH(RAB!C312,'HARGA SATUAN'!$C$7:$C$1492,0),0)),"",OFFSET('HARGA SATUAN'!$D$6,MATCH(RAB!C312,'HARGA SATUAN'!$C$7:$C$1492,0),0))</f>
        <v>HDW</v>
      </c>
      <c r="E312" s="357" t="str">
        <f ca="1">IF(B312="+","Unit",IF(ISERROR(OFFSET('HARGA SATUAN'!$E$6,MATCH(RAB!C312,'HARGA SATUAN'!$C$7:$C$1492,0),0)),"",OFFSET('HARGA SATUAN'!$E$6,MATCH(RAB!C312,'HARGA SATUAN'!$C$7:$C$1492,0),0)))</f>
        <v>Mtr</v>
      </c>
      <c r="F312" s="489">
        <f>3.6*F304</f>
        <v>10.8</v>
      </c>
      <c r="G312" s="358">
        <f ca="1">IF(ISERROR(OFFSET('HARGA SATUAN'!$I$6,MATCH(RAB!C312,'HARGA SATUAN'!$C$7:$C$1492,0),0)),0,OFFSET('HARGA SATUAN'!$I$6,MATCH(RAB!C312,'HARGA SATUAN'!$C$7:$C$1492,0),0))</f>
        <v>8550</v>
      </c>
      <c r="H312" s="359">
        <f t="shared" ca="1" si="36"/>
        <v>0</v>
      </c>
      <c r="I312" s="359">
        <f t="shared" ca="1" si="37"/>
        <v>92340</v>
      </c>
      <c r="J312" s="359">
        <f t="shared" ca="1" si="38"/>
        <v>0</v>
      </c>
      <c r="K312" s="360">
        <f t="shared" ca="1" si="39"/>
        <v>92340</v>
      </c>
      <c r="L312" s="367"/>
      <c r="M312" s="367"/>
      <c r="N312" s="367"/>
      <c r="O312" s="361"/>
      <c r="P312" s="361"/>
      <c r="Q312" s="344"/>
      <c r="R312" s="336"/>
      <c r="S312" s="362"/>
      <c r="T312" s="341"/>
      <c r="U312" s="341"/>
      <c r="V312" s="341"/>
    </row>
    <row r="313" spans="1:22" s="368" customFormat="1">
      <c r="A313" s="336"/>
      <c r="B313" s="700">
        <v>9</v>
      </c>
      <c r="C313" s="702" t="s">
        <v>26</v>
      </c>
      <c r="D313" s="356" t="str">
        <f ca="1">IF(ISERROR(OFFSET('HARGA SATUAN'!$D$6,MATCH(RAB!C313,'HARGA SATUAN'!$C$7:$C$1492,0),0)),"",OFFSET('HARGA SATUAN'!$D$6,MATCH(RAB!C313,'HARGA SATUAN'!$C$7:$C$1492,0),0))</f>
        <v>HDW</v>
      </c>
      <c r="E313" s="357" t="str">
        <f ca="1">IF(B313="+","Unit",IF(ISERROR(OFFSET('HARGA SATUAN'!$E$6,MATCH(RAB!C313,'HARGA SATUAN'!$C$7:$C$1492,0),0)),"",OFFSET('HARGA SATUAN'!$E$6,MATCH(RAB!C313,'HARGA SATUAN'!$C$7:$C$1492,0),0)))</f>
        <v>Bh</v>
      </c>
      <c r="F313" s="714">
        <f>F304*2</f>
        <v>6</v>
      </c>
      <c r="G313" s="358">
        <f ca="1">IF(ISERROR(OFFSET('HARGA SATUAN'!$I$6,MATCH(RAB!C313,'HARGA SATUAN'!$C$7:$C$1492,0),0)),0,OFFSET('HARGA SATUAN'!$I$6,MATCH(RAB!C313,'HARGA SATUAN'!$C$7:$C$1492,0),0))</f>
        <v>2500</v>
      </c>
      <c r="H313" s="359">
        <f t="shared" ca="1" si="36"/>
        <v>0</v>
      </c>
      <c r="I313" s="359">
        <f t="shared" ca="1" si="37"/>
        <v>15000</v>
      </c>
      <c r="J313" s="359">
        <f t="shared" ca="1" si="38"/>
        <v>0</v>
      </c>
      <c r="K313" s="360">
        <f t="shared" ca="1" si="39"/>
        <v>15000</v>
      </c>
      <c r="L313" s="367"/>
      <c r="M313" s="367"/>
      <c r="N313" s="367"/>
      <c r="O313" s="361"/>
      <c r="P313" s="361"/>
      <c r="Q313" s="344"/>
      <c r="R313" s="336"/>
      <c r="S313" s="362"/>
      <c r="T313" s="341"/>
      <c r="U313" s="341"/>
      <c r="V313" s="341"/>
    </row>
    <row r="314" spans="1:22" s="368" customFormat="1">
      <c r="A314" s="336"/>
      <c r="B314" s="692">
        <v>10</v>
      </c>
      <c r="C314" s="693" t="s">
        <v>676</v>
      </c>
      <c r="D314" s="356" t="str">
        <f ca="1">IF(ISERROR(OFFSET('HARGA SATUAN'!$D$6,MATCH(RAB!C314,'HARGA SATUAN'!$C$7:$C$1492,0),0)),"",OFFSET('HARGA SATUAN'!$D$6,MATCH(RAB!C314,'HARGA SATUAN'!$C$7:$C$1492,0),0))</f>
        <v>JASA</v>
      </c>
      <c r="E314" s="357" t="str">
        <f ca="1">IF(B314="+","Unit",IF(ISERROR(OFFSET('HARGA SATUAN'!$E$6,MATCH(RAB!C314,'HARGA SATUAN'!$C$7:$C$1492,0),0)),"",OFFSET('HARGA SATUAN'!$E$6,MATCH(RAB!C314,'HARGA SATUAN'!$C$7:$C$1492,0),0)))</f>
        <v>Unit</v>
      </c>
      <c r="F314" s="489">
        <f>F304*1</f>
        <v>3</v>
      </c>
      <c r="G314" s="358">
        <f ca="1">IF(ISERROR(OFFSET('HARGA SATUAN'!$I$6,MATCH(RAB!C314,'HARGA SATUAN'!$C$7:$C$1492,0),0)),0,OFFSET('HARGA SATUAN'!$I$6,MATCH(RAB!C314,'HARGA SATUAN'!$C$7:$C$1492,0),0))</f>
        <v>85500</v>
      </c>
      <c r="H314" s="359">
        <f t="shared" ca="1" si="36"/>
        <v>0</v>
      </c>
      <c r="I314" s="359">
        <f t="shared" ca="1" si="37"/>
        <v>0</v>
      </c>
      <c r="J314" s="359">
        <f t="shared" ca="1" si="38"/>
        <v>256500</v>
      </c>
      <c r="K314" s="360">
        <f t="shared" ca="1" si="39"/>
        <v>256500</v>
      </c>
      <c r="L314" s="367"/>
      <c r="M314" s="367"/>
      <c r="N314" s="367"/>
      <c r="O314" s="361"/>
      <c r="P314" s="361"/>
      <c r="Q314" s="344"/>
      <c r="R314" s="336"/>
      <c r="S314" s="362"/>
      <c r="T314" s="341"/>
      <c r="U314" s="341"/>
      <c r="V314" s="341"/>
    </row>
    <row r="315" spans="1:22" s="368" customFormat="1">
      <c r="A315" s="336"/>
      <c r="B315" s="692"/>
      <c r="C315" s="693"/>
      <c r="D315" s="356" t="str">
        <f ca="1">IF(ISERROR(OFFSET('HARGA SATUAN'!$D$6,MATCH(RAB!C315,'HARGA SATUAN'!$C$7:$C$1492,0),0)),"",OFFSET('HARGA SATUAN'!$D$6,MATCH(RAB!C315,'HARGA SATUAN'!$C$7:$C$1492,0),0))</f>
        <v/>
      </c>
      <c r="E315" s="357" t="str">
        <f ca="1">IF(B315="+","Unit",IF(ISERROR(OFFSET('HARGA SATUAN'!$E$6,MATCH(RAB!C315,'HARGA SATUAN'!$C$7:$C$1492,0),0)),"",OFFSET('HARGA SATUAN'!$E$6,MATCH(RAB!C315,'HARGA SATUAN'!$C$7:$C$1492,0),0)))</f>
        <v/>
      </c>
      <c r="F315" s="714"/>
      <c r="G315" s="358">
        <f ca="1">IF(ISERROR(OFFSET('HARGA SATUAN'!$I$6,MATCH(RAB!C315,'HARGA SATUAN'!$C$7:$C$1492,0),0)),0,OFFSET('HARGA SATUAN'!$I$6,MATCH(RAB!C315,'HARGA SATUAN'!$C$7:$C$1492,0),0))</f>
        <v>0</v>
      </c>
      <c r="H315" s="359">
        <f t="shared" ca="1" si="36"/>
        <v>0</v>
      </c>
      <c r="I315" s="359">
        <f t="shared" ca="1" si="37"/>
        <v>0</v>
      </c>
      <c r="J315" s="359">
        <f t="shared" ca="1" si="38"/>
        <v>0</v>
      </c>
      <c r="K315" s="360">
        <f t="shared" ca="1" si="39"/>
        <v>0</v>
      </c>
      <c r="L315" s="367"/>
      <c r="M315" s="367"/>
      <c r="N315" s="367"/>
      <c r="O315" s="361"/>
      <c r="P315" s="361"/>
      <c r="Q315" s="344"/>
      <c r="R315" s="336"/>
      <c r="S315" s="362"/>
      <c r="T315" s="341"/>
      <c r="U315" s="341"/>
      <c r="V315" s="341"/>
    </row>
    <row r="316" spans="1:22" s="368" customFormat="1">
      <c r="A316" s="336"/>
      <c r="B316" s="692" t="s">
        <v>1035</v>
      </c>
      <c r="C316" s="693" t="s">
        <v>1623</v>
      </c>
      <c r="D316" s="356" t="str">
        <f ca="1">IF(ISERROR(OFFSET('HARGA SATUAN'!$D$6,MATCH(RAB!C316,'HARGA SATUAN'!$C$7:$C$1492,0),0)),"",OFFSET('HARGA SATUAN'!$D$6,MATCH(RAB!C316,'HARGA SATUAN'!$C$7:$C$1492,0),0))</f>
        <v/>
      </c>
      <c r="E316" s="357" t="str">
        <f ca="1">IF(B316="+","Unit",IF(ISERROR(OFFSET('HARGA SATUAN'!$E$6,MATCH(RAB!C316,'HARGA SATUAN'!$C$7:$C$1492,0),0)),"",OFFSET('HARGA SATUAN'!$E$6,MATCH(RAB!C316,'HARGA SATUAN'!$C$7:$C$1492,0),0)))</f>
        <v>Unit</v>
      </c>
      <c r="F316" s="489">
        <v>3</v>
      </c>
      <c r="G316" s="358">
        <f ca="1">IF(ISERROR(OFFSET('HARGA SATUAN'!$I$6,MATCH(RAB!C316,'HARGA SATUAN'!$C$7:$C$1492,0),0)),0,OFFSET('HARGA SATUAN'!$I$6,MATCH(RAB!C316,'HARGA SATUAN'!$C$7:$C$1492,0),0))</f>
        <v>0</v>
      </c>
      <c r="H316" s="359">
        <f t="shared" ca="1" si="36"/>
        <v>0</v>
      </c>
      <c r="I316" s="359">
        <f t="shared" ca="1" si="37"/>
        <v>0</v>
      </c>
      <c r="J316" s="359">
        <f t="shared" ca="1" si="38"/>
        <v>0</v>
      </c>
      <c r="K316" s="360">
        <f t="shared" ca="1" si="39"/>
        <v>0</v>
      </c>
      <c r="L316" s="367"/>
      <c r="M316" s="367"/>
      <c r="N316" s="367"/>
      <c r="O316" s="361"/>
      <c r="P316" s="361"/>
      <c r="Q316" s="344"/>
      <c r="R316" s="336"/>
      <c r="S316" s="362"/>
      <c r="T316" s="341"/>
      <c r="U316" s="341"/>
      <c r="V316" s="341"/>
    </row>
    <row r="317" spans="1:22" s="368" customFormat="1">
      <c r="A317" s="336"/>
      <c r="B317" s="692">
        <v>1</v>
      </c>
      <c r="C317" s="693" t="s">
        <v>30</v>
      </c>
      <c r="D317" s="356" t="str">
        <f ca="1">IF(ISERROR(OFFSET('HARGA SATUAN'!$D$6,MATCH(RAB!C317,'HARGA SATUAN'!$C$7:$C$1492,0),0)),"",OFFSET('HARGA SATUAN'!$D$6,MATCH(RAB!C317,'HARGA SATUAN'!$C$7:$C$1492,0),0))</f>
        <v>HDW</v>
      </c>
      <c r="E317" s="357" t="str">
        <f ca="1">IF(B317="+","Unit",IF(ISERROR(OFFSET('HARGA SATUAN'!$E$6,MATCH(RAB!C317,'HARGA SATUAN'!$C$7:$C$1492,0),0)),"",OFFSET('HARGA SATUAN'!$E$6,MATCH(RAB!C317,'HARGA SATUAN'!$C$7:$C$1492,0),0)))</f>
        <v>Bh</v>
      </c>
      <c r="F317" s="489">
        <f>F316*1</f>
        <v>3</v>
      </c>
      <c r="G317" s="358">
        <f ca="1">IF(ISERROR(OFFSET('HARGA SATUAN'!$I$6,MATCH(RAB!C317,'HARGA SATUAN'!$C$7:$C$1492,0),0)),0,OFFSET('HARGA SATUAN'!$I$6,MATCH(RAB!C317,'HARGA SATUAN'!$C$7:$C$1492,0),0))</f>
        <v>47459</v>
      </c>
      <c r="H317" s="359">
        <f t="shared" ca="1" si="36"/>
        <v>0</v>
      </c>
      <c r="I317" s="359">
        <f t="shared" ca="1" si="37"/>
        <v>142377</v>
      </c>
      <c r="J317" s="359">
        <f t="shared" ca="1" si="38"/>
        <v>0</v>
      </c>
      <c r="K317" s="360">
        <f t="shared" ca="1" si="39"/>
        <v>142377</v>
      </c>
      <c r="L317" s="367"/>
      <c r="M317" s="367"/>
      <c r="N317" s="367"/>
      <c r="O317" s="361"/>
      <c r="P317" s="361"/>
      <c r="Q317" s="344"/>
      <c r="R317" s="336"/>
      <c r="S317" s="362"/>
      <c r="T317" s="341"/>
      <c r="U317" s="341"/>
      <c r="V317" s="341"/>
    </row>
    <row r="318" spans="1:22" s="368" customFormat="1">
      <c r="A318" s="336"/>
      <c r="B318" s="692">
        <v>2</v>
      </c>
      <c r="C318" s="693" t="s">
        <v>32</v>
      </c>
      <c r="D318" s="356" t="str">
        <f ca="1">IF(ISERROR(OFFSET('HARGA SATUAN'!$D$6,MATCH(RAB!C318,'HARGA SATUAN'!$C$7:$C$1492,0),0)),"",OFFSET('HARGA SATUAN'!$D$6,MATCH(RAB!C318,'HARGA SATUAN'!$C$7:$C$1492,0),0))</f>
        <v>HDW</v>
      </c>
      <c r="E318" s="357" t="str">
        <f ca="1">IF(B318="+","Unit",IF(ISERROR(OFFSET('HARGA SATUAN'!$E$6,MATCH(RAB!C318,'HARGA SATUAN'!$C$7:$C$1492,0),0)),"",OFFSET('HARGA SATUAN'!$E$6,MATCH(RAB!C318,'HARGA SATUAN'!$C$7:$C$1492,0),0)))</f>
        <v>Mtr</v>
      </c>
      <c r="F318" s="489">
        <f>F316*0.8</f>
        <v>2.4000000000000004</v>
      </c>
      <c r="G318" s="358">
        <f ca="1">IF(ISERROR(OFFSET('HARGA SATUAN'!$I$6,MATCH(RAB!C318,'HARGA SATUAN'!$C$7:$C$1492,0),0)),0,OFFSET('HARGA SATUAN'!$I$6,MATCH(RAB!C318,'HARGA SATUAN'!$C$7:$C$1492,0),0))</f>
        <v>30000</v>
      </c>
      <c r="H318" s="359">
        <f t="shared" ca="1" si="36"/>
        <v>0</v>
      </c>
      <c r="I318" s="359">
        <f t="shared" ca="1" si="37"/>
        <v>72000.000000000015</v>
      </c>
      <c r="J318" s="359">
        <f t="shared" ca="1" si="38"/>
        <v>0</v>
      </c>
      <c r="K318" s="360">
        <f t="shared" ca="1" si="39"/>
        <v>72000.000000000015</v>
      </c>
      <c r="L318" s="367"/>
      <c r="M318" s="367"/>
      <c r="N318" s="367"/>
      <c r="O318" s="361"/>
      <c r="P318" s="361"/>
      <c r="Q318" s="344"/>
      <c r="R318" s="336"/>
      <c r="S318" s="362"/>
      <c r="T318" s="341"/>
      <c r="U318" s="341"/>
      <c r="V318" s="341"/>
    </row>
    <row r="319" spans="1:22" s="368" customFormat="1">
      <c r="A319" s="336"/>
      <c r="B319" s="692">
        <v>3</v>
      </c>
      <c r="C319" s="693" t="s">
        <v>33</v>
      </c>
      <c r="D319" s="356" t="str">
        <f ca="1">IF(ISERROR(OFFSET('HARGA SATUAN'!$D$6,MATCH(RAB!C319,'HARGA SATUAN'!$C$7:$C$1492,0),0)),"",OFFSET('HARGA SATUAN'!$D$6,MATCH(RAB!C319,'HARGA SATUAN'!$C$7:$C$1492,0),0))</f>
        <v>HDW</v>
      </c>
      <c r="E319" s="357" t="str">
        <f ca="1">IF(B319="+","Unit",IF(ISERROR(OFFSET('HARGA SATUAN'!$E$6,MATCH(RAB!C319,'HARGA SATUAN'!$C$7:$C$1492,0),0)),"",OFFSET('HARGA SATUAN'!$E$6,MATCH(RAB!C319,'HARGA SATUAN'!$C$7:$C$1492,0),0)))</f>
        <v>Bh</v>
      </c>
      <c r="F319" s="489">
        <f>F316*1</f>
        <v>3</v>
      </c>
      <c r="G319" s="358">
        <f ca="1">IF(ISERROR(OFFSET('HARGA SATUAN'!$I$6,MATCH(RAB!C319,'HARGA SATUAN'!$C$7:$C$1492,0),0)),0,OFFSET('HARGA SATUAN'!$I$6,MATCH(RAB!C319,'HARGA SATUAN'!$C$7:$C$1492,0),0))</f>
        <v>9500</v>
      </c>
      <c r="H319" s="359">
        <f t="shared" ca="1" si="36"/>
        <v>0</v>
      </c>
      <c r="I319" s="359">
        <f t="shared" ca="1" si="37"/>
        <v>28500</v>
      </c>
      <c r="J319" s="359">
        <f t="shared" ca="1" si="38"/>
        <v>0</v>
      </c>
      <c r="K319" s="360">
        <f t="shared" ca="1" si="39"/>
        <v>28500</v>
      </c>
      <c r="L319" s="367"/>
      <c r="M319" s="367"/>
      <c r="N319" s="367"/>
      <c r="O319" s="361"/>
      <c r="P319" s="361"/>
      <c r="Q319" s="344"/>
      <c r="R319" s="336"/>
      <c r="S319" s="362"/>
      <c r="T319" s="341"/>
      <c r="U319" s="341"/>
      <c r="V319" s="341"/>
    </row>
    <row r="320" spans="1:22" s="368" customFormat="1">
      <c r="A320" s="336"/>
      <c r="B320" s="692">
        <v>4</v>
      </c>
      <c r="C320" s="693" t="s">
        <v>737</v>
      </c>
      <c r="D320" s="356" t="str">
        <f ca="1">IF(ISERROR(OFFSET('HARGA SATUAN'!$D$6,MATCH(RAB!C320,'HARGA SATUAN'!$C$7:$C$1492,0),0)),"",OFFSET('HARGA SATUAN'!$D$6,MATCH(RAB!C320,'HARGA SATUAN'!$C$7:$C$1492,0),0))</f>
        <v>JASA</v>
      </c>
      <c r="E320" s="357" t="str">
        <f ca="1">IF(B320="+","Unit",IF(ISERROR(OFFSET('HARGA SATUAN'!$E$6,MATCH(RAB!C320,'HARGA SATUAN'!$C$7:$C$1492,0),0)),"",OFFSET('HARGA SATUAN'!$E$6,MATCH(RAB!C320,'HARGA SATUAN'!$C$7:$C$1492,0),0)))</f>
        <v>Unit</v>
      </c>
      <c r="F320" s="489">
        <f>F316*1</f>
        <v>3</v>
      </c>
      <c r="G320" s="358">
        <f ca="1">IF(ISERROR(OFFSET('HARGA SATUAN'!$I$6,MATCH(RAB!C320,'HARGA SATUAN'!$C$7:$C$1492,0),0)),0,OFFSET('HARGA SATUAN'!$I$6,MATCH(RAB!C320,'HARGA SATUAN'!$C$7:$C$1492,0),0))</f>
        <v>16200</v>
      </c>
      <c r="H320" s="359">
        <f t="shared" ca="1" si="36"/>
        <v>0</v>
      </c>
      <c r="I320" s="359">
        <f t="shared" ca="1" si="37"/>
        <v>0</v>
      </c>
      <c r="J320" s="359">
        <f t="shared" ca="1" si="38"/>
        <v>48600</v>
      </c>
      <c r="K320" s="360">
        <f t="shared" ca="1" si="39"/>
        <v>48600</v>
      </c>
      <c r="L320" s="367"/>
      <c r="M320" s="367"/>
      <c r="N320" s="367"/>
      <c r="O320" s="361"/>
      <c r="P320" s="361"/>
      <c r="Q320" s="344"/>
      <c r="R320" s="336"/>
      <c r="S320" s="362"/>
      <c r="T320" s="341"/>
      <c r="U320" s="341"/>
      <c r="V320" s="341"/>
    </row>
    <row r="321" spans="1:22" s="368" customFormat="1">
      <c r="A321" s="336"/>
      <c r="B321" s="692"/>
      <c r="C321" s="693"/>
      <c r="D321" s="356" t="str">
        <f ca="1">IF(ISERROR(OFFSET('HARGA SATUAN'!$D$6,MATCH(RAB!C321,'HARGA SATUAN'!$C$7:$C$1492,0),0)),"",OFFSET('HARGA SATUAN'!$D$6,MATCH(RAB!C321,'HARGA SATUAN'!$C$7:$C$1492,0),0))</f>
        <v/>
      </c>
      <c r="E321" s="357" t="str">
        <f ca="1">IF(B321="+","Unit",IF(ISERROR(OFFSET('HARGA SATUAN'!$E$6,MATCH(RAB!C321,'HARGA SATUAN'!$C$7:$C$1492,0),0)),"",OFFSET('HARGA SATUAN'!$E$6,MATCH(RAB!C321,'HARGA SATUAN'!$C$7:$C$1492,0),0)))</f>
        <v/>
      </c>
      <c r="F321" s="714"/>
      <c r="G321" s="358">
        <f ca="1">IF(ISERROR(OFFSET('HARGA SATUAN'!$I$6,MATCH(RAB!C321,'HARGA SATUAN'!$C$7:$C$1492,0),0)),0,OFFSET('HARGA SATUAN'!$I$6,MATCH(RAB!C321,'HARGA SATUAN'!$C$7:$C$1492,0),0))</f>
        <v>0</v>
      </c>
      <c r="H321" s="359">
        <f t="shared" ca="1" si="36"/>
        <v>0</v>
      </c>
      <c r="I321" s="359">
        <f t="shared" ca="1" si="37"/>
        <v>0</v>
      </c>
      <c r="J321" s="359">
        <f t="shared" ca="1" si="38"/>
        <v>0</v>
      </c>
      <c r="K321" s="360">
        <f t="shared" ca="1" si="39"/>
        <v>0</v>
      </c>
      <c r="L321" s="367"/>
      <c r="M321" s="367"/>
      <c r="N321" s="367"/>
      <c r="O321" s="361"/>
      <c r="P321" s="361"/>
      <c r="Q321" s="344"/>
      <c r="R321" s="336"/>
      <c r="S321" s="362"/>
      <c r="T321" s="341"/>
      <c r="U321" s="341"/>
      <c r="V321" s="341"/>
    </row>
    <row r="322" spans="1:22" s="368" customFormat="1">
      <c r="A322" s="336"/>
      <c r="B322" s="692" t="s">
        <v>1035</v>
      </c>
      <c r="C322" s="693" t="s">
        <v>1627</v>
      </c>
      <c r="D322" s="356" t="str">
        <f ca="1">IF(ISERROR(OFFSET('HARGA SATUAN'!$D$6,MATCH(RAB!C322,'HARGA SATUAN'!$C$7:$C$1492,0),0)),"",OFFSET('HARGA SATUAN'!$D$6,MATCH(RAB!C322,'HARGA SATUAN'!$C$7:$C$1492,0),0))</f>
        <v/>
      </c>
      <c r="E322" s="357" t="str">
        <f ca="1">IF(B322="+","Unit",IF(ISERROR(OFFSET('HARGA SATUAN'!$E$6,MATCH(RAB!C322,'HARGA SATUAN'!$C$7:$C$1492,0),0)),"",OFFSET('HARGA SATUAN'!$E$6,MATCH(RAB!C322,'HARGA SATUAN'!$C$7:$C$1492,0),0)))</f>
        <v>Unit</v>
      </c>
      <c r="F322" s="714"/>
      <c r="G322" s="358">
        <f ca="1">IF(ISERROR(OFFSET('HARGA SATUAN'!$I$6,MATCH(RAB!C322,'HARGA SATUAN'!$C$7:$C$1492,0),0)),0,OFFSET('HARGA SATUAN'!$I$6,MATCH(RAB!C322,'HARGA SATUAN'!$C$7:$C$1492,0),0))</f>
        <v>0</v>
      </c>
      <c r="H322" s="359">
        <f t="shared" ca="1" si="36"/>
        <v>0</v>
      </c>
      <c r="I322" s="359">
        <f t="shared" ca="1" si="37"/>
        <v>0</v>
      </c>
      <c r="J322" s="359">
        <f t="shared" ca="1" si="38"/>
        <v>0</v>
      </c>
      <c r="K322" s="360">
        <f t="shared" ca="1" si="39"/>
        <v>0</v>
      </c>
      <c r="L322" s="367"/>
      <c r="M322" s="367"/>
      <c r="N322" s="367"/>
      <c r="O322" s="361"/>
      <c r="P322" s="361"/>
      <c r="Q322" s="344"/>
      <c r="R322" s="336"/>
      <c r="S322" s="362"/>
      <c r="T322" s="341"/>
      <c r="U322" s="341"/>
      <c r="V322" s="341"/>
    </row>
    <row r="323" spans="1:22" s="368" customFormat="1">
      <c r="A323" s="336"/>
      <c r="B323" s="694">
        <v>1</v>
      </c>
      <c r="C323" s="109" t="s">
        <v>66</v>
      </c>
      <c r="D323" s="356" t="str">
        <f ca="1">IF(ISERROR(OFFSET('HARGA SATUAN'!$D$6,MATCH(RAB!C323,'HARGA SATUAN'!$C$7:$C$1492,0),0)),"",OFFSET('HARGA SATUAN'!$D$6,MATCH(RAB!C323,'HARGA SATUAN'!$C$7:$C$1492,0),0))</f>
        <v>MDU-KD</v>
      </c>
      <c r="E323" s="357" t="str">
        <f ca="1">IF(B323="+","Unit",IF(ISERROR(OFFSET('HARGA SATUAN'!$E$6,MATCH(RAB!C323,'HARGA SATUAN'!$C$7:$C$1492,0),0)),"",OFFSET('HARGA SATUAN'!$E$6,MATCH(RAB!C323,'HARGA SATUAN'!$C$7:$C$1492,0),0)))</f>
        <v>Mtr</v>
      </c>
      <c r="F323" s="715">
        <v>1000</v>
      </c>
      <c r="G323" s="358">
        <f ca="1">IF(ISERROR(OFFSET('HARGA SATUAN'!$I$6,MATCH(RAB!C323,'HARGA SATUAN'!$C$7:$C$1492,0),0)),0,OFFSET('HARGA SATUAN'!$I$6,MATCH(RAB!C323,'HARGA SATUAN'!$C$7:$C$1492,0),0))</f>
        <v>25300</v>
      </c>
      <c r="H323" s="359">
        <f t="shared" ca="1" si="36"/>
        <v>25300000</v>
      </c>
      <c r="I323" s="359">
        <f t="shared" ca="1" si="37"/>
        <v>0</v>
      </c>
      <c r="J323" s="359">
        <f t="shared" ca="1" si="38"/>
        <v>0</v>
      </c>
      <c r="K323" s="360">
        <f t="shared" ca="1" si="39"/>
        <v>25300000</v>
      </c>
      <c r="L323" s="367"/>
      <c r="M323" s="367"/>
      <c r="N323" s="367"/>
      <c r="O323" s="361"/>
      <c r="P323" s="361"/>
      <c r="Q323" s="344"/>
      <c r="R323" s="336"/>
      <c r="S323" s="362"/>
      <c r="T323" s="341"/>
      <c r="U323" s="341"/>
      <c r="V323" s="341"/>
    </row>
    <row r="324" spans="1:22" s="368" customFormat="1" ht="30">
      <c r="A324" s="336"/>
      <c r="B324" s="694">
        <v>2</v>
      </c>
      <c r="C324" s="109" t="s">
        <v>1202</v>
      </c>
      <c r="D324" s="356" t="str">
        <f ca="1">IF(ISERROR(OFFSET('HARGA SATUAN'!$D$6,MATCH(RAB!C324,'HARGA SATUAN'!$C$7:$C$1492,0),0)),"",OFFSET('HARGA SATUAN'!$D$6,MATCH(RAB!C324,'HARGA SATUAN'!$C$7:$C$1492,0),0))</f>
        <v>JASA</v>
      </c>
      <c r="E324" s="357" t="str">
        <f ca="1">IF(B324="+","Unit",IF(ISERROR(OFFSET('HARGA SATUAN'!$E$6,MATCH(RAB!C324,'HARGA SATUAN'!$C$7:$C$1492,0),0)),"",OFFSET('HARGA SATUAN'!$E$6,MATCH(RAB!C324,'HARGA SATUAN'!$C$7:$C$1492,0),0)))</f>
        <v>Per Kms</v>
      </c>
      <c r="F324" s="717">
        <v>0.4</v>
      </c>
      <c r="G324" s="358">
        <f ca="1">IF(ISERROR(OFFSET('HARGA SATUAN'!$I$6,MATCH(RAB!C324,'HARGA SATUAN'!$C$7:$C$1492,0),0)),0,OFFSET('HARGA SATUAN'!$I$6,MATCH(RAB!C324,'HARGA SATUAN'!$C$7:$C$1492,0),0))</f>
        <v>7034000</v>
      </c>
      <c r="H324" s="359">
        <f t="shared" ca="1" si="36"/>
        <v>0</v>
      </c>
      <c r="I324" s="359">
        <f t="shared" ca="1" si="37"/>
        <v>0</v>
      </c>
      <c r="J324" s="359">
        <f t="shared" ca="1" si="38"/>
        <v>2813600</v>
      </c>
      <c r="K324" s="360">
        <f t="shared" ca="1" si="39"/>
        <v>2813600</v>
      </c>
      <c r="L324" s="367"/>
      <c r="M324" s="367"/>
      <c r="N324" s="367"/>
      <c r="O324" s="361"/>
      <c r="P324" s="361"/>
      <c r="Q324" s="344"/>
      <c r="R324" s="336"/>
      <c r="S324" s="362"/>
      <c r="T324" s="341"/>
      <c r="U324" s="341"/>
      <c r="V324" s="341"/>
    </row>
    <row r="325" spans="1:22" s="368" customFormat="1">
      <c r="A325" s="336"/>
      <c r="B325" s="694">
        <v>3</v>
      </c>
      <c r="C325" s="197" t="s">
        <v>1101</v>
      </c>
      <c r="D325" s="356" t="str">
        <f ca="1">IF(ISERROR(OFFSET('HARGA SATUAN'!$D$6,MATCH(RAB!C325,'HARGA SATUAN'!$C$7:$C$1492,0),0)),"",OFFSET('HARGA SATUAN'!$D$6,MATCH(RAB!C325,'HARGA SATUAN'!$C$7:$C$1492,0),0))</f>
        <v>JASA</v>
      </c>
      <c r="E325" s="357" t="str">
        <f ca="1">IF(B325="+","Unit",IF(ISERROR(OFFSET('HARGA SATUAN'!$E$6,MATCH(RAB!C325,'HARGA SATUAN'!$C$7:$C$1492,0),0)),"",OFFSET('HARGA SATUAN'!$E$6,MATCH(RAB!C325,'HARGA SATUAN'!$C$7:$C$1492,0),0)))</f>
        <v>Bh</v>
      </c>
      <c r="F325" s="715">
        <v>3</v>
      </c>
      <c r="G325" s="358">
        <f ca="1">IF(ISERROR(OFFSET('HARGA SATUAN'!$I$6,MATCH(RAB!C325,'HARGA SATUAN'!$C$7:$C$1492,0),0)),0,OFFSET('HARGA SATUAN'!$I$6,MATCH(RAB!C325,'HARGA SATUAN'!$C$7:$C$1492,0),0))</f>
        <v>250000</v>
      </c>
      <c r="H325" s="359">
        <f t="shared" ca="1" si="36"/>
        <v>0</v>
      </c>
      <c r="I325" s="359">
        <f t="shared" ca="1" si="37"/>
        <v>0</v>
      </c>
      <c r="J325" s="359">
        <f t="shared" ca="1" si="38"/>
        <v>750000</v>
      </c>
      <c r="K325" s="360">
        <f t="shared" ca="1" si="39"/>
        <v>750000</v>
      </c>
      <c r="L325" s="367"/>
      <c r="M325" s="367"/>
      <c r="N325" s="367"/>
      <c r="O325" s="361"/>
      <c r="P325" s="361"/>
      <c r="Q325" s="344"/>
      <c r="R325" s="336"/>
      <c r="S325" s="362"/>
      <c r="T325" s="341"/>
      <c r="U325" s="341"/>
      <c r="V325" s="341"/>
    </row>
    <row r="326" spans="1:22" s="368" customFormat="1">
      <c r="A326" s="336"/>
      <c r="B326" s="692"/>
      <c r="C326" s="693"/>
      <c r="D326" s="356" t="str">
        <f ca="1">IF(ISERROR(OFFSET('HARGA SATUAN'!$D$6,MATCH(RAB!C326,'HARGA SATUAN'!$C$7:$C$1492,0),0)),"",OFFSET('HARGA SATUAN'!$D$6,MATCH(RAB!C326,'HARGA SATUAN'!$C$7:$C$1492,0),0))</f>
        <v/>
      </c>
      <c r="E326" s="357" t="str">
        <f ca="1">IF(B326="+","Unit",IF(ISERROR(OFFSET('HARGA SATUAN'!$E$6,MATCH(RAB!C326,'HARGA SATUAN'!$C$7:$C$1492,0),0)),"",OFFSET('HARGA SATUAN'!$E$6,MATCH(RAB!C326,'HARGA SATUAN'!$C$7:$C$1492,0),0)))</f>
        <v/>
      </c>
      <c r="F326" s="714"/>
      <c r="G326" s="358">
        <f ca="1">IF(ISERROR(OFFSET('HARGA SATUAN'!$I$6,MATCH(RAB!C326,'HARGA SATUAN'!$C$7:$C$1492,0),0)),0,OFFSET('HARGA SATUAN'!$I$6,MATCH(RAB!C326,'HARGA SATUAN'!$C$7:$C$1492,0),0))</f>
        <v>0</v>
      </c>
      <c r="H326" s="359">
        <f t="shared" ca="1" si="36"/>
        <v>0</v>
      </c>
      <c r="I326" s="359">
        <f t="shared" ca="1" si="37"/>
        <v>0</v>
      </c>
      <c r="J326" s="359">
        <f t="shared" ca="1" si="38"/>
        <v>0</v>
      </c>
      <c r="K326" s="360">
        <f t="shared" ca="1" si="39"/>
        <v>0</v>
      </c>
      <c r="L326" s="367"/>
      <c r="M326" s="367"/>
      <c r="N326" s="367"/>
      <c r="O326" s="361"/>
      <c r="P326" s="361"/>
      <c r="Q326" s="344"/>
      <c r="R326" s="336"/>
      <c r="S326" s="362"/>
      <c r="T326" s="341"/>
      <c r="U326" s="341"/>
      <c r="V326" s="341"/>
    </row>
    <row r="327" spans="1:22" s="368" customFormat="1">
      <c r="A327" s="336"/>
      <c r="B327" s="738" t="s">
        <v>1035</v>
      </c>
      <c r="C327" s="739" t="s">
        <v>1671</v>
      </c>
      <c r="D327" s="356" t="str">
        <f ca="1">IF(ISERROR(OFFSET('HARGA SATUAN'!$D$6,MATCH(RAB!C327,'HARGA SATUAN'!$C$7:$C$1492,0),0)),"",OFFSET('HARGA SATUAN'!$D$6,MATCH(RAB!C327,'HARGA SATUAN'!$C$7:$C$1492,0),0))</f>
        <v/>
      </c>
      <c r="E327" s="357" t="str">
        <f ca="1">IF(B327="+","Unit",IF(ISERROR(OFFSET('HARGA SATUAN'!$E$6,MATCH(RAB!C327,'HARGA SATUAN'!$C$7:$C$1492,0),0)),"",OFFSET('HARGA SATUAN'!$E$6,MATCH(RAB!C327,'HARGA SATUAN'!$C$7:$C$1492,0),0)))</f>
        <v>Unit</v>
      </c>
      <c r="F327" s="718"/>
      <c r="G327" s="358">
        <f ca="1">IF(ISERROR(OFFSET('HARGA SATUAN'!$I$6,MATCH(RAB!C327,'HARGA SATUAN'!$C$7:$C$1492,0),0)),0,OFFSET('HARGA SATUAN'!$I$6,MATCH(RAB!C327,'HARGA SATUAN'!$C$7:$C$1492,0),0))</f>
        <v>0</v>
      </c>
      <c r="H327" s="359">
        <f t="shared" ca="1" si="36"/>
        <v>0</v>
      </c>
      <c r="I327" s="359">
        <f t="shared" ca="1" si="37"/>
        <v>0</v>
      </c>
      <c r="J327" s="359">
        <f t="shared" ca="1" si="38"/>
        <v>0</v>
      </c>
      <c r="K327" s="360">
        <f t="shared" ca="1" si="39"/>
        <v>0</v>
      </c>
      <c r="L327" s="367"/>
      <c r="M327" s="367"/>
      <c r="N327" s="367"/>
      <c r="O327" s="361"/>
      <c r="P327" s="361"/>
      <c r="Q327" s="344"/>
      <c r="R327" s="336"/>
      <c r="S327" s="362"/>
      <c r="T327" s="341"/>
      <c r="U327" s="341"/>
      <c r="V327" s="341"/>
    </row>
    <row r="328" spans="1:22" s="368" customFormat="1">
      <c r="A328" s="336"/>
      <c r="B328" s="692"/>
      <c r="C328" s="693"/>
      <c r="D328" s="356" t="str">
        <f ca="1">IF(ISERROR(OFFSET('HARGA SATUAN'!$D$6,MATCH(RAB!C328,'HARGA SATUAN'!$C$7:$C$1492,0),0)),"",OFFSET('HARGA SATUAN'!$D$6,MATCH(RAB!C328,'HARGA SATUAN'!$C$7:$C$1492,0),0))</f>
        <v/>
      </c>
      <c r="E328" s="357" t="str">
        <f ca="1">IF(B328="+","Unit",IF(ISERROR(OFFSET('HARGA SATUAN'!$E$6,MATCH(RAB!C328,'HARGA SATUAN'!$C$7:$C$1492,0),0)),"",OFFSET('HARGA SATUAN'!$E$6,MATCH(RAB!C328,'HARGA SATUAN'!$C$7:$C$1492,0),0)))</f>
        <v/>
      </c>
      <c r="F328" s="714"/>
      <c r="G328" s="358">
        <f ca="1">IF(ISERROR(OFFSET('HARGA SATUAN'!$I$6,MATCH(RAB!C328,'HARGA SATUAN'!$C$7:$C$1492,0),0)),0,OFFSET('HARGA SATUAN'!$I$6,MATCH(RAB!C328,'HARGA SATUAN'!$C$7:$C$1492,0),0))</f>
        <v>0</v>
      </c>
      <c r="H328" s="359">
        <f t="shared" ca="1" si="36"/>
        <v>0</v>
      </c>
      <c r="I328" s="359">
        <f t="shared" ca="1" si="37"/>
        <v>0</v>
      </c>
      <c r="J328" s="359">
        <f t="shared" ca="1" si="38"/>
        <v>0</v>
      </c>
      <c r="K328" s="360">
        <f t="shared" ca="1" si="39"/>
        <v>0</v>
      </c>
      <c r="L328" s="367"/>
      <c r="M328" s="367"/>
      <c r="N328" s="367"/>
      <c r="O328" s="361"/>
      <c r="P328" s="361"/>
      <c r="Q328" s="344"/>
      <c r="R328" s="336"/>
      <c r="S328" s="362"/>
      <c r="T328" s="341"/>
      <c r="U328" s="341"/>
      <c r="V328" s="341"/>
    </row>
    <row r="329" spans="1:22" s="368" customFormat="1">
      <c r="A329" s="336"/>
      <c r="B329" s="692" t="s">
        <v>1035</v>
      </c>
      <c r="C329" s="693" t="s">
        <v>1628</v>
      </c>
      <c r="D329" s="356" t="str">
        <f ca="1">IF(ISERROR(OFFSET('HARGA SATUAN'!$D$6,MATCH(RAB!C329,'HARGA SATUAN'!$C$7:$C$1492,0),0)),"",OFFSET('HARGA SATUAN'!$D$6,MATCH(RAB!C329,'HARGA SATUAN'!$C$7:$C$1492,0),0))</f>
        <v/>
      </c>
      <c r="E329" s="357" t="str">
        <f ca="1">IF(B329="+","Unit",IF(ISERROR(OFFSET('HARGA SATUAN'!$E$6,MATCH(RAB!C329,'HARGA SATUAN'!$C$7:$C$1492,0),0)),"",OFFSET('HARGA SATUAN'!$E$6,MATCH(RAB!C329,'HARGA SATUAN'!$C$7:$C$1492,0),0)))</f>
        <v>Unit</v>
      </c>
      <c r="F329" s="489">
        <v>1</v>
      </c>
      <c r="G329" s="358">
        <f ca="1">IF(ISERROR(OFFSET('HARGA SATUAN'!$I$6,MATCH(RAB!C329,'HARGA SATUAN'!$C$7:$C$1492,0),0)),0,OFFSET('HARGA SATUAN'!$I$6,MATCH(RAB!C329,'HARGA SATUAN'!$C$7:$C$1492,0),0))</f>
        <v>0</v>
      </c>
      <c r="H329" s="359">
        <f t="shared" ca="1" si="36"/>
        <v>0</v>
      </c>
      <c r="I329" s="359">
        <f t="shared" ca="1" si="37"/>
        <v>0</v>
      </c>
      <c r="J329" s="359">
        <f t="shared" ca="1" si="38"/>
        <v>0</v>
      </c>
      <c r="K329" s="360">
        <f t="shared" ca="1" si="39"/>
        <v>0</v>
      </c>
      <c r="L329" s="367"/>
      <c r="M329" s="367"/>
      <c r="N329" s="367"/>
      <c r="O329" s="361"/>
      <c r="P329" s="361"/>
      <c r="Q329" s="344"/>
      <c r="R329" s="336"/>
      <c r="S329" s="362"/>
      <c r="T329" s="341"/>
      <c r="U329" s="341"/>
      <c r="V329" s="341"/>
    </row>
    <row r="330" spans="1:22" s="368" customFormat="1">
      <c r="A330" s="336"/>
      <c r="B330" s="692">
        <v>1</v>
      </c>
      <c r="C330" s="109" t="s">
        <v>1564</v>
      </c>
      <c r="D330" s="356" t="str">
        <f ca="1">IF(ISERROR(OFFSET('HARGA SATUAN'!$D$6,MATCH(RAB!C330,'HARGA SATUAN'!$C$7:$C$1492,0),0)),"",OFFSET('HARGA SATUAN'!$D$6,MATCH(RAB!C330,'HARGA SATUAN'!$C$7:$C$1492,0),0))</f>
        <v>MDU-KD</v>
      </c>
      <c r="E330" s="357" t="str">
        <f ca="1">IF(B330="+","Unit",IF(ISERROR(OFFSET('HARGA SATUAN'!$E$6,MATCH(RAB!C330,'HARGA SATUAN'!$C$7:$C$1492,0),0)),"",OFFSET('HARGA SATUAN'!$E$6,MATCH(RAB!C330,'HARGA SATUAN'!$C$7:$C$1492,0),0)))</f>
        <v>Bh</v>
      </c>
      <c r="F330" s="489">
        <f>F329*1</f>
        <v>1</v>
      </c>
      <c r="G330" s="358">
        <f ca="1">IF(ISERROR(OFFSET('HARGA SATUAN'!$I$6,MATCH(RAB!C330,'HARGA SATUAN'!$C$7:$C$1492,0),0)),0,OFFSET('HARGA SATUAN'!$I$6,MATCH(RAB!C330,'HARGA SATUAN'!$C$7:$C$1492,0),0))</f>
        <v>235900</v>
      </c>
      <c r="H330" s="359">
        <f t="shared" ca="1" si="36"/>
        <v>235900</v>
      </c>
      <c r="I330" s="359">
        <f t="shared" ca="1" si="37"/>
        <v>0</v>
      </c>
      <c r="J330" s="359">
        <f t="shared" ca="1" si="38"/>
        <v>0</v>
      </c>
      <c r="K330" s="360">
        <f t="shared" ca="1" si="39"/>
        <v>235900</v>
      </c>
      <c r="L330" s="367"/>
      <c r="M330" s="367"/>
      <c r="N330" s="367"/>
      <c r="O330" s="361"/>
      <c r="P330" s="361"/>
      <c r="Q330" s="344"/>
      <c r="R330" s="336"/>
      <c r="S330" s="362"/>
      <c r="T330" s="341"/>
      <c r="U330" s="341"/>
      <c r="V330" s="341"/>
    </row>
    <row r="331" spans="1:22" s="368" customFormat="1">
      <c r="A331" s="336"/>
      <c r="B331" s="692">
        <v>2</v>
      </c>
      <c r="C331" s="109" t="s">
        <v>1564</v>
      </c>
      <c r="D331" s="356" t="str">
        <f ca="1">IF(ISERROR(OFFSET('HARGA SATUAN'!$D$6,MATCH(RAB!C331,'HARGA SATUAN'!$C$7:$C$1492,0),0)),"",OFFSET('HARGA SATUAN'!$D$6,MATCH(RAB!C331,'HARGA SATUAN'!$C$7:$C$1492,0),0))</f>
        <v>MDU-KD</v>
      </c>
      <c r="E331" s="357" t="str">
        <f ca="1">IF(B331="+","Unit",IF(ISERROR(OFFSET('HARGA SATUAN'!$E$6,MATCH(RAB!C331,'HARGA SATUAN'!$C$7:$C$1492,0),0)),"",OFFSET('HARGA SATUAN'!$E$6,MATCH(RAB!C331,'HARGA SATUAN'!$C$7:$C$1492,0),0)))</f>
        <v>Bh</v>
      </c>
      <c r="F331" s="489">
        <f>F329*2</f>
        <v>2</v>
      </c>
      <c r="G331" s="358">
        <f ca="1">IF(ISERROR(OFFSET('HARGA SATUAN'!$I$6,MATCH(RAB!C331,'HARGA SATUAN'!$C$7:$C$1492,0),0)),0,OFFSET('HARGA SATUAN'!$I$6,MATCH(RAB!C331,'HARGA SATUAN'!$C$7:$C$1492,0),0))</f>
        <v>235900</v>
      </c>
      <c r="H331" s="359">
        <f t="shared" ca="1" si="36"/>
        <v>471800</v>
      </c>
      <c r="I331" s="359">
        <f t="shared" ca="1" si="37"/>
        <v>0</v>
      </c>
      <c r="J331" s="359">
        <f t="shared" ca="1" si="38"/>
        <v>0</v>
      </c>
      <c r="K331" s="360">
        <f t="shared" ca="1" si="39"/>
        <v>471800</v>
      </c>
      <c r="L331" s="367"/>
      <c r="M331" s="367"/>
      <c r="N331" s="367"/>
      <c r="O331" s="361"/>
      <c r="P331" s="361"/>
      <c r="Q331" s="344"/>
      <c r="R331" s="336"/>
      <c r="S331" s="362"/>
      <c r="T331" s="341"/>
      <c r="U331" s="341"/>
      <c r="V331" s="341"/>
    </row>
    <row r="332" spans="1:22" s="368" customFormat="1">
      <c r="A332" s="336"/>
      <c r="B332" s="692">
        <v>3</v>
      </c>
      <c r="C332" s="109" t="s">
        <v>1565</v>
      </c>
      <c r="D332" s="356" t="str">
        <f ca="1">IF(ISERROR(OFFSET('HARGA SATUAN'!$D$6,MATCH(RAB!C332,'HARGA SATUAN'!$C$7:$C$1492,0),0)),"",OFFSET('HARGA SATUAN'!$D$6,MATCH(RAB!C332,'HARGA SATUAN'!$C$7:$C$1492,0),0))</f>
        <v>MDU-KD</v>
      </c>
      <c r="E332" s="357" t="str">
        <f ca="1">IF(B332="+","Unit",IF(ISERROR(OFFSET('HARGA SATUAN'!$E$6,MATCH(RAB!C332,'HARGA SATUAN'!$C$7:$C$1492,0),0)),"",OFFSET('HARGA SATUAN'!$E$6,MATCH(RAB!C332,'HARGA SATUAN'!$C$7:$C$1492,0),0)))</f>
        <v>Set</v>
      </c>
      <c r="F332" s="714">
        <f>F329*6</f>
        <v>6</v>
      </c>
      <c r="G332" s="358">
        <f ca="1">IF(ISERROR(OFFSET('HARGA SATUAN'!$I$6,MATCH(RAB!C332,'HARGA SATUAN'!$C$7:$C$1492,0),0)),0,OFFSET('HARGA SATUAN'!$I$6,MATCH(RAB!C332,'HARGA SATUAN'!$C$7:$C$1492,0),0))</f>
        <v>430000</v>
      </c>
      <c r="H332" s="359">
        <f t="shared" ca="1" si="36"/>
        <v>2580000</v>
      </c>
      <c r="I332" s="359">
        <f t="shared" ca="1" si="37"/>
        <v>0</v>
      </c>
      <c r="J332" s="359">
        <f t="shared" ca="1" si="38"/>
        <v>0</v>
      </c>
      <c r="K332" s="360">
        <f t="shared" ca="1" si="39"/>
        <v>2580000</v>
      </c>
      <c r="L332" s="367"/>
      <c r="M332" s="367"/>
      <c r="N332" s="367"/>
      <c r="O332" s="361"/>
      <c r="P332" s="361"/>
      <c r="Q332" s="344"/>
      <c r="R332" s="336"/>
      <c r="S332" s="362"/>
      <c r="T332" s="341"/>
      <c r="U332" s="341"/>
      <c r="V332" s="341"/>
    </row>
    <row r="333" spans="1:22" s="368" customFormat="1">
      <c r="A333" s="336"/>
      <c r="B333" s="692">
        <v>4</v>
      </c>
      <c r="C333" s="693" t="s">
        <v>152</v>
      </c>
      <c r="D333" s="356" t="str">
        <f ca="1">IF(ISERROR(OFFSET('HARGA SATUAN'!$D$6,MATCH(RAB!C333,'HARGA SATUAN'!$C$7:$C$1492,0),0)),"",OFFSET('HARGA SATUAN'!$D$6,MATCH(RAB!C333,'HARGA SATUAN'!$C$7:$C$1492,0),0))</f>
        <v>HDW</v>
      </c>
      <c r="E333" s="357" t="str">
        <f ca="1">IF(B333="+","Unit",IF(ISERROR(OFFSET('HARGA SATUAN'!$E$6,MATCH(RAB!C333,'HARGA SATUAN'!$C$7:$C$1492,0),0)),"",OFFSET('HARGA SATUAN'!$E$6,MATCH(RAB!C333,'HARGA SATUAN'!$C$7:$C$1492,0),0)))</f>
        <v>Mtr</v>
      </c>
      <c r="F333" s="489">
        <f>F329*2</f>
        <v>2</v>
      </c>
      <c r="G333" s="358">
        <f ca="1">IF(ISERROR(OFFSET('HARGA SATUAN'!$I$6,MATCH(RAB!C333,'HARGA SATUAN'!$C$7:$C$1492,0),0)),0,OFFSET('HARGA SATUAN'!$I$6,MATCH(RAB!C333,'HARGA SATUAN'!$C$7:$C$1492,0),0))</f>
        <v>7789</v>
      </c>
      <c r="H333" s="359">
        <f t="shared" ca="1" si="36"/>
        <v>0</v>
      </c>
      <c r="I333" s="359">
        <f t="shared" ca="1" si="37"/>
        <v>15578</v>
      </c>
      <c r="J333" s="359">
        <f t="shared" ca="1" si="38"/>
        <v>0</v>
      </c>
      <c r="K333" s="360">
        <f t="shared" ca="1" si="39"/>
        <v>15578</v>
      </c>
      <c r="L333" s="367"/>
      <c r="M333" s="367"/>
      <c r="N333" s="367"/>
      <c r="O333" s="361"/>
      <c r="P333" s="361"/>
      <c r="Q333" s="344"/>
      <c r="R333" s="336"/>
      <c r="S333" s="362"/>
      <c r="T333" s="341"/>
      <c r="U333" s="341"/>
      <c r="V333" s="341"/>
    </row>
    <row r="334" spans="1:22" s="368" customFormat="1">
      <c r="A334" s="336"/>
      <c r="B334" s="696">
        <v>5</v>
      </c>
      <c r="C334" s="697" t="s">
        <v>157</v>
      </c>
      <c r="D334" s="356" t="str">
        <f ca="1">IF(ISERROR(OFFSET('HARGA SATUAN'!$D$6,MATCH(RAB!C334,'HARGA SATUAN'!$C$7:$C$1492,0),0)),"",OFFSET('HARGA SATUAN'!$D$6,MATCH(RAB!C334,'HARGA SATUAN'!$C$7:$C$1492,0),0))</f>
        <v>HDW</v>
      </c>
      <c r="E334" s="357" t="str">
        <f ca="1">IF(B334="+","Unit",IF(ISERROR(OFFSET('HARGA SATUAN'!$E$6,MATCH(RAB!C334,'HARGA SATUAN'!$C$7:$C$1492,0),0)),"",OFFSET('HARGA SATUAN'!$E$6,MATCH(RAB!C334,'HARGA SATUAN'!$C$7:$C$1492,0),0)))</f>
        <v>Bh</v>
      </c>
      <c r="F334" s="716">
        <f>F329*2</f>
        <v>2</v>
      </c>
      <c r="G334" s="358">
        <f ca="1">IF(ISERROR(OFFSET('HARGA SATUAN'!$I$6,MATCH(RAB!C334,'HARGA SATUAN'!$C$7:$C$1492,0),0)),0,OFFSET('HARGA SATUAN'!$I$6,MATCH(RAB!C334,'HARGA SATUAN'!$C$7:$C$1492,0),0))</f>
        <v>40000</v>
      </c>
      <c r="H334" s="359">
        <f t="shared" ca="1" si="36"/>
        <v>0</v>
      </c>
      <c r="I334" s="359">
        <f t="shared" ca="1" si="37"/>
        <v>80000</v>
      </c>
      <c r="J334" s="359">
        <f t="shared" ca="1" si="38"/>
        <v>0</v>
      </c>
      <c r="K334" s="360">
        <f t="shared" ca="1" si="39"/>
        <v>80000</v>
      </c>
      <c r="L334" s="367"/>
      <c r="M334" s="367"/>
      <c r="N334" s="367"/>
      <c r="O334" s="361"/>
      <c r="P334" s="361"/>
      <c r="Q334" s="344"/>
      <c r="R334" s="336"/>
      <c r="S334" s="362"/>
      <c r="T334" s="341"/>
      <c r="U334" s="341"/>
      <c r="V334" s="341"/>
    </row>
    <row r="335" spans="1:22" s="368" customFormat="1">
      <c r="A335" s="336"/>
      <c r="B335" s="696">
        <v>6</v>
      </c>
      <c r="C335" s="697" t="s">
        <v>28</v>
      </c>
      <c r="D335" s="356" t="str">
        <f ca="1">IF(ISERROR(OFFSET('HARGA SATUAN'!$D$6,MATCH(RAB!C335,'HARGA SATUAN'!$C$7:$C$1492,0),0)),"",OFFSET('HARGA SATUAN'!$D$6,MATCH(RAB!C335,'HARGA SATUAN'!$C$7:$C$1492,0),0))</f>
        <v>HDW</v>
      </c>
      <c r="E335" s="357" t="str">
        <f ca="1">IF(B335="+","Unit",IF(ISERROR(OFFSET('HARGA SATUAN'!$E$6,MATCH(RAB!C335,'HARGA SATUAN'!$C$7:$C$1492,0),0)),"",OFFSET('HARGA SATUAN'!$E$6,MATCH(RAB!C335,'HARGA SATUAN'!$C$7:$C$1492,0),0)))</f>
        <v>Bh</v>
      </c>
      <c r="F335" s="716">
        <f>F329*3</f>
        <v>3</v>
      </c>
      <c r="G335" s="358">
        <f ca="1">IF(ISERROR(OFFSET('HARGA SATUAN'!$I$6,MATCH(RAB!C335,'HARGA SATUAN'!$C$7:$C$1492,0),0)),0,OFFSET('HARGA SATUAN'!$I$6,MATCH(RAB!C335,'HARGA SATUAN'!$C$7:$C$1492,0),0))</f>
        <v>26500</v>
      </c>
      <c r="H335" s="359">
        <f t="shared" ca="1" si="36"/>
        <v>0</v>
      </c>
      <c r="I335" s="359">
        <f t="shared" ca="1" si="37"/>
        <v>79500</v>
      </c>
      <c r="J335" s="359">
        <f t="shared" ca="1" si="38"/>
        <v>0</v>
      </c>
      <c r="K335" s="360">
        <f t="shared" ca="1" si="39"/>
        <v>79500</v>
      </c>
      <c r="L335" s="367"/>
      <c r="M335" s="367"/>
      <c r="N335" s="367"/>
      <c r="O335" s="361"/>
      <c r="P335" s="361"/>
      <c r="Q335" s="344"/>
      <c r="R335" s="336"/>
      <c r="S335" s="362"/>
      <c r="T335" s="341"/>
      <c r="U335" s="341"/>
      <c r="V335" s="341"/>
    </row>
    <row r="336" spans="1:22" s="368" customFormat="1">
      <c r="A336" s="336"/>
      <c r="B336" s="696">
        <v>7</v>
      </c>
      <c r="C336" s="697" t="s">
        <v>163</v>
      </c>
      <c r="D336" s="356" t="str">
        <f ca="1">IF(ISERROR(OFFSET('HARGA SATUAN'!$D$6,MATCH(RAB!C336,'HARGA SATUAN'!$C$7:$C$1492,0),0)),"",OFFSET('HARGA SATUAN'!$D$6,MATCH(RAB!C336,'HARGA SATUAN'!$C$7:$C$1492,0),0))</f>
        <v>HDW</v>
      </c>
      <c r="E336" s="357" t="str">
        <f ca="1">IF(B336="+","Unit",IF(ISERROR(OFFSET('HARGA SATUAN'!$E$6,MATCH(RAB!C336,'HARGA SATUAN'!$C$7:$C$1492,0),0)),"",OFFSET('HARGA SATUAN'!$E$6,MATCH(RAB!C336,'HARGA SATUAN'!$C$7:$C$1492,0),0)))</f>
        <v>Bh</v>
      </c>
      <c r="F336" s="716">
        <f>F329*4</f>
        <v>4</v>
      </c>
      <c r="G336" s="358">
        <f ca="1">IF(ISERROR(OFFSET('HARGA SATUAN'!$I$6,MATCH(RAB!C336,'HARGA SATUAN'!$C$7:$C$1492,0),0)),0,OFFSET('HARGA SATUAN'!$I$6,MATCH(RAB!C336,'HARGA SATUAN'!$C$7:$C$1492,0),0))</f>
        <v>7938</v>
      </c>
      <c r="H336" s="359">
        <f t="shared" ca="1" si="36"/>
        <v>0</v>
      </c>
      <c r="I336" s="359">
        <f t="shared" ca="1" si="37"/>
        <v>31752</v>
      </c>
      <c r="J336" s="359">
        <f t="shared" ca="1" si="38"/>
        <v>0</v>
      </c>
      <c r="K336" s="360">
        <f t="shared" ca="1" si="39"/>
        <v>31752</v>
      </c>
      <c r="L336" s="367"/>
      <c r="M336" s="367"/>
      <c r="N336" s="367"/>
      <c r="O336" s="361"/>
      <c r="P336" s="361"/>
      <c r="Q336" s="344"/>
      <c r="R336" s="336"/>
      <c r="S336" s="362"/>
      <c r="T336" s="341"/>
      <c r="U336" s="341"/>
      <c r="V336" s="341"/>
    </row>
    <row r="337" spans="1:22" s="368" customFormat="1">
      <c r="A337" s="336"/>
      <c r="B337" s="696">
        <v>8</v>
      </c>
      <c r="C337" s="697" t="s">
        <v>173</v>
      </c>
      <c r="D337" s="356" t="str">
        <f ca="1">IF(ISERROR(OFFSET('HARGA SATUAN'!$D$6,MATCH(RAB!C337,'HARGA SATUAN'!$C$7:$C$1492,0),0)),"",OFFSET('HARGA SATUAN'!$D$6,MATCH(RAB!C337,'HARGA SATUAN'!$C$7:$C$1492,0),0))</f>
        <v>HDW</v>
      </c>
      <c r="E337" s="357" t="str">
        <f ca="1">IF(B337="+","Unit",IF(ISERROR(OFFSET('HARGA SATUAN'!$E$6,MATCH(RAB!C337,'HARGA SATUAN'!$C$7:$C$1492,0),0)),"",OFFSET('HARGA SATUAN'!$E$6,MATCH(RAB!C337,'HARGA SATUAN'!$C$7:$C$1492,0),0)))</f>
        <v>Bh</v>
      </c>
      <c r="F337" s="716">
        <f>F329*4</f>
        <v>4</v>
      </c>
      <c r="G337" s="358">
        <f ca="1">IF(ISERROR(OFFSET('HARGA SATUAN'!$I$6,MATCH(RAB!C337,'HARGA SATUAN'!$C$7:$C$1492,0),0)),0,OFFSET('HARGA SATUAN'!$I$6,MATCH(RAB!C337,'HARGA SATUAN'!$C$7:$C$1492,0),0))</f>
        <v>45000</v>
      </c>
      <c r="H337" s="359">
        <f t="shared" ca="1" si="36"/>
        <v>0</v>
      </c>
      <c r="I337" s="359">
        <f t="shared" ca="1" si="37"/>
        <v>180000</v>
      </c>
      <c r="J337" s="359">
        <f t="shared" ca="1" si="38"/>
        <v>0</v>
      </c>
      <c r="K337" s="360">
        <f t="shared" ca="1" si="39"/>
        <v>180000</v>
      </c>
      <c r="L337" s="367"/>
      <c r="M337" s="367"/>
      <c r="N337" s="367"/>
      <c r="O337" s="361"/>
      <c r="P337" s="361"/>
      <c r="Q337" s="344"/>
      <c r="R337" s="336"/>
      <c r="S337" s="362"/>
      <c r="T337" s="341"/>
      <c r="U337" s="341"/>
      <c r="V337" s="341"/>
    </row>
    <row r="338" spans="1:22" s="368" customFormat="1">
      <c r="A338" s="336"/>
      <c r="B338" s="696">
        <v>9</v>
      </c>
      <c r="C338" s="697" t="s">
        <v>178</v>
      </c>
      <c r="D338" s="356" t="str">
        <f ca="1">IF(ISERROR(OFFSET('HARGA SATUAN'!$D$6,MATCH(RAB!C338,'HARGA SATUAN'!$C$7:$C$1492,0),0)),"",OFFSET('HARGA SATUAN'!$D$6,MATCH(RAB!C338,'HARGA SATUAN'!$C$7:$C$1492,0),0))</f>
        <v>HDW</v>
      </c>
      <c r="E338" s="357" t="str">
        <f ca="1">IF(B338="+","Unit",IF(ISERROR(OFFSET('HARGA SATUAN'!$E$6,MATCH(RAB!C338,'HARGA SATUAN'!$C$7:$C$1492,0),0)),"",OFFSET('HARGA SATUAN'!$E$6,MATCH(RAB!C338,'HARGA SATUAN'!$C$7:$C$1492,0),0)))</f>
        <v>Bh</v>
      </c>
      <c r="F338" s="716">
        <f>F329*1</f>
        <v>1</v>
      </c>
      <c r="G338" s="358">
        <f ca="1">IF(ISERROR(OFFSET('HARGA SATUAN'!$I$6,MATCH(RAB!C338,'HARGA SATUAN'!$C$7:$C$1492,0),0)),0,OFFSET('HARGA SATUAN'!$I$6,MATCH(RAB!C338,'HARGA SATUAN'!$C$7:$C$1492,0),0))</f>
        <v>95000</v>
      </c>
      <c r="H338" s="359">
        <f t="shared" ca="1" si="36"/>
        <v>0</v>
      </c>
      <c r="I338" s="359">
        <f t="shared" ca="1" si="37"/>
        <v>95000</v>
      </c>
      <c r="J338" s="359">
        <f t="shared" ca="1" si="38"/>
        <v>0</v>
      </c>
      <c r="K338" s="360">
        <f t="shared" ca="1" si="39"/>
        <v>95000</v>
      </c>
      <c r="L338" s="367"/>
      <c r="M338" s="367"/>
      <c r="N338" s="367"/>
      <c r="O338" s="361"/>
      <c r="P338" s="361"/>
      <c r="Q338" s="344"/>
      <c r="R338" s="336"/>
      <c r="S338" s="362"/>
      <c r="T338" s="341"/>
      <c r="U338" s="341"/>
      <c r="V338" s="341"/>
    </row>
    <row r="339" spans="1:22" s="368" customFormat="1">
      <c r="A339" s="336"/>
      <c r="B339" s="696">
        <v>10</v>
      </c>
      <c r="C339" s="697" t="s">
        <v>179</v>
      </c>
      <c r="D339" s="356" t="str">
        <f ca="1">IF(ISERROR(OFFSET('HARGA SATUAN'!$D$6,MATCH(RAB!C339,'HARGA SATUAN'!$C$7:$C$1492,0),0)),"",OFFSET('HARGA SATUAN'!$D$6,MATCH(RAB!C339,'HARGA SATUAN'!$C$7:$C$1492,0),0))</f>
        <v>HDW</v>
      </c>
      <c r="E339" s="357" t="str">
        <f ca="1">IF(B339="+","Unit",IF(ISERROR(OFFSET('HARGA SATUAN'!$E$6,MATCH(RAB!C339,'HARGA SATUAN'!$C$7:$C$1492,0),0)),"",OFFSET('HARGA SATUAN'!$E$6,MATCH(RAB!C339,'HARGA SATUAN'!$C$7:$C$1492,0),0)))</f>
        <v>Bh</v>
      </c>
      <c r="F339" s="716">
        <f>F329*2</f>
        <v>2</v>
      </c>
      <c r="G339" s="358">
        <f ca="1">IF(ISERROR(OFFSET('HARGA SATUAN'!$I$6,MATCH(RAB!C339,'HARGA SATUAN'!$C$7:$C$1492,0),0)),0,OFFSET('HARGA SATUAN'!$I$6,MATCH(RAB!C339,'HARGA SATUAN'!$C$7:$C$1492,0),0))</f>
        <v>15500</v>
      </c>
      <c r="H339" s="359">
        <f t="shared" ca="1" si="36"/>
        <v>0</v>
      </c>
      <c r="I339" s="359">
        <f t="shared" ca="1" si="37"/>
        <v>31000</v>
      </c>
      <c r="J339" s="359">
        <f t="shared" ca="1" si="38"/>
        <v>0</v>
      </c>
      <c r="K339" s="360">
        <f t="shared" ca="1" si="39"/>
        <v>31000</v>
      </c>
      <c r="L339" s="367"/>
      <c r="M339" s="367"/>
      <c r="N339" s="367"/>
      <c r="O339" s="361"/>
      <c r="P339" s="361"/>
      <c r="Q339" s="344"/>
      <c r="R339" s="336"/>
      <c r="S339" s="362"/>
      <c r="T339" s="341"/>
      <c r="U339" s="341"/>
      <c r="V339" s="341"/>
    </row>
    <row r="340" spans="1:22" s="368" customFormat="1">
      <c r="A340" s="336"/>
      <c r="B340" s="696">
        <v>11</v>
      </c>
      <c r="C340" s="697" t="s">
        <v>181</v>
      </c>
      <c r="D340" s="356" t="str">
        <f ca="1">IF(ISERROR(OFFSET('HARGA SATUAN'!$D$6,MATCH(RAB!C340,'HARGA SATUAN'!$C$7:$C$1492,0),0)),"",OFFSET('HARGA SATUAN'!$D$6,MATCH(RAB!C340,'HARGA SATUAN'!$C$7:$C$1492,0),0))</f>
        <v>HDW</v>
      </c>
      <c r="E340" s="357" t="str">
        <f ca="1">IF(B340="+","Unit",IF(ISERROR(OFFSET('HARGA SATUAN'!$E$6,MATCH(RAB!C340,'HARGA SATUAN'!$C$7:$C$1492,0),0)),"",OFFSET('HARGA SATUAN'!$E$6,MATCH(RAB!C340,'HARGA SATUAN'!$C$7:$C$1492,0),0)))</f>
        <v>Bh</v>
      </c>
      <c r="F340" s="716">
        <f>F329*4</f>
        <v>4</v>
      </c>
      <c r="G340" s="358">
        <f ca="1">IF(ISERROR(OFFSET('HARGA SATUAN'!$I$6,MATCH(RAB!C340,'HARGA SATUAN'!$C$7:$C$1492,0),0)),0,OFFSET('HARGA SATUAN'!$I$6,MATCH(RAB!C340,'HARGA SATUAN'!$C$7:$C$1492,0),0))</f>
        <v>28100</v>
      </c>
      <c r="H340" s="359">
        <f t="shared" ca="1" si="36"/>
        <v>0</v>
      </c>
      <c r="I340" s="359">
        <f t="shared" ca="1" si="37"/>
        <v>112400</v>
      </c>
      <c r="J340" s="359">
        <f t="shared" ca="1" si="38"/>
        <v>0</v>
      </c>
      <c r="K340" s="360">
        <f t="shared" ca="1" si="39"/>
        <v>112400</v>
      </c>
      <c r="L340" s="367"/>
      <c r="M340" s="367"/>
      <c r="N340" s="367"/>
      <c r="O340" s="361"/>
      <c r="P340" s="361"/>
      <c r="Q340" s="344"/>
      <c r="R340" s="336"/>
      <c r="S340" s="362"/>
      <c r="T340" s="341"/>
      <c r="U340" s="341"/>
      <c r="V340" s="341"/>
    </row>
    <row r="341" spans="1:22" s="368" customFormat="1">
      <c r="A341" s="336"/>
      <c r="B341" s="696">
        <v>12</v>
      </c>
      <c r="C341" s="697" t="s">
        <v>593</v>
      </c>
      <c r="D341" s="356" t="str">
        <f ca="1">IF(ISERROR(OFFSET('HARGA SATUAN'!$D$6,MATCH(RAB!C341,'HARGA SATUAN'!$C$7:$C$1492,0),0)),"",OFFSET('HARGA SATUAN'!$D$6,MATCH(RAB!C341,'HARGA SATUAN'!$C$7:$C$1492,0),0))</f>
        <v>HDW</v>
      </c>
      <c r="E341" s="357" t="str">
        <f ca="1">IF(B341="+","Unit",IF(ISERROR(OFFSET('HARGA SATUAN'!$E$6,MATCH(RAB!C341,'HARGA SATUAN'!$C$7:$C$1492,0),0)),"",OFFSET('HARGA SATUAN'!$E$6,MATCH(RAB!C341,'HARGA SATUAN'!$C$7:$C$1492,0),0)))</f>
        <v>Bh</v>
      </c>
      <c r="F341" s="716">
        <f>F329*2</f>
        <v>2</v>
      </c>
      <c r="G341" s="358">
        <f ca="1">IF(ISERROR(OFFSET('HARGA SATUAN'!$I$6,MATCH(RAB!C341,'HARGA SATUAN'!$C$7:$C$1492,0),0)),0,OFFSET('HARGA SATUAN'!$I$6,MATCH(RAB!C341,'HARGA SATUAN'!$C$7:$C$1492,0),0))</f>
        <v>380500</v>
      </c>
      <c r="H341" s="359">
        <f t="shared" ca="1" si="36"/>
        <v>0</v>
      </c>
      <c r="I341" s="359">
        <f t="shared" ca="1" si="37"/>
        <v>761000</v>
      </c>
      <c r="J341" s="359">
        <f t="shared" ca="1" si="38"/>
        <v>0</v>
      </c>
      <c r="K341" s="360">
        <f t="shared" ca="1" si="39"/>
        <v>761000</v>
      </c>
      <c r="L341" s="367"/>
      <c r="M341" s="367"/>
      <c r="N341" s="367"/>
      <c r="O341" s="361"/>
      <c r="P341" s="361"/>
      <c r="Q341" s="344"/>
      <c r="R341" s="336"/>
      <c r="S341" s="362"/>
      <c r="T341" s="341"/>
      <c r="U341" s="341"/>
      <c r="V341" s="341"/>
    </row>
    <row r="342" spans="1:22" s="368" customFormat="1">
      <c r="A342" s="336"/>
      <c r="B342" s="696">
        <v>13</v>
      </c>
      <c r="C342" s="697" t="s">
        <v>217</v>
      </c>
      <c r="D342" s="356" t="str">
        <f ca="1">IF(ISERROR(OFFSET('HARGA SATUAN'!$D$6,MATCH(RAB!C342,'HARGA SATUAN'!$C$7:$C$1492,0),0)),"",OFFSET('HARGA SATUAN'!$D$6,MATCH(RAB!C342,'HARGA SATUAN'!$C$7:$C$1492,0),0))</f>
        <v>HDW</v>
      </c>
      <c r="E342" s="357" t="str">
        <f ca="1">IF(B342="+","Unit",IF(ISERROR(OFFSET('HARGA SATUAN'!$E$6,MATCH(RAB!C342,'HARGA SATUAN'!$C$7:$C$1492,0),0)),"",OFFSET('HARGA SATUAN'!$E$6,MATCH(RAB!C342,'HARGA SATUAN'!$C$7:$C$1492,0),0)))</f>
        <v>Bh</v>
      </c>
      <c r="F342" s="716">
        <f>F329*3</f>
        <v>3</v>
      </c>
      <c r="G342" s="358">
        <f ca="1">IF(ISERROR(OFFSET('HARGA SATUAN'!$I$6,MATCH(RAB!C342,'HARGA SATUAN'!$C$7:$C$1492,0),0)),0,OFFSET('HARGA SATUAN'!$I$6,MATCH(RAB!C342,'HARGA SATUAN'!$C$7:$C$1492,0),0))</f>
        <v>11400</v>
      </c>
      <c r="H342" s="359">
        <f t="shared" ca="1" si="36"/>
        <v>0</v>
      </c>
      <c r="I342" s="359">
        <f t="shared" ca="1" si="37"/>
        <v>34200</v>
      </c>
      <c r="J342" s="359">
        <f t="shared" ca="1" si="38"/>
        <v>0</v>
      </c>
      <c r="K342" s="360">
        <f t="shared" ca="1" si="39"/>
        <v>34200</v>
      </c>
      <c r="L342" s="367"/>
      <c r="M342" s="367"/>
      <c r="N342" s="367"/>
      <c r="O342" s="361"/>
      <c r="P342" s="361"/>
      <c r="Q342" s="344"/>
      <c r="R342" s="336"/>
      <c r="S342" s="362"/>
      <c r="T342" s="341"/>
      <c r="U342" s="341"/>
      <c r="V342" s="341"/>
    </row>
    <row r="343" spans="1:22" s="368" customFormat="1">
      <c r="A343" s="336"/>
      <c r="B343" s="696">
        <v>14</v>
      </c>
      <c r="C343" s="697" t="s">
        <v>218</v>
      </c>
      <c r="D343" s="356" t="str">
        <f ca="1">IF(ISERROR(OFFSET('HARGA SATUAN'!$D$6,MATCH(RAB!C343,'HARGA SATUAN'!$C$7:$C$1492,0),0)),"",OFFSET('HARGA SATUAN'!$D$6,MATCH(RAB!C343,'HARGA SATUAN'!$C$7:$C$1492,0),0))</f>
        <v>HDW</v>
      </c>
      <c r="E343" s="357" t="str">
        <f ca="1">IF(B343="+","Unit",IF(ISERROR(OFFSET('HARGA SATUAN'!$E$6,MATCH(RAB!C343,'HARGA SATUAN'!$C$7:$C$1492,0),0)),"",OFFSET('HARGA SATUAN'!$E$6,MATCH(RAB!C343,'HARGA SATUAN'!$C$7:$C$1492,0),0)))</f>
        <v>Bh</v>
      </c>
      <c r="F343" s="716">
        <f>F329*4</f>
        <v>4</v>
      </c>
      <c r="G343" s="358">
        <f ca="1">IF(ISERROR(OFFSET('HARGA SATUAN'!$I$6,MATCH(RAB!C343,'HARGA SATUAN'!$C$7:$C$1492,0),0)),0,OFFSET('HARGA SATUAN'!$I$6,MATCH(RAB!C343,'HARGA SATUAN'!$C$7:$C$1492,0),0))</f>
        <v>29600</v>
      </c>
      <c r="H343" s="359">
        <f t="shared" ca="1" si="36"/>
        <v>0</v>
      </c>
      <c r="I343" s="359">
        <f t="shared" ca="1" si="37"/>
        <v>118400</v>
      </c>
      <c r="J343" s="359">
        <f t="shared" ca="1" si="38"/>
        <v>0</v>
      </c>
      <c r="K343" s="360">
        <f t="shared" ca="1" si="39"/>
        <v>118400</v>
      </c>
      <c r="L343" s="367"/>
      <c r="M343" s="367"/>
      <c r="N343" s="367"/>
      <c r="O343" s="361"/>
      <c r="P343" s="361"/>
      <c r="Q343" s="344"/>
      <c r="R343" s="336"/>
      <c r="S343" s="362"/>
      <c r="T343" s="341"/>
      <c r="U343" s="341"/>
      <c r="V343" s="341"/>
    </row>
    <row r="344" spans="1:22" s="368" customFormat="1">
      <c r="A344" s="336"/>
      <c r="B344" s="696">
        <v>15</v>
      </c>
      <c r="C344" s="697" t="s">
        <v>223</v>
      </c>
      <c r="D344" s="356" t="str">
        <f ca="1">IF(ISERROR(OFFSET('HARGA SATUAN'!$D$6,MATCH(RAB!C344,'HARGA SATUAN'!$C$7:$C$1492,0),0)),"",OFFSET('HARGA SATUAN'!$D$6,MATCH(RAB!C344,'HARGA SATUAN'!$C$7:$C$1492,0),0))</f>
        <v>HDW</v>
      </c>
      <c r="E344" s="357" t="str">
        <f ca="1">IF(B344="+","Unit",IF(ISERROR(OFFSET('HARGA SATUAN'!$E$6,MATCH(RAB!C344,'HARGA SATUAN'!$C$7:$C$1492,0),0)),"",OFFSET('HARGA SATUAN'!$E$6,MATCH(RAB!C344,'HARGA SATUAN'!$C$7:$C$1492,0),0)))</f>
        <v>Bh</v>
      </c>
      <c r="F344" s="716">
        <f>F329*3</f>
        <v>3</v>
      </c>
      <c r="G344" s="358">
        <f ca="1">IF(ISERROR(OFFSET('HARGA SATUAN'!$I$6,MATCH(RAB!C344,'HARGA SATUAN'!$C$7:$C$1492,0),0)),0,OFFSET('HARGA SATUAN'!$I$6,MATCH(RAB!C344,'HARGA SATUAN'!$C$7:$C$1492,0),0))</f>
        <v>27815</v>
      </c>
      <c r="H344" s="359">
        <f t="shared" ca="1" si="36"/>
        <v>0</v>
      </c>
      <c r="I344" s="359">
        <f t="shared" ca="1" si="37"/>
        <v>83445</v>
      </c>
      <c r="J344" s="359">
        <f t="shared" ca="1" si="38"/>
        <v>0</v>
      </c>
      <c r="K344" s="360">
        <f t="shared" ca="1" si="39"/>
        <v>83445</v>
      </c>
      <c r="L344" s="367"/>
      <c r="M344" s="367"/>
      <c r="N344" s="367"/>
      <c r="O344" s="361"/>
      <c r="P344" s="361"/>
      <c r="Q344" s="344"/>
      <c r="R344" s="336"/>
      <c r="S344" s="362"/>
      <c r="T344" s="341"/>
      <c r="U344" s="341"/>
      <c r="V344" s="341"/>
    </row>
    <row r="345" spans="1:22" s="368" customFormat="1">
      <c r="A345" s="336"/>
      <c r="B345" s="696">
        <v>16</v>
      </c>
      <c r="C345" s="697" t="s">
        <v>25</v>
      </c>
      <c r="D345" s="356" t="str">
        <f ca="1">IF(ISERROR(OFFSET('HARGA SATUAN'!$D$6,MATCH(RAB!C345,'HARGA SATUAN'!$C$7:$C$1492,0),0)),"",OFFSET('HARGA SATUAN'!$D$6,MATCH(RAB!C345,'HARGA SATUAN'!$C$7:$C$1492,0),0))</f>
        <v>HDW</v>
      </c>
      <c r="E345" s="357" t="str">
        <f ca="1">IF(B345="+","Unit",IF(ISERROR(OFFSET('HARGA SATUAN'!$E$6,MATCH(RAB!C345,'HARGA SATUAN'!$C$7:$C$1492,0),0)),"",OFFSET('HARGA SATUAN'!$E$6,MATCH(RAB!C345,'HARGA SATUAN'!$C$7:$C$1492,0),0)))</f>
        <v>Bh</v>
      </c>
      <c r="F345" s="716">
        <f>F329*9</f>
        <v>9</v>
      </c>
      <c r="G345" s="358">
        <f ca="1">IF(ISERROR(OFFSET('HARGA SATUAN'!$I$6,MATCH(RAB!C345,'HARGA SATUAN'!$C$7:$C$1492,0),0)),0,OFFSET('HARGA SATUAN'!$I$6,MATCH(RAB!C345,'HARGA SATUAN'!$C$7:$C$1492,0),0))</f>
        <v>23936</v>
      </c>
      <c r="H345" s="359">
        <f t="shared" ca="1" si="36"/>
        <v>0</v>
      </c>
      <c r="I345" s="359">
        <f t="shared" ca="1" si="37"/>
        <v>215424</v>
      </c>
      <c r="J345" s="359">
        <f t="shared" ca="1" si="38"/>
        <v>0</v>
      </c>
      <c r="K345" s="360">
        <f t="shared" ca="1" si="39"/>
        <v>215424</v>
      </c>
      <c r="L345" s="367"/>
      <c r="M345" s="367"/>
      <c r="N345" s="367"/>
      <c r="O345" s="361"/>
      <c r="P345" s="361"/>
      <c r="Q345" s="344"/>
      <c r="R345" s="336"/>
      <c r="S345" s="362"/>
      <c r="T345" s="341"/>
      <c r="U345" s="341"/>
      <c r="V345" s="341"/>
    </row>
    <row r="346" spans="1:22" s="368" customFormat="1">
      <c r="A346" s="336"/>
      <c r="B346" s="696">
        <v>17</v>
      </c>
      <c r="C346" s="697" t="s">
        <v>37</v>
      </c>
      <c r="D346" s="356" t="str">
        <f ca="1">IF(ISERROR(OFFSET('HARGA SATUAN'!$D$6,MATCH(RAB!C346,'HARGA SATUAN'!$C$7:$C$1492,0),0)),"",OFFSET('HARGA SATUAN'!$D$6,MATCH(RAB!C346,'HARGA SATUAN'!$C$7:$C$1492,0),0))</f>
        <v>HDW</v>
      </c>
      <c r="E346" s="357" t="str">
        <f ca="1">IF(B346="+","Unit",IF(ISERROR(OFFSET('HARGA SATUAN'!$E$6,MATCH(RAB!C346,'HARGA SATUAN'!$C$7:$C$1492,0),0)),"",OFFSET('HARGA SATUAN'!$E$6,MATCH(RAB!C346,'HARGA SATUAN'!$C$7:$C$1492,0),0)))</f>
        <v>Bh</v>
      </c>
      <c r="F346" s="716">
        <f>F329*1</f>
        <v>1</v>
      </c>
      <c r="G346" s="358">
        <f ca="1">IF(ISERROR(OFFSET('HARGA SATUAN'!$I$6,MATCH(RAB!C346,'HARGA SATUAN'!$C$7:$C$1492,0),0)),0,OFFSET('HARGA SATUAN'!$I$6,MATCH(RAB!C346,'HARGA SATUAN'!$C$7:$C$1492,0),0))</f>
        <v>63500</v>
      </c>
      <c r="H346" s="359">
        <f t="shared" ca="1" si="36"/>
        <v>0</v>
      </c>
      <c r="I346" s="359">
        <f t="shared" ca="1" si="37"/>
        <v>63500</v>
      </c>
      <c r="J346" s="359">
        <f t="shared" ca="1" si="38"/>
        <v>0</v>
      </c>
      <c r="K346" s="360">
        <f t="shared" ca="1" si="39"/>
        <v>63500</v>
      </c>
      <c r="L346" s="367"/>
      <c r="M346" s="367"/>
      <c r="N346" s="367"/>
      <c r="O346" s="361"/>
      <c r="P346" s="361"/>
      <c r="Q346" s="344"/>
      <c r="R346" s="336"/>
      <c r="S346" s="362"/>
      <c r="T346" s="341"/>
      <c r="U346" s="341"/>
      <c r="V346" s="341"/>
    </row>
    <row r="347" spans="1:22" s="368" customFormat="1">
      <c r="A347" s="336"/>
      <c r="B347" s="696">
        <v>18</v>
      </c>
      <c r="C347" s="697" t="s">
        <v>27</v>
      </c>
      <c r="D347" s="356" t="str">
        <f ca="1">IF(ISERROR(OFFSET('HARGA SATUAN'!$D$6,MATCH(RAB!C347,'HARGA SATUAN'!$C$7:$C$1492,0),0)),"",OFFSET('HARGA SATUAN'!$D$6,MATCH(RAB!C347,'HARGA SATUAN'!$C$7:$C$1492,0),0))</f>
        <v>HDW</v>
      </c>
      <c r="E347" s="357" t="str">
        <f ca="1">IF(B347="+","Unit",IF(ISERROR(OFFSET('HARGA SATUAN'!$E$6,MATCH(RAB!C347,'HARGA SATUAN'!$C$7:$C$1492,0),0)),"",OFFSET('HARGA SATUAN'!$E$6,MATCH(RAB!C347,'HARGA SATUAN'!$C$7:$C$1492,0),0)))</f>
        <v>Bh</v>
      </c>
      <c r="F347" s="716">
        <f>F329*8</f>
        <v>8</v>
      </c>
      <c r="G347" s="358">
        <f ca="1">IF(ISERROR(OFFSET('HARGA SATUAN'!$I$6,MATCH(RAB!C347,'HARGA SATUAN'!$C$7:$C$1492,0),0)),0,OFFSET('HARGA SATUAN'!$I$6,MATCH(RAB!C347,'HARGA SATUAN'!$C$7:$C$1492,0),0))</f>
        <v>16000</v>
      </c>
      <c r="H347" s="359">
        <f t="shared" ca="1" si="36"/>
        <v>0</v>
      </c>
      <c r="I347" s="359">
        <f t="shared" ca="1" si="37"/>
        <v>128000</v>
      </c>
      <c r="J347" s="359">
        <f t="shared" ca="1" si="38"/>
        <v>0</v>
      </c>
      <c r="K347" s="360">
        <f t="shared" ca="1" si="39"/>
        <v>128000</v>
      </c>
      <c r="L347" s="367"/>
      <c r="M347" s="367"/>
      <c r="N347" s="367"/>
      <c r="O347" s="361"/>
      <c r="P347" s="361"/>
      <c r="Q347" s="344"/>
      <c r="R347" s="336"/>
      <c r="S347" s="362"/>
      <c r="T347" s="341"/>
      <c r="U347" s="341"/>
      <c r="V347" s="341"/>
    </row>
    <row r="348" spans="1:22" s="368" customFormat="1">
      <c r="A348" s="336"/>
      <c r="B348" s="696">
        <v>19</v>
      </c>
      <c r="C348" s="697" t="s">
        <v>265</v>
      </c>
      <c r="D348" s="356" t="str">
        <f ca="1">IF(ISERROR(OFFSET('HARGA SATUAN'!$D$6,MATCH(RAB!C348,'HARGA SATUAN'!$C$7:$C$1492,0),0)),"",OFFSET('HARGA SATUAN'!$D$6,MATCH(RAB!C348,'HARGA SATUAN'!$C$7:$C$1492,0),0))</f>
        <v>HDW</v>
      </c>
      <c r="E348" s="357" t="str">
        <f ca="1">IF(B348="+","Unit",IF(ISERROR(OFFSET('HARGA SATUAN'!$E$6,MATCH(RAB!C348,'HARGA SATUAN'!$C$7:$C$1492,0),0)),"",OFFSET('HARGA SATUAN'!$E$6,MATCH(RAB!C348,'HARGA SATUAN'!$C$7:$C$1492,0),0)))</f>
        <v>Bh</v>
      </c>
      <c r="F348" s="716">
        <f>F329*2</f>
        <v>2</v>
      </c>
      <c r="G348" s="358">
        <f ca="1">IF(ISERROR(OFFSET('HARGA SATUAN'!$I$6,MATCH(RAB!C348,'HARGA SATUAN'!$C$7:$C$1492,0),0)),0,OFFSET('HARGA SATUAN'!$I$6,MATCH(RAB!C348,'HARGA SATUAN'!$C$7:$C$1492,0),0))</f>
        <v>33501.866666666669</v>
      </c>
      <c r="H348" s="359">
        <f t="shared" ref="H348:H431" ca="1" si="44">IF(OR(D348="MDU",D348="MDU-KD"),(IF($O$3="RAB NON MDU","PLN KD",G348*F348)),0)</f>
        <v>0</v>
      </c>
      <c r="I348" s="359">
        <f t="shared" ref="I348:I431" ca="1" si="45">IF(D348="HDW",G348*F348,0)</f>
        <v>67003.733333333337</v>
      </c>
      <c r="J348" s="359">
        <f t="shared" ref="J348:J431" ca="1" si="46">IF(D348="JASA",G348*F348,0)</f>
        <v>0</v>
      </c>
      <c r="K348" s="360">
        <f t="shared" ref="K348:K431" ca="1" si="47">SUM(H348:J348)</f>
        <v>67003.733333333337</v>
      </c>
      <c r="L348" s="367"/>
      <c r="M348" s="367"/>
      <c r="N348" s="367"/>
      <c r="O348" s="361"/>
      <c r="P348" s="361"/>
      <c r="Q348" s="344"/>
      <c r="R348" s="336"/>
      <c r="S348" s="362"/>
      <c r="T348" s="341"/>
      <c r="U348" s="341"/>
      <c r="V348" s="341"/>
    </row>
    <row r="349" spans="1:22" s="368" customFormat="1">
      <c r="A349" s="336"/>
      <c r="B349" s="696">
        <v>20</v>
      </c>
      <c r="C349" s="697" t="s">
        <v>38</v>
      </c>
      <c r="D349" s="356" t="str">
        <f ca="1">IF(ISERROR(OFFSET('HARGA SATUAN'!$D$6,MATCH(RAB!C349,'HARGA SATUAN'!$C$7:$C$1492,0),0)),"",OFFSET('HARGA SATUAN'!$D$6,MATCH(RAB!C349,'HARGA SATUAN'!$C$7:$C$1492,0),0))</f>
        <v>HDW</v>
      </c>
      <c r="E349" s="357" t="str">
        <f ca="1">IF(B349="+","Unit",IF(ISERROR(OFFSET('HARGA SATUAN'!$E$6,MATCH(RAB!C349,'HARGA SATUAN'!$C$7:$C$1492,0),0)),"",OFFSET('HARGA SATUAN'!$E$6,MATCH(RAB!C349,'HARGA SATUAN'!$C$7:$C$1492,0),0)))</f>
        <v>Mtr</v>
      </c>
      <c r="F349" s="716">
        <f>5.4*F329</f>
        <v>5.4</v>
      </c>
      <c r="G349" s="358">
        <f ca="1">IF(ISERROR(OFFSET('HARGA SATUAN'!$I$6,MATCH(RAB!C349,'HARGA SATUAN'!$C$7:$C$1492,0),0)),0,OFFSET('HARGA SATUAN'!$I$6,MATCH(RAB!C349,'HARGA SATUAN'!$C$7:$C$1492,0),0))</f>
        <v>8550</v>
      </c>
      <c r="H349" s="359">
        <f t="shared" ca="1" si="44"/>
        <v>0</v>
      </c>
      <c r="I349" s="359">
        <f t="shared" ca="1" si="45"/>
        <v>46170</v>
      </c>
      <c r="J349" s="359">
        <f t="shared" ca="1" si="46"/>
        <v>0</v>
      </c>
      <c r="K349" s="360">
        <f t="shared" ca="1" si="47"/>
        <v>46170</v>
      </c>
      <c r="L349" s="367"/>
      <c r="M349" s="367"/>
      <c r="N349" s="367"/>
      <c r="O349" s="361"/>
      <c r="P349" s="361"/>
      <c r="Q349" s="344"/>
      <c r="R349" s="336"/>
      <c r="S349" s="362"/>
      <c r="T349" s="341"/>
      <c r="U349" s="341"/>
      <c r="V349" s="341"/>
    </row>
    <row r="350" spans="1:22" s="368" customFormat="1">
      <c r="A350" s="336"/>
      <c r="B350" s="696">
        <v>21</v>
      </c>
      <c r="C350" s="697" t="s">
        <v>26</v>
      </c>
      <c r="D350" s="356" t="str">
        <f ca="1">IF(ISERROR(OFFSET('HARGA SATUAN'!$D$6,MATCH(RAB!C350,'HARGA SATUAN'!$C$7:$C$1492,0),0)),"",OFFSET('HARGA SATUAN'!$D$6,MATCH(RAB!C350,'HARGA SATUAN'!$C$7:$C$1492,0),0))</f>
        <v>HDW</v>
      </c>
      <c r="E350" s="357" t="str">
        <f ca="1">IF(B350="+","Unit",IF(ISERROR(OFFSET('HARGA SATUAN'!$E$6,MATCH(RAB!C350,'HARGA SATUAN'!$C$7:$C$1492,0),0)),"",OFFSET('HARGA SATUAN'!$E$6,MATCH(RAB!C350,'HARGA SATUAN'!$C$7:$C$1492,0),0)))</f>
        <v>Bh</v>
      </c>
      <c r="F350" s="716">
        <f>F329*13</f>
        <v>13</v>
      </c>
      <c r="G350" s="358">
        <f ca="1">IF(ISERROR(OFFSET('HARGA SATUAN'!$I$6,MATCH(RAB!C350,'HARGA SATUAN'!$C$7:$C$1492,0),0)),0,OFFSET('HARGA SATUAN'!$I$6,MATCH(RAB!C350,'HARGA SATUAN'!$C$7:$C$1492,0),0))</f>
        <v>2500</v>
      </c>
      <c r="H350" s="359">
        <f t="shared" ca="1" si="44"/>
        <v>0</v>
      </c>
      <c r="I350" s="359">
        <f t="shared" ca="1" si="45"/>
        <v>32500</v>
      </c>
      <c r="J350" s="359">
        <f t="shared" ca="1" si="46"/>
        <v>0</v>
      </c>
      <c r="K350" s="360">
        <f t="shared" ca="1" si="47"/>
        <v>32500</v>
      </c>
      <c r="L350" s="367"/>
      <c r="M350" s="367"/>
      <c r="N350" s="367"/>
      <c r="O350" s="361"/>
      <c r="P350" s="361"/>
      <c r="Q350" s="344"/>
      <c r="R350" s="336"/>
      <c r="S350" s="362"/>
      <c r="T350" s="341"/>
      <c r="U350" s="341"/>
      <c r="V350" s="341"/>
    </row>
    <row r="351" spans="1:22" s="368" customFormat="1">
      <c r="A351" s="336"/>
      <c r="B351" s="696">
        <v>22</v>
      </c>
      <c r="C351" s="693" t="s">
        <v>708</v>
      </c>
      <c r="D351" s="356" t="str">
        <f ca="1">IF(ISERROR(OFFSET('HARGA SATUAN'!$D$6,MATCH(RAB!C351,'HARGA SATUAN'!$C$7:$C$1492,0),0)),"",OFFSET('HARGA SATUAN'!$D$6,MATCH(RAB!C351,'HARGA SATUAN'!$C$7:$C$1492,0),0))</f>
        <v>JASA</v>
      </c>
      <c r="E351" s="357" t="str">
        <f ca="1">IF(B351="+","Unit",IF(ISERROR(OFFSET('HARGA SATUAN'!$E$6,MATCH(RAB!C351,'HARGA SATUAN'!$C$7:$C$1492,0),0)),"",OFFSET('HARGA SATUAN'!$E$6,MATCH(RAB!C351,'HARGA SATUAN'!$C$7:$C$1492,0),0)))</f>
        <v>Unit</v>
      </c>
      <c r="F351" s="716">
        <f>F329*1</f>
        <v>1</v>
      </c>
      <c r="G351" s="358">
        <f ca="1">IF(ISERROR(OFFSET('HARGA SATUAN'!$I$6,MATCH(RAB!C351,'HARGA SATUAN'!$C$7:$C$1492,0),0)),0,OFFSET('HARGA SATUAN'!$I$6,MATCH(RAB!C351,'HARGA SATUAN'!$C$7:$C$1492,0),0))</f>
        <v>254900</v>
      </c>
      <c r="H351" s="359">
        <f t="shared" ca="1" si="44"/>
        <v>0</v>
      </c>
      <c r="I351" s="359">
        <f t="shared" ca="1" si="45"/>
        <v>0</v>
      </c>
      <c r="J351" s="359">
        <f t="shared" ca="1" si="46"/>
        <v>254900</v>
      </c>
      <c r="K351" s="360">
        <f t="shared" ca="1" si="47"/>
        <v>254900</v>
      </c>
      <c r="L351" s="367"/>
      <c r="M351" s="367"/>
      <c r="N351" s="367"/>
      <c r="O351" s="361"/>
      <c r="P351" s="361"/>
      <c r="Q351" s="344"/>
      <c r="R351" s="336"/>
      <c r="S351" s="362"/>
      <c r="T351" s="341"/>
      <c r="U351" s="341"/>
      <c r="V351" s="341"/>
    </row>
    <row r="352" spans="1:22" s="368" customFormat="1">
      <c r="A352" s="336"/>
      <c r="B352" s="692"/>
      <c r="C352" s="693"/>
      <c r="D352" s="356" t="str">
        <f ca="1">IF(ISERROR(OFFSET('HARGA SATUAN'!$D$6,MATCH(RAB!C352,'HARGA SATUAN'!$C$7:$C$1492,0),0)),"",OFFSET('HARGA SATUAN'!$D$6,MATCH(RAB!C352,'HARGA SATUAN'!$C$7:$C$1492,0),0))</f>
        <v/>
      </c>
      <c r="E352" s="357" t="str">
        <f ca="1">IF(B352="+","Unit",IF(ISERROR(OFFSET('HARGA SATUAN'!$E$6,MATCH(RAB!C352,'HARGA SATUAN'!$C$7:$C$1492,0),0)),"",OFFSET('HARGA SATUAN'!$E$6,MATCH(RAB!C352,'HARGA SATUAN'!$C$7:$C$1492,0),0)))</f>
        <v/>
      </c>
      <c r="F352" s="714"/>
      <c r="G352" s="358">
        <f ca="1">IF(ISERROR(OFFSET('HARGA SATUAN'!$I$6,MATCH(RAB!C352,'HARGA SATUAN'!$C$7:$C$1492,0),0)),0,OFFSET('HARGA SATUAN'!$I$6,MATCH(RAB!C352,'HARGA SATUAN'!$C$7:$C$1492,0),0))</f>
        <v>0</v>
      </c>
      <c r="H352" s="359">
        <f t="shared" ca="1" si="44"/>
        <v>0</v>
      </c>
      <c r="I352" s="359">
        <f t="shared" ca="1" si="45"/>
        <v>0</v>
      </c>
      <c r="J352" s="359">
        <f t="shared" ca="1" si="46"/>
        <v>0</v>
      </c>
      <c r="K352" s="360">
        <f t="shared" ca="1" si="47"/>
        <v>0</v>
      </c>
      <c r="L352" s="367"/>
      <c r="M352" s="367"/>
      <c r="N352" s="367"/>
      <c r="O352" s="361"/>
      <c r="P352" s="361"/>
      <c r="Q352" s="344"/>
      <c r="R352" s="336"/>
      <c r="S352" s="362"/>
      <c r="T352" s="341"/>
      <c r="U352" s="341"/>
      <c r="V352" s="341"/>
    </row>
    <row r="353" spans="1:22" s="368" customFormat="1">
      <c r="A353" s="336"/>
      <c r="B353" s="692" t="s">
        <v>1035</v>
      </c>
      <c r="C353" s="693" t="s">
        <v>1672</v>
      </c>
      <c r="D353" s="356" t="str">
        <f ca="1">IF(ISERROR(OFFSET('HARGA SATUAN'!$D$6,MATCH(RAB!C353,'HARGA SATUAN'!$C$7:$C$1492,0),0)),"",OFFSET('HARGA SATUAN'!$D$6,MATCH(RAB!C353,'HARGA SATUAN'!$C$7:$C$1492,0),0))</f>
        <v/>
      </c>
      <c r="E353" s="357" t="str">
        <f ca="1">IF(B353="+","Unit",IF(ISERROR(OFFSET('HARGA SATUAN'!$E$6,MATCH(RAB!C353,'HARGA SATUAN'!$C$7:$C$1492,0),0)),"",OFFSET('HARGA SATUAN'!$E$6,MATCH(RAB!C353,'HARGA SATUAN'!$C$7:$C$1492,0),0)))</f>
        <v>Unit</v>
      </c>
      <c r="F353" s="714">
        <v>1</v>
      </c>
      <c r="G353" s="358">
        <f ca="1">IF(ISERROR(OFFSET('HARGA SATUAN'!$I$6,MATCH(RAB!C353,'HARGA SATUAN'!$C$7:$C$1492,0),0)),0,OFFSET('HARGA SATUAN'!$I$6,MATCH(RAB!C353,'HARGA SATUAN'!$C$7:$C$1492,0),0))</f>
        <v>0</v>
      </c>
      <c r="H353" s="359">
        <f t="shared" ref="H353:H373" ca="1" si="48">IF(OR(D353="MDU",D353="MDU-KD"),(IF($O$3="RAB NON MDU","PLN KD",G353*F353)),0)</f>
        <v>0</v>
      </c>
      <c r="I353" s="359">
        <f t="shared" ref="I353:I373" ca="1" si="49">IF(D353="HDW",G353*F353,0)</f>
        <v>0</v>
      </c>
      <c r="J353" s="359">
        <f t="shared" ref="J353:J373" ca="1" si="50">IF(D353="JASA",G353*F353,0)</f>
        <v>0</v>
      </c>
      <c r="K353" s="360">
        <f t="shared" ref="K353:K373" ca="1" si="51">SUM(H353:J353)</f>
        <v>0</v>
      </c>
      <c r="L353" s="367"/>
      <c r="M353" s="367"/>
      <c r="N353" s="367"/>
      <c r="O353" s="361"/>
      <c r="P353" s="361"/>
      <c r="Q353" s="344"/>
      <c r="R353" s="336"/>
      <c r="S353" s="362"/>
      <c r="T353" s="341"/>
      <c r="U353" s="341"/>
      <c r="V353" s="341"/>
    </row>
    <row r="354" spans="1:22" s="368" customFormat="1">
      <c r="A354" s="336"/>
      <c r="B354" s="692">
        <v>1</v>
      </c>
      <c r="C354" s="109" t="s">
        <v>1565</v>
      </c>
      <c r="D354" s="356" t="str">
        <f ca="1">IF(ISERROR(OFFSET('HARGA SATUAN'!$D$6,MATCH(RAB!C354,'HARGA SATUAN'!$C$7:$C$1492,0),0)),"",OFFSET('HARGA SATUAN'!$D$6,MATCH(RAB!C354,'HARGA SATUAN'!$C$7:$C$1492,0),0))</f>
        <v>MDU-KD</v>
      </c>
      <c r="E354" s="357" t="str">
        <f ca="1">IF(B354="+","Unit",IF(ISERROR(OFFSET('HARGA SATUAN'!$E$6,MATCH(RAB!C354,'HARGA SATUAN'!$C$7:$C$1492,0),0)),"",OFFSET('HARGA SATUAN'!$E$6,MATCH(RAB!C354,'HARGA SATUAN'!$C$7:$C$1492,0),0)))</f>
        <v>Set</v>
      </c>
      <c r="F354" s="714">
        <f>F353*3</f>
        <v>3</v>
      </c>
      <c r="G354" s="358">
        <f ca="1">IF(ISERROR(OFFSET('HARGA SATUAN'!$I$6,MATCH(RAB!C354,'HARGA SATUAN'!$C$7:$C$1492,0),0)),0,OFFSET('HARGA SATUAN'!$I$6,MATCH(RAB!C354,'HARGA SATUAN'!$C$7:$C$1492,0),0))</f>
        <v>430000</v>
      </c>
      <c r="H354" s="359">
        <f t="shared" ca="1" si="48"/>
        <v>1290000</v>
      </c>
      <c r="I354" s="359">
        <f t="shared" ca="1" si="49"/>
        <v>0</v>
      </c>
      <c r="J354" s="359">
        <f t="shared" ca="1" si="50"/>
        <v>0</v>
      </c>
      <c r="K354" s="360">
        <f t="shared" ca="1" si="51"/>
        <v>1290000</v>
      </c>
      <c r="L354" s="367"/>
      <c r="M354" s="367"/>
      <c r="N354" s="367"/>
      <c r="O354" s="361"/>
      <c r="P354" s="361"/>
      <c r="Q354" s="344"/>
      <c r="R354" s="336"/>
      <c r="S354" s="362"/>
      <c r="T354" s="341"/>
      <c r="U354" s="341"/>
      <c r="V354" s="341"/>
    </row>
    <row r="355" spans="1:22" s="368" customFormat="1">
      <c r="A355" s="336"/>
      <c r="B355" s="692">
        <v>2</v>
      </c>
      <c r="C355" s="693" t="s">
        <v>157</v>
      </c>
      <c r="D355" s="356" t="str">
        <f ca="1">IF(ISERROR(OFFSET('HARGA SATUAN'!$D$6,MATCH(RAB!C355,'HARGA SATUAN'!$C$7:$C$1492,0),0)),"",OFFSET('HARGA SATUAN'!$D$6,MATCH(RAB!C355,'HARGA SATUAN'!$C$7:$C$1492,0),0))</f>
        <v>HDW</v>
      </c>
      <c r="E355" s="357" t="str">
        <f ca="1">IF(B355="+","Unit",IF(ISERROR(OFFSET('HARGA SATUAN'!$E$6,MATCH(RAB!C355,'HARGA SATUAN'!$C$7:$C$1492,0),0)),"",OFFSET('HARGA SATUAN'!$E$6,MATCH(RAB!C355,'HARGA SATUAN'!$C$7:$C$1492,0),0)))</f>
        <v>Bh</v>
      </c>
      <c r="F355" s="714">
        <f>F353*2</f>
        <v>2</v>
      </c>
      <c r="G355" s="358">
        <f ca="1">IF(ISERROR(OFFSET('HARGA SATUAN'!$I$6,MATCH(RAB!C355,'HARGA SATUAN'!$C$7:$C$1492,0),0)),0,OFFSET('HARGA SATUAN'!$I$6,MATCH(RAB!C355,'HARGA SATUAN'!$C$7:$C$1492,0),0))</f>
        <v>40000</v>
      </c>
      <c r="H355" s="359">
        <f t="shared" ca="1" si="48"/>
        <v>0</v>
      </c>
      <c r="I355" s="359">
        <f t="shared" ca="1" si="49"/>
        <v>80000</v>
      </c>
      <c r="J355" s="359">
        <f t="shared" ca="1" si="50"/>
        <v>0</v>
      </c>
      <c r="K355" s="360">
        <f t="shared" ca="1" si="51"/>
        <v>80000</v>
      </c>
      <c r="L355" s="367"/>
      <c r="M355" s="367"/>
      <c r="N355" s="367"/>
      <c r="O355" s="361"/>
      <c r="P355" s="361"/>
      <c r="Q355" s="344"/>
      <c r="R355" s="336"/>
      <c r="S355" s="362"/>
      <c r="T355" s="341"/>
      <c r="U355" s="341"/>
      <c r="V355" s="341"/>
    </row>
    <row r="356" spans="1:22" s="368" customFormat="1">
      <c r="A356" s="336"/>
      <c r="B356" s="692">
        <v>3</v>
      </c>
      <c r="C356" s="693" t="s">
        <v>28</v>
      </c>
      <c r="D356" s="356" t="str">
        <f ca="1">IF(ISERROR(OFFSET('HARGA SATUAN'!$D$6,MATCH(RAB!C356,'HARGA SATUAN'!$C$7:$C$1492,0),0)),"",OFFSET('HARGA SATUAN'!$D$6,MATCH(RAB!C356,'HARGA SATUAN'!$C$7:$C$1492,0),0))</f>
        <v>HDW</v>
      </c>
      <c r="E356" s="357" t="str">
        <f ca="1">IF(B356="+","Unit",IF(ISERROR(OFFSET('HARGA SATUAN'!$E$6,MATCH(RAB!C356,'HARGA SATUAN'!$C$7:$C$1492,0),0)),"",OFFSET('HARGA SATUAN'!$E$6,MATCH(RAB!C356,'HARGA SATUAN'!$C$7:$C$1492,0),0)))</f>
        <v>Bh</v>
      </c>
      <c r="F356" s="714">
        <f>F353*1</f>
        <v>1</v>
      </c>
      <c r="G356" s="358">
        <f ca="1">IF(ISERROR(OFFSET('HARGA SATUAN'!$I$6,MATCH(RAB!C356,'HARGA SATUAN'!$C$7:$C$1492,0),0)),0,OFFSET('HARGA SATUAN'!$I$6,MATCH(RAB!C356,'HARGA SATUAN'!$C$7:$C$1492,0),0))</f>
        <v>26500</v>
      </c>
      <c r="H356" s="359">
        <f t="shared" ca="1" si="48"/>
        <v>0</v>
      </c>
      <c r="I356" s="359">
        <f t="shared" ca="1" si="49"/>
        <v>26500</v>
      </c>
      <c r="J356" s="359">
        <f t="shared" ca="1" si="50"/>
        <v>0</v>
      </c>
      <c r="K356" s="360">
        <f t="shared" ca="1" si="51"/>
        <v>26500</v>
      </c>
      <c r="L356" s="367"/>
      <c r="M356" s="367"/>
      <c r="N356" s="367"/>
      <c r="O356" s="361"/>
      <c r="P356" s="361"/>
      <c r="Q356" s="344"/>
      <c r="R356" s="336"/>
      <c r="S356" s="362"/>
      <c r="T356" s="341"/>
      <c r="U356" s="341"/>
      <c r="V356" s="341"/>
    </row>
    <row r="357" spans="1:22" s="368" customFormat="1">
      <c r="A357" s="336"/>
      <c r="B357" s="692">
        <v>4</v>
      </c>
      <c r="C357" s="693" t="s">
        <v>163</v>
      </c>
      <c r="D357" s="356" t="str">
        <f ca="1">IF(ISERROR(OFFSET('HARGA SATUAN'!$D$6,MATCH(RAB!C357,'HARGA SATUAN'!$C$7:$C$1492,0),0)),"",OFFSET('HARGA SATUAN'!$D$6,MATCH(RAB!C357,'HARGA SATUAN'!$C$7:$C$1492,0),0))</f>
        <v>HDW</v>
      </c>
      <c r="E357" s="357" t="str">
        <f ca="1">IF(B357="+","Unit",IF(ISERROR(OFFSET('HARGA SATUAN'!$E$6,MATCH(RAB!C357,'HARGA SATUAN'!$C$7:$C$1492,0),0)),"",OFFSET('HARGA SATUAN'!$E$6,MATCH(RAB!C357,'HARGA SATUAN'!$C$7:$C$1492,0),0)))</f>
        <v>Bh</v>
      </c>
      <c r="F357" s="714">
        <f>F353*4</f>
        <v>4</v>
      </c>
      <c r="G357" s="358">
        <f ca="1">IF(ISERROR(OFFSET('HARGA SATUAN'!$I$6,MATCH(RAB!C357,'HARGA SATUAN'!$C$7:$C$1492,0),0)),0,OFFSET('HARGA SATUAN'!$I$6,MATCH(RAB!C357,'HARGA SATUAN'!$C$7:$C$1492,0),0))</f>
        <v>7938</v>
      </c>
      <c r="H357" s="359">
        <f t="shared" ca="1" si="48"/>
        <v>0</v>
      </c>
      <c r="I357" s="359">
        <f t="shared" ca="1" si="49"/>
        <v>31752</v>
      </c>
      <c r="J357" s="359">
        <f t="shared" ca="1" si="50"/>
        <v>0</v>
      </c>
      <c r="K357" s="360">
        <f t="shared" ca="1" si="51"/>
        <v>31752</v>
      </c>
      <c r="L357" s="367"/>
      <c r="M357" s="367"/>
      <c r="N357" s="367"/>
      <c r="O357" s="361"/>
      <c r="P357" s="361"/>
      <c r="Q357" s="344"/>
      <c r="R357" s="336"/>
      <c r="S357" s="362"/>
      <c r="T357" s="341"/>
      <c r="U357" s="341"/>
      <c r="V357" s="341"/>
    </row>
    <row r="358" spans="1:22" s="368" customFormat="1">
      <c r="A358" s="336"/>
      <c r="B358" s="692">
        <v>5</v>
      </c>
      <c r="C358" s="693" t="s">
        <v>173</v>
      </c>
      <c r="D358" s="356" t="str">
        <f ca="1">IF(ISERROR(OFFSET('HARGA SATUAN'!$D$6,MATCH(RAB!C358,'HARGA SATUAN'!$C$7:$C$1492,0),0)),"",OFFSET('HARGA SATUAN'!$D$6,MATCH(RAB!C358,'HARGA SATUAN'!$C$7:$C$1492,0),0))</f>
        <v>HDW</v>
      </c>
      <c r="E358" s="357" t="str">
        <f ca="1">IF(B358="+","Unit",IF(ISERROR(OFFSET('HARGA SATUAN'!$E$6,MATCH(RAB!C358,'HARGA SATUAN'!$C$7:$C$1492,0),0)),"",OFFSET('HARGA SATUAN'!$E$6,MATCH(RAB!C358,'HARGA SATUAN'!$C$7:$C$1492,0),0)))</f>
        <v>Bh</v>
      </c>
      <c r="F358" s="714">
        <f>F353*4</f>
        <v>4</v>
      </c>
      <c r="G358" s="358">
        <f ca="1">IF(ISERROR(OFFSET('HARGA SATUAN'!$I$6,MATCH(RAB!C358,'HARGA SATUAN'!$C$7:$C$1492,0),0)),0,OFFSET('HARGA SATUAN'!$I$6,MATCH(RAB!C358,'HARGA SATUAN'!$C$7:$C$1492,0),0))</f>
        <v>45000</v>
      </c>
      <c r="H358" s="359">
        <f t="shared" ca="1" si="48"/>
        <v>0</v>
      </c>
      <c r="I358" s="359">
        <f t="shared" ca="1" si="49"/>
        <v>180000</v>
      </c>
      <c r="J358" s="359">
        <f t="shared" ca="1" si="50"/>
        <v>0</v>
      </c>
      <c r="K358" s="360">
        <f t="shared" ca="1" si="51"/>
        <v>180000</v>
      </c>
      <c r="L358" s="367"/>
      <c r="M358" s="367"/>
      <c r="N358" s="367"/>
      <c r="O358" s="361"/>
      <c r="P358" s="361"/>
      <c r="Q358" s="344"/>
      <c r="R358" s="336"/>
      <c r="S358" s="362"/>
      <c r="T358" s="341"/>
      <c r="U358" s="341"/>
      <c r="V358" s="341"/>
    </row>
    <row r="359" spans="1:22" s="368" customFormat="1">
      <c r="A359" s="336"/>
      <c r="B359" s="692">
        <v>6</v>
      </c>
      <c r="C359" s="693" t="s">
        <v>593</v>
      </c>
      <c r="D359" s="356" t="str">
        <f ca="1">IF(ISERROR(OFFSET('HARGA SATUAN'!$D$6,MATCH(RAB!C359,'HARGA SATUAN'!$C$7:$C$1492,0),0)),"",OFFSET('HARGA SATUAN'!$D$6,MATCH(RAB!C359,'HARGA SATUAN'!$C$7:$C$1492,0),0))</f>
        <v>HDW</v>
      </c>
      <c r="E359" s="357" t="str">
        <f ca="1">IF(B359="+","Unit",IF(ISERROR(OFFSET('HARGA SATUAN'!$E$6,MATCH(RAB!C359,'HARGA SATUAN'!$C$7:$C$1492,0),0)),"",OFFSET('HARGA SATUAN'!$E$6,MATCH(RAB!C359,'HARGA SATUAN'!$C$7:$C$1492,0),0)))</f>
        <v>Bh</v>
      </c>
      <c r="F359" s="714">
        <f>F353*2</f>
        <v>2</v>
      </c>
      <c r="G359" s="358">
        <f ca="1">IF(ISERROR(OFFSET('HARGA SATUAN'!$I$6,MATCH(RAB!C359,'HARGA SATUAN'!$C$7:$C$1492,0),0)),0,OFFSET('HARGA SATUAN'!$I$6,MATCH(RAB!C359,'HARGA SATUAN'!$C$7:$C$1492,0),0))</f>
        <v>380500</v>
      </c>
      <c r="H359" s="359">
        <f t="shared" ca="1" si="48"/>
        <v>0</v>
      </c>
      <c r="I359" s="359">
        <f t="shared" ca="1" si="49"/>
        <v>761000</v>
      </c>
      <c r="J359" s="359">
        <f t="shared" ca="1" si="50"/>
        <v>0</v>
      </c>
      <c r="K359" s="360">
        <f t="shared" ca="1" si="51"/>
        <v>761000</v>
      </c>
      <c r="L359" s="367"/>
      <c r="M359" s="367"/>
      <c r="N359" s="367"/>
      <c r="O359" s="361"/>
      <c r="P359" s="361"/>
      <c r="Q359" s="344"/>
      <c r="R359" s="336"/>
      <c r="S359" s="362"/>
      <c r="T359" s="341"/>
      <c r="U359" s="341"/>
      <c r="V359" s="341"/>
    </row>
    <row r="360" spans="1:22" s="368" customFormat="1">
      <c r="A360" s="336"/>
      <c r="B360" s="692">
        <v>7</v>
      </c>
      <c r="C360" s="693" t="s">
        <v>217</v>
      </c>
      <c r="D360" s="356" t="str">
        <f ca="1">IF(ISERROR(OFFSET('HARGA SATUAN'!$D$6,MATCH(RAB!C360,'HARGA SATUAN'!$C$7:$C$1492,0),0)),"",OFFSET('HARGA SATUAN'!$D$6,MATCH(RAB!C360,'HARGA SATUAN'!$C$7:$C$1492,0),0))</f>
        <v>HDW</v>
      </c>
      <c r="E360" s="357" t="str">
        <f ca="1">IF(B360="+","Unit",IF(ISERROR(OFFSET('HARGA SATUAN'!$E$6,MATCH(RAB!C360,'HARGA SATUAN'!$C$7:$C$1492,0),0)),"",OFFSET('HARGA SATUAN'!$E$6,MATCH(RAB!C360,'HARGA SATUAN'!$C$7:$C$1492,0),0)))</f>
        <v>Bh</v>
      </c>
      <c r="F360" s="714">
        <f>F353*4</f>
        <v>4</v>
      </c>
      <c r="G360" s="358">
        <f ca="1">IF(ISERROR(OFFSET('HARGA SATUAN'!$I$6,MATCH(RAB!C360,'HARGA SATUAN'!$C$7:$C$1492,0),0)),0,OFFSET('HARGA SATUAN'!$I$6,MATCH(RAB!C360,'HARGA SATUAN'!$C$7:$C$1492,0),0))</f>
        <v>11400</v>
      </c>
      <c r="H360" s="359">
        <f t="shared" ca="1" si="48"/>
        <v>0</v>
      </c>
      <c r="I360" s="359">
        <f t="shared" ca="1" si="49"/>
        <v>45600</v>
      </c>
      <c r="J360" s="359">
        <f t="shared" ca="1" si="50"/>
        <v>0</v>
      </c>
      <c r="K360" s="360">
        <f t="shared" ca="1" si="51"/>
        <v>45600</v>
      </c>
      <c r="L360" s="367"/>
      <c r="M360" s="367"/>
      <c r="N360" s="367"/>
      <c r="O360" s="361"/>
      <c r="P360" s="361"/>
      <c r="Q360" s="344"/>
      <c r="R360" s="336"/>
      <c r="S360" s="362"/>
      <c r="T360" s="341"/>
      <c r="U360" s="341"/>
      <c r="V360" s="341"/>
    </row>
    <row r="361" spans="1:22" s="368" customFormat="1">
      <c r="A361" s="336"/>
      <c r="B361" s="692">
        <v>8</v>
      </c>
      <c r="C361" s="693" t="s">
        <v>223</v>
      </c>
      <c r="D361" s="356" t="str">
        <f ca="1">IF(ISERROR(OFFSET('HARGA SATUAN'!$D$6,MATCH(RAB!C361,'HARGA SATUAN'!$C$7:$C$1492,0),0)),"",OFFSET('HARGA SATUAN'!$D$6,MATCH(RAB!C361,'HARGA SATUAN'!$C$7:$C$1492,0),0))</f>
        <v>HDW</v>
      </c>
      <c r="E361" s="357" t="str">
        <f ca="1">IF(B361="+","Unit",IF(ISERROR(OFFSET('HARGA SATUAN'!$E$6,MATCH(RAB!C361,'HARGA SATUAN'!$C$7:$C$1492,0),0)),"",OFFSET('HARGA SATUAN'!$E$6,MATCH(RAB!C361,'HARGA SATUAN'!$C$7:$C$1492,0),0)))</f>
        <v>Bh</v>
      </c>
      <c r="F361" s="714">
        <f>F353*1</f>
        <v>1</v>
      </c>
      <c r="G361" s="358">
        <f ca="1">IF(ISERROR(OFFSET('HARGA SATUAN'!$I$6,MATCH(RAB!C361,'HARGA SATUAN'!$C$7:$C$1492,0),0)),0,OFFSET('HARGA SATUAN'!$I$6,MATCH(RAB!C361,'HARGA SATUAN'!$C$7:$C$1492,0),0))</f>
        <v>27815</v>
      </c>
      <c r="H361" s="359">
        <f t="shared" ca="1" si="48"/>
        <v>0</v>
      </c>
      <c r="I361" s="359">
        <f t="shared" ca="1" si="49"/>
        <v>27815</v>
      </c>
      <c r="J361" s="359">
        <f t="shared" ca="1" si="50"/>
        <v>0</v>
      </c>
      <c r="K361" s="360">
        <f t="shared" ca="1" si="51"/>
        <v>27815</v>
      </c>
      <c r="L361" s="367"/>
      <c r="M361" s="367"/>
      <c r="N361" s="367"/>
      <c r="O361" s="361"/>
      <c r="P361" s="361"/>
      <c r="Q361" s="344"/>
      <c r="R361" s="336"/>
      <c r="S361" s="362"/>
      <c r="T361" s="341"/>
      <c r="U361" s="341"/>
      <c r="V361" s="341"/>
    </row>
    <row r="362" spans="1:22" s="368" customFormat="1">
      <c r="A362" s="336"/>
      <c r="B362" s="692">
        <v>9</v>
      </c>
      <c r="C362" s="693" t="s">
        <v>25</v>
      </c>
      <c r="D362" s="356" t="str">
        <f ca="1">IF(ISERROR(OFFSET('HARGA SATUAN'!$D$6,MATCH(RAB!C362,'HARGA SATUAN'!$C$7:$C$1492,0),0)),"",OFFSET('HARGA SATUAN'!$D$6,MATCH(RAB!C362,'HARGA SATUAN'!$C$7:$C$1492,0),0))</f>
        <v>HDW</v>
      </c>
      <c r="E362" s="357" t="str">
        <f ca="1">IF(B362="+","Unit",IF(ISERROR(OFFSET('HARGA SATUAN'!$E$6,MATCH(RAB!C362,'HARGA SATUAN'!$C$7:$C$1492,0),0)),"",OFFSET('HARGA SATUAN'!$E$6,MATCH(RAB!C362,'HARGA SATUAN'!$C$7:$C$1492,0),0)))</f>
        <v>Bh</v>
      </c>
      <c r="F362" s="714">
        <f>F353*2</f>
        <v>2</v>
      </c>
      <c r="G362" s="358">
        <f ca="1">IF(ISERROR(OFFSET('HARGA SATUAN'!$I$6,MATCH(RAB!C362,'HARGA SATUAN'!$C$7:$C$1492,0),0)),0,OFFSET('HARGA SATUAN'!$I$6,MATCH(RAB!C362,'HARGA SATUAN'!$C$7:$C$1492,0),0))</f>
        <v>23936</v>
      </c>
      <c r="H362" s="359">
        <f t="shared" ca="1" si="48"/>
        <v>0</v>
      </c>
      <c r="I362" s="359">
        <f t="shared" ca="1" si="49"/>
        <v>47872</v>
      </c>
      <c r="J362" s="359">
        <f t="shared" ca="1" si="50"/>
        <v>0</v>
      </c>
      <c r="K362" s="360">
        <f t="shared" ca="1" si="51"/>
        <v>47872</v>
      </c>
      <c r="L362" s="367"/>
      <c r="M362" s="367"/>
      <c r="N362" s="367"/>
      <c r="O362" s="361"/>
      <c r="P362" s="361"/>
      <c r="Q362" s="344"/>
      <c r="R362" s="336"/>
      <c r="S362" s="362"/>
      <c r="T362" s="341"/>
      <c r="U362" s="341"/>
      <c r="V362" s="341"/>
    </row>
    <row r="363" spans="1:22" s="368" customFormat="1">
      <c r="A363" s="336"/>
      <c r="B363" s="692">
        <v>10</v>
      </c>
      <c r="C363" s="693" t="s">
        <v>37</v>
      </c>
      <c r="D363" s="356" t="str">
        <f ca="1">IF(ISERROR(OFFSET('HARGA SATUAN'!$D$6,MATCH(RAB!C363,'HARGA SATUAN'!$C$7:$C$1492,0),0)),"",OFFSET('HARGA SATUAN'!$D$6,MATCH(RAB!C363,'HARGA SATUAN'!$C$7:$C$1492,0),0))</f>
        <v>HDW</v>
      </c>
      <c r="E363" s="357" t="str">
        <f ca="1">IF(B363="+","Unit",IF(ISERROR(OFFSET('HARGA SATUAN'!$E$6,MATCH(RAB!C363,'HARGA SATUAN'!$C$7:$C$1492,0),0)),"",OFFSET('HARGA SATUAN'!$E$6,MATCH(RAB!C363,'HARGA SATUAN'!$C$7:$C$1492,0),0)))</f>
        <v>Bh</v>
      </c>
      <c r="F363" s="714">
        <f>F353*1</f>
        <v>1</v>
      </c>
      <c r="G363" s="358">
        <f ca="1">IF(ISERROR(OFFSET('HARGA SATUAN'!$I$6,MATCH(RAB!C363,'HARGA SATUAN'!$C$7:$C$1492,0),0)),0,OFFSET('HARGA SATUAN'!$I$6,MATCH(RAB!C363,'HARGA SATUAN'!$C$7:$C$1492,0),0))</f>
        <v>63500</v>
      </c>
      <c r="H363" s="359">
        <f t="shared" ca="1" si="48"/>
        <v>0</v>
      </c>
      <c r="I363" s="359">
        <f t="shared" ca="1" si="49"/>
        <v>63500</v>
      </c>
      <c r="J363" s="359">
        <f t="shared" ca="1" si="50"/>
        <v>0</v>
      </c>
      <c r="K363" s="360">
        <f t="shared" ca="1" si="51"/>
        <v>63500</v>
      </c>
      <c r="L363" s="367"/>
      <c r="M363" s="367"/>
      <c r="N363" s="367"/>
      <c r="O363" s="361"/>
      <c r="P363" s="361"/>
      <c r="Q363" s="344"/>
      <c r="R363" s="336"/>
      <c r="S363" s="362"/>
      <c r="T363" s="341"/>
      <c r="U363" s="341"/>
      <c r="V363" s="341"/>
    </row>
    <row r="364" spans="1:22" s="368" customFormat="1">
      <c r="A364" s="336"/>
      <c r="B364" s="692">
        <v>11</v>
      </c>
      <c r="C364" s="693" t="s">
        <v>27</v>
      </c>
      <c r="D364" s="356" t="str">
        <f ca="1">IF(ISERROR(OFFSET('HARGA SATUAN'!$D$6,MATCH(RAB!C364,'HARGA SATUAN'!$C$7:$C$1492,0),0)),"",OFFSET('HARGA SATUAN'!$D$6,MATCH(RAB!C364,'HARGA SATUAN'!$C$7:$C$1492,0),0))</f>
        <v>HDW</v>
      </c>
      <c r="E364" s="357" t="str">
        <f ca="1">IF(B364="+","Unit",IF(ISERROR(OFFSET('HARGA SATUAN'!$E$6,MATCH(RAB!C364,'HARGA SATUAN'!$C$7:$C$1492,0),0)),"",OFFSET('HARGA SATUAN'!$E$6,MATCH(RAB!C364,'HARGA SATUAN'!$C$7:$C$1492,0),0)))</f>
        <v>Bh</v>
      </c>
      <c r="F364" s="714">
        <f>F353*3</f>
        <v>3</v>
      </c>
      <c r="G364" s="358">
        <f ca="1">IF(ISERROR(OFFSET('HARGA SATUAN'!$I$6,MATCH(RAB!C364,'HARGA SATUAN'!$C$7:$C$1492,0),0)),0,OFFSET('HARGA SATUAN'!$I$6,MATCH(RAB!C364,'HARGA SATUAN'!$C$7:$C$1492,0),0))</f>
        <v>16000</v>
      </c>
      <c r="H364" s="359">
        <f t="shared" ca="1" si="48"/>
        <v>0</v>
      </c>
      <c r="I364" s="359">
        <f t="shared" ca="1" si="49"/>
        <v>48000</v>
      </c>
      <c r="J364" s="359">
        <f t="shared" ca="1" si="50"/>
        <v>0</v>
      </c>
      <c r="K364" s="360">
        <f t="shared" ca="1" si="51"/>
        <v>48000</v>
      </c>
      <c r="L364" s="367"/>
      <c r="M364" s="367"/>
      <c r="N364" s="367"/>
      <c r="O364" s="361"/>
      <c r="P364" s="361"/>
      <c r="Q364" s="344"/>
      <c r="R364" s="336"/>
      <c r="S364" s="362"/>
      <c r="T364" s="341"/>
      <c r="U364" s="341"/>
      <c r="V364" s="341"/>
    </row>
    <row r="365" spans="1:22" s="368" customFormat="1">
      <c r="A365" s="336"/>
      <c r="B365" s="692">
        <v>12</v>
      </c>
      <c r="C365" s="693" t="s">
        <v>26</v>
      </c>
      <c r="D365" s="356" t="str">
        <f ca="1">IF(ISERROR(OFFSET('HARGA SATUAN'!$D$6,MATCH(RAB!C365,'HARGA SATUAN'!$C$7:$C$1492,0),0)),"",OFFSET('HARGA SATUAN'!$D$6,MATCH(RAB!C365,'HARGA SATUAN'!$C$7:$C$1492,0),0))</f>
        <v>HDW</v>
      </c>
      <c r="E365" s="357" t="str">
        <f ca="1">IF(B365="+","Unit",IF(ISERROR(OFFSET('HARGA SATUAN'!$E$6,MATCH(RAB!C365,'HARGA SATUAN'!$C$7:$C$1492,0),0)),"",OFFSET('HARGA SATUAN'!$E$6,MATCH(RAB!C365,'HARGA SATUAN'!$C$7:$C$1492,0),0)))</f>
        <v>Bh</v>
      </c>
      <c r="F365" s="714">
        <f>F353*11</f>
        <v>11</v>
      </c>
      <c r="G365" s="358">
        <f ca="1">IF(ISERROR(OFFSET('HARGA SATUAN'!$I$6,MATCH(RAB!C365,'HARGA SATUAN'!$C$7:$C$1492,0),0)),0,OFFSET('HARGA SATUAN'!$I$6,MATCH(RAB!C365,'HARGA SATUAN'!$C$7:$C$1492,0),0))</f>
        <v>2500</v>
      </c>
      <c r="H365" s="359">
        <f t="shared" ca="1" si="48"/>
        <v>0</v>
      </c>
      <c r="I365" s="359">
        <f t="shared" ca="1" si="49"/>
        <v>27500</v>
      </c>
      <c r="J365" s="359">
        <f t="shared" ca="1" si="50"/>
        <v>0</v>
      </c>
      <c r="K365" s="360">
        <f t="shared" ca="1" si="51"/>
        <v>27500</v>
      </c>
      <c r="L365" s="367"/>
      <c r="M365" s="367"/>
      <c r="N365" s="367"/>
      <c r="O365" s="361"/>
      <c r="P365" s="361"/>
      <c r="Q365" s="344"/>
      <c r="R365" s="336"/>
      <c r="S365" s="362"/>
      <c r="T365" s="341"/>
      <c r="U365" s="341"/>
      <c r="V365" s="341"/>
    </row>
    <row r="366" spans="1:22" s="368" customFormat="1">
      <c r="A366" s="336"/>
      <c r="B366" s="692">
        <v>13</v>
      </c>
      <c r="C366" s="693" t="s">
        <v>706</v>
      </c>
      <c r="D366" s="356" t="str">
        <f ca="1">IF(ISERROR(OFFSET('HARGA SATUAN'!$D$6,MATCH(RAB!C366,'HARGA SATUAN'!$C$7:$C$1492,0),0)),"",OFFSET('HARGA SATUAN'!$D$6,MATCH(RAB!C366,'HARGA SATUAN'!$C$7:$C$1492,0),0))</f>
        <v>JASA</v>
      </c>
      <c r="E366" s="357" t="str">
        <f ca="1">IF(B366="+","Unit",IF(ISERROR(OFFSET('HARGA SATUAN'!$E$6,MATCH(RAB!C366,'HARGA SATUAN'!$C$7:$C$1492,0),0)),"",OFFSET('HARGA SATUAN'!$E$6,MATCH(RAB!C366,'HARGA SATUAN'!$C$7:$C$1492,0),0)))</f>
        <v>Unit</v>
      </c>
      <c r="F366" s="714">
        <f>F353*1</f>
        <v>1</v>
      </c>
      <c r="G366" s="358">
        <f ca="1">IF(ISERROR(OFFSET('HARGA SATUAN'!$I$6,MATCH(RAB!C366,'HARGA SATUAN'!$C$7:$C$1492,0),0)),0,OFFSET('HARGA SATUAN'!$I$6,MATCH(RAB!C366,'HARGA SATUAN'!$C$7:$C$1492,0),0))</f>
        <v>103500</v>
      </c>
      <c r="H366" s="359">
        <f t="shared" ca="1" si="48"/>
        <v>0</v>
      </c>
      <c r="I366" s="359">
        <f t="shared" ca="1" si="49"/>
        <v>0</v>
      </c>
      <c r="J366" s="359">
        <f t="shared" ca="1" si="50"/>
        <v>103500</v>
      </c>
      <c r="K366" s="360">
        <f t="shared" ca="1" si="51"/>
        <v>103500</v>
      </c>
      <c r="L366" s="367"/>
      <c r="M366" s="367"/>
      <c r="N366" s="367"/>
      <c r="O366" s="361"/>
      <c r="P366" s="361"/>
      <c r="Q366" s="344"/>
      <c r="R366" s="336"/>
      <c r="S366" s="362"/>
      <c r="T366" s="341"/>
      <c r="U366" s="341"/>
      <c r="V366" s="341"/>
    </row>
    <row r="367" spans="1:22" s="368" customFormat="1">
      <c r="A367" s="336"/>
      <c r="B367" s="696"/>
      <c r="C367" s="697"/>
      <c r="D367" s="356" t="str">
        <f ca="1">IF(ISERROR(OFFSET('HARGA SATUAN'!$D$6,MATCH(RAB!C367,'HARGA SATUAN'!$C$7:$C$1492,0),0)),"",OFFSET('HARGA SATUAN'!$D$6,MATCH(RAB!C367,'HARGA SATUAN'!$C$7:$C$1492,0),0))</f>
        <v/>
      </c>
      <c r="E367" s="357" t="str">
        <f ca="1">IF(B367="+","Unit",IF(ISERROR(OFFSET('HARGA SATUAN'!$E$6,MATCH(RAB!C367,'HARGA SATUAN'!$C$7:$C$1492,0),0)),"",OFFSET('HARGA SATUAN'!$E$6,MATCH(RAB!C367,'HARGA SATUAN'!$C$7:$C$1492,0),0)))</f>
        <v/>
      </c>
      <c r="F367" s="716"/>
      <c r="G367" s="358">
        <f ca="1">IF(ISERROR(OFFSET('HARGA SATUAN'!$I$6,MATCH(RAB!C367,'HARGA SATUAN'!$C$7:$C$1492,0),0)),0,OFFSET('HARGA SATUAN'!$I$6,MATCH(RAB!C367,'HARGA SATUAN'!$C$7:$C$1492,0),0))</f>
        <v>0</v>
      </c>
      <c r="H367" s="359">
        <f t="shared" ca="1" si="48"/>
        <v>0</v>
      </c>
      <c r="I367" s="359">
        <f t="shared" ca="1" si="49"/>
        <v>0</v>
      </c>
      <c r="J367" s="359">
        <f t="shared" ca="1" si="50"/>
        <v>0</v>
      </c>
      <c r="K367" s="360">
        <f t="shared" ca="1" si="51"/>
        <v>0</v>
      </c>
      <c r="L367" s="367"/>
      <c r="M367" s="367"/>
      <c r="N367" s="367"/>
      <c r="O367" s="361"/>
      <c r="P367" s="361"/>
      <c r="Q367" s="344"/>
      <c r="R367" s="336"/>
      <c r="S367" s="362"/>
      <c r="T367" s="341"/>
      <c r="U367" s="341"/>
      <c r="V367" s="341"/>
    </row>
    <row r="368" spans="1:22" s="368" customFormat="1">
      <c r="A368" s="336"/>
      <c r="B368" s="692" t="s">
        <v>1035</v>
      </c>
      <c r="C368" s="693" t="s">
        <v>1660</v>
      </c>
      <c r="D368" s="356" t="str">
        <f ca="1">IF(ISERROR(OFFSET('HARGA SATUAN'!$D$6,MATCH(RAB!C368,'HARGA SATUAN'!$C$7:$C$1492,0),0)),"",OFFSET('HARGA SATUAN'!$D$6,MATCH(RAB!C368,'HARGA SATUAN'!$C$7:$C$1492,0),0))</f>
        <v/>
      </c>
      <c r="E368" s="357" t="str">
        <f ca="1">IF(B368="+","Unit",IF(ISERROR(OFFSET('HARGA SATUAN'!$E$6,MATCH(RAB!C368,'HARGA SATUAN'!$C$7:$C$1492,0),0)),"",OFFSET('HARGA SATUAN'!$E$6,MATCH(RAB!C368,'HARGA SATUAN'!$C$7:$C$1492,0),0)))</f>
        <v>Unit</v>
      </c>
      <c r="F368" s="490">
        <v>1</v>
      </c>
      <c r="G368" s="358">
        <f ca="1">IF(ISERROR(OFFSET('HARGA SATUAN'!$I$6,MATCH(RAB!C368,'HARGA SATUAN'!$C$7:$C$1492,0),0)),0,OFFSET('HARGA SATUAN'!$I$6,MATCH(RAB!C368,'HARGA SATUAN'!$C$7:$C$1492,0),0))</f>
        <v>0</v>
      </c>
      <c r="H368" s="359">
        <f t="shared" ca="1" si="48"/>
        <v>0</v>
      </c>
      <c r="I368" s="359">
        <f t="shared" ca="1" si="49"/>
        <v>0</v>
      </c>
      <c r="J368" s="359">
        <f t="shared" ca="1" si="50"/>
        <v>0</v>
      </c>
      <c r="K368" s="360">
        <f t="shared" ca="1" si="51"/>
        <v>0</v>
      </c>
      <c r="L368" s="367"/>
      <c r="M368" s="367"/>
      <c r="N368" s="367"/>
      <c r="O368" s="361"/>
      <c r="P368" s="361"/>
      <c r="Q368" s="344"/>
      <c r="R368" s="336"/>
      <c r="S368" s="362"/>
      <c r="T368" s="341"/>
      <c r="U368" s="341"/>
      <c r="V368" s="341"/>
    </row>
    <row r="369" spans="1:22" s="368" customFormat="1">
      <c r="A369" s="336"/>
      <c r="B369" s="692">
        <v>1</v>
      </c>
      <c r="C369" s="109" t="s">
        <v>1564</v>
      </c>
      <c r="D369" s="356" t="str">
        <f ca="1">IF(ISERROR(OFFSET('HARGA SATUAN'!$D$6,MATCH(RAB!C369,'HARGA SATUAN'!$C$7:$C$1492,0),0)),"",OFFSET('HARGA SATUAN'!$D$6,MATCH(RAB!C369,'HARGA SATUAN'!$C$7:$C$1492,0),0))</f>
        <v>MDU-KD</v>
      </c>
      <c r="E369" s="357" t="str">
        <f ca="1">IF(B369="+","Unit",IF(ISERROR(OFFSET('HARGA SATUAN'!$E$6,MATCH(RAB!C369,'HARGA SATUAN'!$C$7:$C$1492,0),0)),"",OFFSET('HARGA SATUAN'!$E$6,MATCH(RAB!C369,'HARGA SATUAN'!$C$7:$C$1492,0),0)))</f>
        <v>Bh</v>
      </c>
      <c r="F369" s="490">
        <f>F368*1</f>
        <v>1</v>
      </c>
      <c r="G369" s="358">
        <f ca="1">IF(ISERROR(OFFSET('HARGA SATUAN'!$I$6,MATCH(RAB!C369,'HARGA SATUAN'!$C$7:$C$1492,0),0)),0,OFFSET('HARGA SATUAN'!$I$6,MATCH(RAB!C369,'HARGA SATUAN'!$C$7:$C$1492,0),0))</f>
        <v>235900</v>
      </c>
      <c r="H369" s="359">
        <f t="shared" ca="1" si="48"/>
        <v>235900</v>
      </c>
      <c r="I369" s="359">
        <f t="shared" ca="1" si="49"/>
        <v>0</v>
      </c>
      <c r="J369" s="359">
        <f t="shared" ca="1" si="50"/>
        <v>0</v>
      </c>
      <c r="K369" s="360">
        <f t="shared" ca="1" si="51"/>
        <v>235900</v>
      </c>
      <c r="L369" s="367"/>
      <c r="M369" s="367"/>
      <c r="N369" s="367"/>
      <c r="O369" s="361"/>
      <c r="P369" s="361"/>
      <c r="Q369" s="344"/>
      <c r="R369" s="336"/>
      <c r="S369" s="362"/>
      <c r="T369" s="341"/>
      <c r="U369" s="341"/>
      <c r="V369" s="341"/>
    </row>
    <row r="370" spans="1:22" s="368" customFormat="1">
      <c r="A370" s="336"/>
      <c r="B370" s="692">
        <v>2</v>
      </c>
      <c r="C370" s="693" t="s">
        <v>26</v>
      </c>
      <c r="D370" s="356" t="str">
        <f ca="1">IF(ISERROR(OFFSET('HARGA SATUAN'!$D$6,MATCH(RAB!C370,'HARGA SATUAN'!$C$7:$C$1492,0),0)),"",OFFSET('HARGA SATUAN'!$D$6,MATCH(RAB!C370,'HARGA SATUAN'!$C$7:$C$1492,0),0))</f>
        <v>HDW</v>
      </c>
      <c r="E370" s="357" t="str">
        <f ca="1">IF(B370="+","Unit",IF(ISERROR(OFFSET('HARGA SATUAN'!$E$6,MATCH(RAB!C370,'HARGA SATUAN'!$C$7:$C$1492,0),0)),"",OFFSET('HARGA SATUAN'!$E$6,MATCH(RAB!C370,'HARGA SATUAN'!$C$7:$C$1492,0),0)))</f>
        <v>Bh</v>
      </c>
      <c r="F370" s="490">
        <f>F368*2</f>
        <v>2</v>
      </c>
      <c r="G370" s="358">
        <f ca="1">IF(ISERROR(OFFSET('HARGA SATUAN'!$I$6,MATCH(RAB!C370,'HARGA SATUAN'!$C$7:$C$1492,0),0)),0,OFFSET('HARGA SATUAN'!$I$6,MATCH(RAB!C370,'HARGA SATUAN'!$C$7:$C$1492,0),0))</f>
        <v>2500</v>
      </c>
      <c r="H370" s="359">
        <f t="shared" ca="1" si="48"/>
        <v>0</v>
      </c>
      <c r="I370" s="359">
        <f t="shared" ca="1" si="49"/>
        <v>5000</v>
      </c>
      <c r="J370" s="359">
        <f t="shared" ca="1" si="50"/>
        <v>0</v>
      </c>
      <c r="K370" s="360">
        <f t="shared" ca="1" si="51"/>
        <v>5000</v>
      </c>
      <c r="L370" s="367"/>
      <c r="M370" s="367"/>
      <c r="N370" s="367"/>
      <c r="O370" s="361"/>
      <c r="P370" s="361"/>
      <c r="Q370" s="344"/>
      <c r="R370" s="336"/>
      <c r="S370" s="362"/>
      <c r="T370" s="341"/>
      <c r="U370" s="341"/>
      <c r="V370" s="341"/>
    </row>
    <row r="371" spans="1:22" s="368" customFormat="1">
      <c r="A371" s="336"/>
      <c r="B371" s="692">
        <v>3</v>
      </c>
      <c r="C371" s="693" t="s">
        <v>38</v>
      </c>
      <c r="D371" s="356" t="str">
        <f ca="1">IF(ISERROR(OFFSET('HARGA SATUAN'!$D$6,MATCH(RAB!C371,'HARGA SATUAN'!$C$7:$C$1492,0),0)),"",OFFSET('HARGA SATUAN'!$D$6,MATCH(RAB!C371,'HARGA SATUAN'!$C$7:$C$1492,0),0))</f>
        <v>HDW</v>
      </c>
      <c r="E371" s="357" t="str">
        <f ca="1">IF(B371="+","Unit",IF(ISERROR(OFFSET('HARGA SATUAN'!$E$6,MATCH(RAB!C371,'HARGA SATUAN'!$C$7:$C$1492,0),0)),"",OFFSET('HARGA SATUAN'!$E$6,MATCH(RAB!C371,'HARGA SATUAN'!$C$7:$C$1492,0),0)))</f>
        <v>Mtr</v>
      </c>
      <c r="F371" s="490">
        <f>F369*1.8</f>
        <v>1.8</v>
      </c>
      <c r="G371" s="358">
        <f ca="1">IF(ISERROR(OFFSET('HARGA SATUAN'!$I$6,MATCH(RAB!C371,'HARGA SATUAN'!$C$7:$C$1492,0),0)),0,OFFSET('HARGA SATUAN'!$I$6,MATCH(RAB!C371,'HARGA SATUAN'!$C$7:$C$1492,0),0))</f>
        <v>8550</v>
      </c>
      <c r="H371" s="359">
        <f t="shared" ca="1" si="48"/>
        <v>0</v>
      </c>
      <c r="I371" s="359">
        <f t="shared" ca="1" si="49"/>
        <v>15390</v>
      </c>
      <c r="J371" s="359">
        <f t="shared" ca="1" si="50"/>
        <v>0</v>
      </c>
      <c r="K371" s="360">
        <f t="shared" ca="1" si="51"/>
        <v>15390</v>
      </c>
      <c r="L371" s="367"/>
      <c r="M371" s="367"/>
      <c r="N371" s="367"/>
      <c r="O371" s="361"/>
      <c r="P371" s="361"/>
      <c r="Q371" s="344"/>
      <c r="R371" s="336"/>
      <c r="S371" s="362"/>
      <c r="T371" s="341"/>
      <c r="U371" s="341"/>
      <c r="V371" s="341"/>
    </row>
    <row r="372" spans="1:22" s="368" customFormat="1">
      <c r="A372" s="336"/>
      <c r="B372" s="692">
        <v>4</v>
      </c>
      <c r="C372" s="693" t="s">
        <v>744</v>
      </c>
      <c r="D372" s="356" t="str">
        <f ca="1">IF(ISERROR(OFFSET('HARGA SATUAN'!$D$6,MATCH(RAB!C372,'HARGA SATUAN'!$C$7:$C$1492,0),0)),"",OFFSET('HARGA SATUAN'!$D$6,MATCH(RAB!C372,'HARGA SATUAN'!$C$7:$C$1492,0),0))</f>
        <v>JASA</v>
      </c>
      <c r="E372" s="357" t="str">
        <f ca="1">IF(B372="+","Unit",IF(ISERROR(OFFSET('HARGA SATUAN'!$E$6,MATCH(RAB!C372,'HARGA SATUAN'!$C$7:$C$1492,0),0)),"",OFFSET('HARGA SATUAN'!$E$6,MATCH(RAB!C372,'HARGA SATUAN'!$C$7:$C$1492,0),0)))</f>
        <v>Unit</v>
      </c>
      <c r="F372" s="490">
        <f>F368*1</f>
        <v>1</v>
      </c>
      <c r="G372" s="358">
        <f ca="1">IF(ISERROR(OFFSET('HARGA SATUAN'!$I$6,MATCH(RAB!C372,'HARGA SATUAN'!$C$7:$C$1492,0),0)),0,OFFSET('HARGA SATUAN'!$I$6,MATCH(RAB!C372,'HARGA SATUAN'!$C$7:$C$1492,0),0))</f>
        <v>31200</v>
      </c>
      <c r="H372" s="359">
        <f t="shared" ca="1" si="48"/>
        <v>0</v>
      </c>
      <c r="I372" s="359">
        <f t="shared" ca="1" si="49"/>
        <v>0</v>
      </c>
      <c r="J372" s="359">
        <f t="shared" ca="1" si="50"/>
        <v>31200</v>
      </c>
      <c r="K372" s="360">
        <f t="shared" ca="1" si="51"/>
        <v>31200</v>
      </c>
      <c r="L372" s="367"/>
      <c r="M372" s="367"/>
      <c r="N372" s="367"/>
      <c r="O372" s="361"/>
      <c r="P372" s="361"/>
      <c r="Q372" s="344"/>
      <c r="R372" s="336"/>
      <c r="S372" s="362"/>
      <c r="T372" s="341"/>
      <c r="U372" s="341"/>
      <c r="V372" s="341"/>
    </row>
    <row r="373" spans="1:22" s="368" customFormat="1">
      <c r="A373" s="336"/>
      <c r="B373" s="692"/>
      <c r="C373" s="693"/>
      <c r="D373" s="356" t="str">
        <f ca="1">IF(ISERROR(OFFSET('HARGA SATUAN'!$D$6,MATCH(RAB!C373,'HARGA SATUAN'!$C$7:$C$1492,0),0)),"",OFFSET('HARGA SATUAN'!$D$6,MATCH(RAB!C373,'HARGA SATUAN'!$C$7:$C$1492,0),0))</f>
        <v/>
      </c>
      <c r="E373" s="357" t="str">
        <f ca="1">IF(B373="+","Unit",IF(ISERROR(OFFSET('HARGA SATUAN'!$E$6,MATCH(RAB!C373,'HARGA SATUAN'!$C$7:$C$1492,0),0)),"",OFFSET('HARGA SATUAN'!$E$6,MATCH(RAB!C373,'HARGA SATUAN'!$C$7:$C$1492,0),0)))</f>
        <v/>
      </c>
      <c r="F373" s="714"/>
      <c r="G373" s="358">
        <f ca="1">IF(ISERROR(OFFSET('HARGA SATUAN'!$I$6,MATCH(RAB!C373,'HARGA SATUAN'!$C$7:$C$1492,0),0)),0,OFFSET('HARGA SATUAN'!$I$6,MATCH(RAB!C373,'HARGA SATUAN'!$C$7:$C$1492,0),0))</f>
        <v>0</v>
      </c>
      <c r="H373" s="359">
        <f t="shared" ca="1" si="48"/>
        <v>0</v>
      </c>
      <c r="I373" s="359">
        <f t="shared" ca="1" si="49"/>
        <v>0</v>
      </c>
      <c r="J373" s="359">
        <f t="shared" ca="1" si="50"/>
        <v>0</v>
      </c>
      <c r="K373" s="360">
        <f t="shared" ca="1" si="51"/>
        <v>0</v>
      </c>
      <c r="L373" s="367"/>
      <c r="M373" s="367"/>
      <c r="N373" s="367"/>
      <c r="O373" s="361"/>
      <c r="P373" s="361"/>
      <c r="Q373" s="344"/>
      <c r="R373" s="336"/>
      <c r="S373" s="362"/>
      <c r="T373" s="341"/>
      <c r="U373" s="341"/>
      <c r="V373" s="341"/>
    </row>
    <row r="374" spans="1:22" s="368" customFormat="1">
      <c r="A374" s="336"/>
      <c r="B374" s="692" t="s">
        <v>1035</v>
      </c>
      <c r="C374" s="693" t="s">
        <v>1631</v>
      </c>
      <c r="D374" s="356" t="str">
        <f ca="1">IF(ISERROR(OFFSET('HARGA SATUAN'!$D$6,MATCH(RAB!C374,'HARGA SATUAN'!$C$7:$C$1492,0),0)),"",OFFSET('HARGA SATUAN'!$D$6,MATCH(RAB!C374,'HARGA SATUAN'!$C$7:$C$1492,0),0))</f>
        <v/>
      </c>
      <c r="E374" s="357" t="str">
        <f ca="1">IF(B374="+","Unit",IF(ISERROR(OFFSET('HARGA SATUAN'!$E$6,MATCH(RAB!C374,'HARGA SATUAN'!$C$7:$C$1492,0),0)),"",OFFSET('HARGA SATUAN'!$E$6,MATCH(RAB!C374,'HARGA SATUAN'!$C$7:$C$1492,0),0)))</f>
        <v>Unit</v>
      </c>
      <c r="F374" s="489">
        <v>1</v>
      </c>
      <c r="G374" s="358">
        <f ca="1">IF(ISERROR(OFFSET('HARGA SATUAN'!$I$6,MATCH(RAB!C374,'HARGA SATUAN'!$C$7:$C$1492,0),0)),0,OFFSET('HARGA SATUAN'!$I$6,MATCH(RAB!C374,'HARGA SATUAN'!$C$7:$C$1492,0),0))</f>
        <v>0</v>
      </c>
      <c r="H374" s="359">
        <f t="shared" ca="1" si="44"/>
        <v>0</v>
      </c>
      <c r="I374" s="359">
        <f t="shared" ca="1" si="45"/>
        <v>0</v>
      </c>
      <c r="J374" s="359">
        <f t="shared" ca="1" si="46"/>
        <v>0</v>
      </c>
      <c r="K374" s="360">
        <f t="shared" ca="1" si="47"/>
        <v>0</v>
      </c>
      <c r="L374" s="367"/>
      <c r="M374" s="367"/>
      <c r="N374" s="367"/>
      <c r="O374" s="361"/>
      <c r="P374" s="361"/>
      <c r="Q374" s="344"/>
      <c r="R374" s="336"/>
      <c r="S374" s="362"/>
      <c r="T374" s="341"/>
      <c r="U374" s="341"/>
      <c r="V374" s="341"/>
    </row>
    <row r="375" spans="1:22" s="368" customFormat="1">
      <c r="A375" s="336"/>
      <c r="B375" s="692">
        <v>1</v>
      </c>
      <c r="C375" s="693" t="s">
        <v>555</v>
      </c>
      <c r="D375" s="356" t="str">
        <f ca="1">IF(ISERROR(OFFSET('HARGA SATUAN'!$D$6,MATCH(RAB!C375,'HARGA SATUAN'!$C$7:$C$1492,0),0)),"",OFFSET('HARGA SATUAN'!$D$6,MATCH(RAB!C375,'HARGA SATUAN'!$C$7:$C$1492,0),0))</f>
        <v>HDW</v>
      </c>
      <c r="E375" s="357" t="str">
        <f ca="1">IF(B375="+","Unit",IF(ISERROR(OFFSET('HARGA SATUAN'!$E$6,MATCH(RAB!C375,'HARGA SATUAN'!$C$7:$C$1492,0),0)),"",OFFSET('HARGA SATUAN'!$E$6,MATCH(RAB!C375,'HARGA SATUAN'!$C$7:$C$1492,0),0)))</f>
        <v>Set</v>
      </c>
      <c r="F375" s="489">
        <f>F374*1</f>
        <v>1</v>
      </c>
      <c r="G375" s="358">
        <f ca="1">IF(ISERROR(OFFSET('HARGA SATUAN'!$I$6,MATCH(RAB!C375,'HARGA SATUAN'!$C$7:$C$1492,0),0)),0,OFFSET('HARGA SATUAN'!$I$6,MATCH(RAB!C375,'HARGA SATUAN'!$C$7:$C$1492,0),0))</f>
        <v>24784300</v>
      </c>
      <c r="H375" s="359">
        <f t="shared" ca="1" si="44"/>
        <v>0</v>
      </c>
      <c r="I375" s="359">
        <f t="shared" ca="1" si="45"/>
        <v>24784300</v>
      </c>
      <c r="J375" s="359">
        <f t="shared" ca="1" si="46"/>
        <v>0</v>
      </c>
      <c r="K375" s="360">
        <f t="shared" ca="1" si="47"/>
        <v>24784300</v>
      </c>
      <c r="L375" s="367"/>
      <c r="M375" s="367"/>
      <c r="N375" s="367"/>
      <c r="O375" s="361"/>
      <c r="P375" s="361"/>
      <c r="Q375" s="344"/>
      <c r="R375" s="336"/>
      <c r="S375" s="362"/>
      <c r="T375" s="341"/>
      <c r="U375" s="341"/>
      <c r="V375" s="341"/>
    </row>
    <row r="376" spans="1:22" s="368" customFormat="1">
      <c r="A376" s="336"/>
      <c r="B376" s="692">
        <v>2</v>
      </c>
      <c r="C376" s="703" t="s">
        <v>67</v>
      </c>
      <c r="D376" s="356" t="str">
        <f ca="1">IF(ISERROR(OFFSET('HARGA SATUAN'!$D$6,MATCH(RAB!C376,'HARGA SATUAN'!$C$7:$C$1492,0),0)),"",OFFSET('HARGA SATUAN'!$D$6,MATCH(RAB!C376,'HARGA SATUAN'!$C$7:$C$1492,0),0))</f>
        <v>MDU-KD</v>
      </c>
      <c r="E376" s="357" t="str">
        <f ca="1">IF(B376="+","Unit",IF(ISERROR(OFFSET('HARGA SATUAN'!$E$6,MATCH(RAB!C376,'HARGA SATUAN'!$C$7:$C$1492,0),0)),"",OFFSET('HARGA SATUAN'!$E$6,MATCH(RAB!C376,'HARGA SATUAN'!$C$7:$C$1492,0),0)))</f>
        <v>Mtr</v>
      </c>
      <c r="F376" s="489">
        <f>F374*12</f>
        <v>12</v>
      </c>
      <c r="G376" s="358">
        <f ca="1">IF(ISERROR(OFFSET('HARGA SATUAN'!$I$6,MATCH(RAB!C376,'HARGA SATUAN'!$C$7:$C$1492,0),0)),0,OFFSET('HARGA SATUAN'!$I$6,MATCH(RAB!C376,'HARGA SATUAN'!$C$7:$C$1492,0),0))</f>
        <v>36900</v>
      </c>
      <c r="H376" s="359">
        <f t="shared" ca="1" si="44"/>
        <v>442800</v>
      </c>
      <c r="I376" s="359">
        <f t="shared" ca="1" si="45"/>
        <v>0</v>
      </c>
      <c r="J376" s="359">
        <f t="shared" ca="1" si="46"/>
        <v>0</v>
      </c>
      <c r="K376" s="360">
        <f t="shared" ca="1" si="47"/>
        <v>442800</v>
      </c>
      <c r="L376" s="367"/>
      <c r="M376" s="367"/>
      <c r="N376" s="367"/>
      <c r="O376" s="361"/>
      <c r="P376" s="361"/>
      <c r="Q376" s="344"/>
      <c r="R376" s="336"/>
      <c r="S376" s="362"/>
      <c r="T376" s="341"/>
      <c r="U376" s="341"/>
      <c r="V376" s="341"/>
    </row>
    <row r="377" spans="1:22" s="368" customFormat="1">
      <c r="A377" s="336"/>
      <c r="B377" s="692">
        <v>3</v>
      </c>
      <c r="C377" s="703" t="s">
        <v>1632</v>
      </c>
      <c r="D377" s="356" t="str">
        <f ca="1">IF(ISERROR(OFFSET('HARGA SATUAN'!$D$6,MATCH(RAB!C377,'HARGA SATUAN'!$C$7:$C$1492,0),0)),"",OFFSET('HARGA SATUAN'!$D$6,MATCH(RAB!C377,'HARGA SATUAN'!$C$7:$C$1492,0),0))</f>
        <v/>
      </c>
      <c r="E377" s="357" t="str">
        <f ca="1">IF(B377="+","Unit",IF(ISERROR(OFFSET('HARGA SATUAN'!$E$6,MATCH(RAB!C377,'HARGA SATUAN'!$C$7:$C$1492,0),0)),"",OFFSET('HARGA SATUAN'!$E$6,MATCH(RAB!C377,'HARGA SATUAN'!$C$7:$C$1492,0),0)))</f>
        <v/>
      </c>
      <c r="F377" s="489">
        <f>F374*6</f>
        <v>6</v>
      </c>
      <c r="G377" s="358">
        <f ca="1">IF(ISERROR(OFFSET('HARGA SATUAN'!$I$6,MATCH(RAB!C377,'HARGA SATUAN'!$C$7:$C$1492,0),0)),0,OFFSET('HARGA SATUAN'!$I$6,MATCH(RAB!C377,'HARGA SATUAN'!$C$7:$C$1492,0),0))</f>
        <v>0</v>
      </c>
      <c r="H377" s="359">
        <f t="shared" ca="1" si="44"/>
        <v>0</v>
      </c>
      <c r="I377" s="359">
        <f t="shared" ca="1" si="45"/>
        <v>0</v>
      </c>
      <c r="J377" s="359">
        <f t="shared" ca="1" si="46"/>
        <v>0</v>
      </c>
      <c r="K377" s="360">
        <f t="shared" ca="1" si="47"/>
        <v>0</v>
      </c>
      <c r="L377" s="367"/>
      <c r="M377" s="367"/>
      <c r="N377" s="367"/>
      <c r="O377" s="361"/>
      <c r="P377" s="361"/>
      <c r="Q377" s="344"/>
      <c r="R377" s="336"/>
      <c r="S377" s="362"/>
      <c r="T377" s="341"/>
      <c r="U377" s="341"/>
      <c r="V377" s="341"/>
    </row>
    <row r="378" spans="1:22" s="368" customFormat="1">
      <c r="A378" s="336"/>
      <c r="B378" s="692">
        <v>4</v>
      </c>
      <c r="C378" s="703" t="s">
        <v>181</v>
      </c>
      <c r="D378" s="356" t="str">
        <f ca="1">IF(ISERROR(OFFSET('HARGA SATUAN'!$D$6,MATCH(RAB!C378,'HARGA SATUAN'!$C$7:$C$1492,0),0)),"",OFFSET('HARGA SATUAN'!$D$6,MATCH(RAB!C378,'HARGA SATUAN'!$C$7:$C$1492,0),0))</f>
        <v>HDW</v>
      </c>
      <c r="E378" s="357" t="str">
        <f ca="1">IF(B378="+","Unit",IF(ISERROR(OFFSET('HARGA SATUAN'!$E$6,MATCH(RAB!C378,'HARGA SATUAN'!$C$7:$C$1492,0),0)),"",OFFSET('HARGA SATUAN'!$E$6,MATCH(RAB!C378,'HARGA SATUAN'!$C$7:$C$1492,0),0)))</f>
        <v>Bh</v>
      </c>
      <c r="F378" s="489">
        <f>F374*6</f>
        <v>6</v>
      </c>
      <c r="G378" s="358">
        <f ca="1">IF(ISERROR(OFFSET('HARGA SATUAN'!$I$6,MATCH(RAB!C378,'HARGA SATUAN'!$C$7:$C$1492,0),0)),0,OFFSET('HARGA SATUAN'!$I$6,MATCH(RAB!C378,'HARGA SATUAN'!$C$7:$C$1492,0),0))</f>
        <v>28100</v>
      </c>
      <c r="H378" s="359">
        <f t="shared" ca="1" si="44"/>
        <v>0</v>
      </c>
      <c r="I378" s="359">
        <f t="shared" ca="1" si="45"/>
        <v>168600</v>
      </c>
      <c r="J378" s="359">
        <f t="shared" ca="1" si="46"/>
        <v>0</v>
      </c>
      <c r="K378" s="360">
        <f t="shared" ca="1" si="47"/>
        <v>168600</v>
      </c>
      <c r="L378" s="367"/>
      <c r="M378" s="367"/>
      <c r="N378" s="367"/>
      <c r="O378" s="361"/>
      <c r="P378" s="361"/>
      <c r="Q378" s="344"/>
      <c r="R378" s="336"/>
      <c r="S378" s="362"/>
      <c r="T378" s="341"/>
      <c r="U378" s="341"/>
      <c r="V378" s="341"/>
    </row>
    <row r="379" spans="1:22" s="368" customFormat="1">
      <c r="A379" s="336"/>
      <c r="B379" s="692">
        <v>5</v>
      </c>
      <c r="C379" s="109" t="s">
        <v>1169</v>
      </c>
      <c r="D379" s="356" t="str">
        <f ca="1">IF(ISERROR(OFFSET('HARGA SATUAN'!$D$6,MATCH(RAB!C379,'HARGA SATUAN'!$C$7:$C$1492,0),0)),"",OFFSET('HARGA SATUAN'!$D$6,MATCH(RAB!C379,'HARGA SATUAN'!$C$7:$C$1492,0),0))</f>
        <v>JASA</v>
      </c>
      <c r="E379" s="357" t="str">
        <f ca="1">IF(B379="+","Unit",IF(ISERROR(OFFSET('HARGA SATUAN'!$E$6,MATCH(RAB!C379,'HARGA SATUAN'!$C$7:$C$1492,0),0)),"",OFFSET('HARGA SATUAN'!$E$6,MATCH(RAB!C379,'HARGA SATUAN'!$C$7:$C$1492,0),0)))</f>
        <v>Unit</v>
      </c>
      <c r="F379" s="489">
        <f>F374*1</f>
        <v>1</v>
      </c>
      <c r="G379" s="358">
        <f ca="1">IF(ISERROR(OFFSET('HARGA SATUAN'!$I$6,MATCH(RAB!C379,'HARGA SATUAN'!$C$7:$C$1492,0),0)),0,OFFSET('HARGA SATUAN'!$I$6,MATCH(RAB!C379,'HARGA SATUAN'!$C$7:$C$1492,0),0))</f>
        <v>1568200</v>
      </c>
      <c r="H379" s="359">
        <f t="shared" ca="1" si="44"/>
        <v>0</v>
      </c>
      <c r="I379" s="359">
        <f t="shared" ca="1" si="45"/>
        <v>0</v>
      </c>
      <c r="J379" s="359">
        <f t="shared" ca="1" si="46"/>
        <v>1568200</v>
      </c>
      <c r="K379" s="360">
        <f t="shared" ca="1" si="47"/>
        <v>1568200</v>
      </c>
      <c r="L379" s="367"/>
      <c r="M379" s="367"/>
      <c r="N379" s="367"/>
      <c r="O379" s="361"/>
      <c r="P379" s="361"/>
      <c r="Q379" s="344"/>
      <c r="R379" s="336"/>
      <c r="S379" s="362"/>
      <c r="T379" s="341"/>
      <c r="U379" s="341"/>
      <c r="V379" s="341"/>
    </row>
    <row r="380" spans="1:22" s="368" customFormat="1">
      <c r="A380" s="336"/>
      <c r="B380" s="692"/>
      <c r="C380" s="693"/>
      <c r="D380" s="356" t="str">
        <f ca="1">IF(ISERROR(OFFSET('HARGA SATUAN'!$D$6,MATCH(RAB!C380,'HARGA SATUAN'!$C$7:$C$1492,0),0)),"",OFFSET('HARGA SATUAN'!$D$6,MATCH(RAB!C380,'HARGA SATUAN'!$C$7:$C$1492,0),0))</f>
        <v/>
      </c>
      <c r="E380" s="357" t="str">
        <f ca="1">IF(B380="+","Unit",IF(ISERROR(OFFSET('HARGA SATUAN'!$E$6,MATCH(RAB!C380,'HARGA SATUAN'!$C$7:$C$1492,0),0)),"",OFFSET('HARGA SATUAN'!$E$6,MATCH(RAB!C380,'HARGA SATUAN'!$C$7:$C$1492,0),0)))</f>
        <v/>
      </c>
      <c r="F380" s="714"/>
      <c r="G380" s="358">
        <f ca="1">IF(ISERROR(OFFSET('HARGA SATUAN'!$I$6,MATCH(RAB!C380,'HARGA SATUAN'!$C$7:$C$1492,0),0)),0,OFFSET('HARGA SATUAN'!$I$6,MATCH(RAB!C380,'HARGA SATUAN'!$C$7:$C$1492,0),0))</f>
        <v>0</v>
      </c>
      <c r="H380" s="359">
        <f t="shared" ca="1" si="44"/>
        <v>0</v>
      </c>
      <c r="I380" s="359">
        <f t="shared" ca="1" si="45"/>
        <v>0</v>
      </c>
      <c r="J380" s="359">
        <f t="shared" ca="1" si="46"/>
        <v>0</v>
      </c>
      <c r="K380" s="360">
        <f t="shared" ca="1" si="47"/>
        <v>0</v>
      </c>
      <c r="L380" s="367"/>
      <c r="M380" s="367"/>
      <c r="N380" s="367"/>
      <c r="O380" s="361"/>
      <c r="P380" s="361"/>
      <c r="Q380" s="344"/>
      <c r="R380" s="336"/>
      <c r="S380" s="362"/>
      <c r="T380" s="341"/>
      <c r="U380" s="341"/>
      <c r="V380" s="341"/>
    </row>
    <row r="381" spans="1:22" s="368" customFormat="1">
      <c r="A381" s="336"/>
      <c r="B381" s="692" t="s">
        <v>1035</v>
      </c>
      <c r="C381" s="693" t="s">
        <v>1633</v>
      </c>
      <c r="D381" s="356" t="str">
        <f ca="1">IF(ISERROR(OFFSET('HARGA SATUAN'!$D$6,MATCH(RAB!C381,'HARGA SATUAN'!$C$7:$C$1492,0),0)),"",OFFSET('HARGA SATUAN'!$D$6,MATCH(RAB!C381,'HARGA SATUAN'!$C$7:$C$1492,0),0))</f>
        <v/>
      </c>
      <c r="E381" s="357" t="str">
        <f ca="1">IF(B381="+","Unit",IF(ISERROR(OFFSET('HARGA SATUAN'!$E$6,MATCH(RAB!C381,'HARGA SATUAN'!$C$7:$C$1492,0),0)),"",OFFSET('HARGA SATUAN'!$E$6,MATCH(RAB!C381,'HARGA SATUAN'!$C$7:$C$1492,0),0)))</f>
        <v>Unit</v>
      </c>
      <c r="F381" s="489">
        <v>1</v>
      </c>
      <c r="G381" s="358">
        <f ca="1">IF(ISERROR(OFFSET('HARGA SATUAN'!$I$6,MATCH(RAB!C381,'HARGA SATUAN'!$C$7:$C$1492,0),0)),0,OFFSET('HARGA SATUAN'!$I$6,MATCH(RAB!C381,'HARGA SATUAN'!$C$7:$C$1492,0),0))</f>
        <v>0</v>
      </c>
      <c r="H381" s="359">
        <f t="shared" ca="1" si="44"/>
        <v>0</v>
      </c>
      <c r="I381" s="359">
        <f t="shared" ca="1" si="45"/>
        <v>0</v>
      </c>
      <c r="J381" s="359">
        <f t="shared" ca="1" si="46"/>
        <v>0</v>
      </c>
      <c r="K381" s="360">
        <f t="shared" ca="1" si="47"/>
        <v>0</v>
      </c>
      <c r="L381" s="367"/>
      <c r="M381" s="367"/>
      <c r="N381" s="367"/>
      <c r="O381" s="361"/>
      <c r="P381" s="361"/>
      <c r="Q381" s="344"/>
      <c r="R381" s="336"/>
      <c r="S381" s="362"/>
      <c r="T381" s="341"/>
      <c r="U381" s="341"/>
      <c r="V381" s="341"/>
    </row>
    <row r="382" spans="1:22" s="368" customFormat="1">
      <c r="A382" s="336"/>
      <c r="B382" s="692">
        <v>1</v>
      </c>
      <c r="C382" s="693" t="s">
        <v>29</v>
      </c>
      <c r="D382" s="356" t="str">
        <f ca="1">IF(ISERROR(OFFSET('HARGA SATUAN'!$D$6,MATCH(RAB!C382,'HARGA SATUAN'!$C$7:$C$1492,0),0)),"",OFFSET('HARGA SATUAN'!$D$6,MATCH(RAB!C382,'HARGA SATUAN'!$C$7:$C$1492,0),0))</f>
        <v>HDW</v>
      </c>
      <c r="E382" s="357" t="str">
        <f ca="1">IF(B382="+","Unit",IF(ISERROR(OFFSET('HARGA SATUAN'!$E$6,MATCH(RAB!C382,'HARGA SATUAN'!$C$7:$C$1492,0),0)),"",OFFSET('HARGA SATUAN'!$E$6,MATCH(RAB!C382,'HARGA SATUAN'!$C$7:$C$1492,0),0)))</f>
        <v>Bh</v>
      </c>
      <c r="F382" s="489">
        <f>F381*1</f>
        <v>1</v>
      </c>
      <c r="G382" s="358">
        <f ca="1">IF(ISERROR(OFFSET('HARGA SATUAN'!$I$6,MATCH(RAB!C382,'HARGA SATUAN'!$C$7:$C$1492,0),0)),0,OFFSET('HARGA SATUAN'!$I$6,MATCH(RAB!C382,'HARGA SATUAN'!$C$7:$C$1492,0),0))</f>
        <v>185200</v>
      </c>
      <c r="H382" s="359">
        <f t="shared" ca="1" si="44"/>
        <v>0</v>
      </c>
      <c r="I382" s="359">
        <f t="shared" ca="1" si="45"/>
        <v>185200</v>
      </c>
      <c r="J382" s="359">
        <f t="shared" ca="1" si="46"/>
        <v>0</v>
      </c>
      <c r="K382" s="360">
        <f t="shared" ca="1" si="47"/>
        <v>185200</v>
      </c>
      <c r="L382" s="367"/>
      <c r="M382" s="367"/>
      <c r="N382" s="367"/>
      <c r="O382" s="361"/>
      <c r="P382" s="361"/>
      <c r="Q382" s="344"/>
      <c r="R382" s="336"/>
      <c r="S382" s="362"/>
      <c r="T382" s="341"/>
      <c r="U382" s="341"/>
      <c r="V382" s="341"/>
    </row>
    <row r="383" spans="1:22" s="368" customFormat="1">
      <c r="A383" s="336"/>
      <c r="B383" s="692">
        <v>2</v>
      </c>
      <c r="C383" s="693" t="s">
        <v>30</v>
      </c>
      <c r="D383" s="356" t="str">
        <f ca="1">IF(ISERROR(OFFSET('HARGA SATUAN'!$D$6,MATCH(RAB!C383,'HARGA SATUAN'!$C$7:$C$1492,0),0)),"",OFFSET('HARGA SATUAN'!$D$6,MATCH(RAB!C383,'HARGA SATUAN'!$C$7:$C$1492,0),0))</f>
        <v>HDW</v>
      </c>
      <c r="E383" s="357" t="str">
        <f ca="1">IF(B383="+","Unit",IF(ISERROR(OFFSET('HARGA SATUAN'!$E$6,MATCH(RAB!C383,'HARGA SATUAN'!$C$7:$C$1492,0),0)),"",OFFSET('HARGA SATUAN'!$E$6,MATCH(RAB!C383,'HARGA SATUAN'!$C$7:$C$1492,0),0)))</f>
        <v>Bh</v>
      </c>
      <c r="F383" s="489">
        <f>F381*1</f>
        <v>1</v>
      </c>
      <c r="G383" s="358">
        <f ca="1">IF(ISERROR(OFFSET('HARGA SATUAN'!$I$6,MATCH(RAB!C383,'HARGA SATUAN'!$C$7:$C$1492,0),0)),0,OFFSET('HARGA SATUAN'!$I$6,MATCH(RAB!C383,'HARGA SATUAN'!$C$7:$C$1492,0),0))</f>
        <v>47459</v>
      </c>
      <c r="H383" s="359">
        <f t="shared" ca="1" si="44"/>
        <v>0</v>
      </c>
      <c r="I383" s="359">
        <f t="shared" ca="1" si="45"/>
        <v>47459</v>
      </c>
      <c r="J383" s="359">
        <f t="shared" ca="1" si="46"/>
        <v>0</v>
      </c>
      <c r="K383" s="360">
        <f t="shared" ca="1" si="47"/>
        <v>47459</v>
      </c>
      <c r="L383" s="367"/>
      <c r="M383" s="367"/>
      <c r="N383" s="367"/>
      <c r="O383" s="361"/>
      <c r="P383" s="361"/>
      <c r="Q383" s="344"/>
      <c r="R383" s="336"/>
      <c r="S383" s="362"/>
      <c r="T383" s="341"/>
      <c r="U383" s="341"/>
      <c r="V383" s="341"/>
    </row>
    <row r="384" spans="1:22" s="368" customFormat="1">
      <c r="A384" s="336"/>
      <c r="B384" s="692">
        <v>3</v>
      </c>
      <c r="C384" s="693" t="s">
        <v>32</v>
      </c>
      <c r="D384" s="356" t="str">
        <f ca="1">IF(ISERROR(OFFSET('HARGA SATUAN'!$D$6,MATCH(RAB!C384,'HARGA SATUAN'!$C$7:$C$1492,0),0)),"",OFFSET('HARGA SATUAN'!$D$6,MATCH(RAB!C384,'HARGA SATUAN'!$C$7:$C$1492,0),0))</f>
        <v>HDW</v>
      </c>
      <c r="E384" s="357" t="str">
        <f ca="1">IF(B384="+","Unit",IF(ISERROR(OFFSET('HARGA SATUAN'!$E$6,MATCH(RAB!C384,'HARGA SATUAN'!$C$7:$C$1492,0),0)),"",OFFSET('HARGA SATUAN'!$E$6,MATCH(RAB!C384,'HARGA SATUAN'!$C$7:$C$1492,0),0)))</f>
        <v>Mtr</v>
      </c>
      <c r="F384" s="489">
        <f>F381*1.5</f>
        <v>1.5</v>
      </c>
      <c r="G384" s="358">
        <f ca="1">IF(ISERROR(OFFSET('HARGA SATUAN'!$I$6,MATCH(RAB!C384,'HARGA SATUAN'!$C$7:$C$1492,0),0)),0,OFFSET('HARGA SATUAN'!$I$6,MATCH(RAB!C384,'HARGA SATUAN'!$C$7:$C$1492,0),0))</f>
        <v>30000</v>
      </c>
      <c r="H384" s="359">
        <f t="shared" ca="1" si="44"/>
        <v>0</v>
      </c>
      <c r="I384" s="359">
        <f t="shared" ca="1" si="45"/>
        <v>45000</v>
      </c>
      <c r="J384" s="359">
        <f t="shared" ca="1" si="46"/>
        <v>0</v>
      </c>
      <c r="K384" s="360">
        <f t="shared" ca="1" si="47"/>
        <v>45000</v>
      </c>
      <c r="L384" s="367"/>
      <c r="M384" s="367"/>
      <c r="N384" s="367"/>
      <c r="O384" s="361"/>
      <c r="P384" s="361"/>
      <c r="Q384" s="344"/>
      <c r="R384" s="336"/>
      <c r="S384" s="362"/>
      <c r="T384" s="341"/>
      <c r="U384" s="341"/>
      <c r="V384" s="341"/>
    </row>
    <row r="385" spans="1:22" s="368" customFormat="1">
      <c r="A385" s="336"/>
      <c r="B385" s="692">
        <v>4</v>
      </c>
      <c r="C385" s="693" t="s">
        <v>33</v>
      </c>
      <c r="D385" s="356" t="str">
        <f ca="1">IF(ISERROR(OFFSET('HARGA SATUAN'!$D$6,MATCH(RAB!C385,'HARGA SATUAN'!$C$7:$C$1492,0),0)),"",OFFSET('HARGA SATUAN'!$D$6,MATCH(RAB!C385,'HARGA SATUAN'!$C$7:$C$1492,0),0))</f>
        <v>HDW</v>
      </c>
      <c r="E385" s="357" t="str">
        <f ca="1">IF(B385="+","Unit",IF(ISERROR(OFFSET('HARGA SATUAN'!$E$6,MATCH(RAB!C385,'HARGA SATUAN'!$C$7:$C$1492,0),0)),"",OFFSET('HARGA SATUAN'!$E$6,MATCH(RAB!C385,'HARGA SATUAN'!$C$7:$C$1492,0),0)))</f>
        <v>Bh</v>
      </c>
      <c r="F385" s="489">
        <f>F381*2</f>
        <v>2</v>
      </c>
      <c r="G385" s="358">
        <f ca="1">IF(ISERROR(OFFSET('HARGA SATUAN'!$I$6,MATCH(RAB!C385,'HARGA SATUAN'!$C$7:$C$1492,0),0)),0,OFFSET('HARGA SATUAN'!$I$6,MATCH(RAB!C385,'HARGA SATUAN'!$C$7:$C$1492,0),0))</f>
        <v>9500</v>
      </c>
      <c r="H385" s="359">
        <f t="shared" ca="1" si="44"/>
        <v>0</v>
      </c>
      <c r="I385" s="359">
        <f t="shared" ca="1" si="45"/>
        <v>19000</v>
      </c>
      <c r="J385" s="359">
        <f t="shared" ca="1" si="46"/>
        <v>0</v>
      </c>
      <c r="K385" s="360">
        <f t="shared" ca="1" si="47"/>
        <v>19000</v>
      </c>
      <c r="L385" s="367"/>
      <c r="M385" s="367"/>
      <c r="N385" s="367"/>
      <c r="O385" s="361"/>
      <c r="P385" s="361"/>
      <c r="Q385" s="344"/>
      <c r="R385" s="336"/>
      <c r="S385" s="362"/>
      <c r="T385" s="341"/>
      <c r="U385" s="341"/>
      <c r="V385" s="341"/>
    </row>
    <row r="386" spans="1:22" s="368" customFormat="1">
      <c r="A386" s="336"/>
      <c r="B386" s="692">
        <v>5</v>
      </c>
      <c r="C386" s="693" t="s">
        <v>735</v>
      </c>
      <c r="D386" s="356" t="str">
        <f ca="1">IF(ISERROR(OFFSET('HARGA SATUAN'!$D$6,MATCH(RAB!C386,'HARGA SATUAN'!$C$7:$C$1492,0),0)),"",OFFSET('HARGA SATUAN'!$D$6,MATCH(RAB!C386,'HARGA SATUAN'!$C$7:$C$1492,0),0))</f>
        <v>JASA</v>
      </c>
      <c r="E386" s="357" t="str">
        <f ca="1">IF(B386="+","Unit",IF(ISERROR(OFFSET('HARGA SATUAN'!$E$6,MATCH(RAB!C386,'HARGA SATUAN'!$C$7:$C$1492,0),0)),"",OFFSET('HARGA SATUAN'!$E$6,MATCH(RAB!C386,'HARGA SATUAN'!$C$7:$C$1492,0),0)))</f>
        <v>Unit</v>
      </c>
      <c r="F386" s="489">
        <f>F381*1</f>
        <v>1</v>
      </c>
      <c r="G386" s="358">
        <f ca="1">IF(ISERROR(OFFSET('HARGA SATUAN'!$I$6,MATCH(RAB!C386,'HARGA SATUAN'!$C$7:$C$1492,0),0)),0,OFFSET('HARGA SATUAN'!$I$6,MATCH(RAB!C386,'HARGA SATUAN'!$C$7:$C$1492,0),0))</f>
        <v>56400</v>
      </c>
      <c r="H386" s="359">
        <f t="shared" ca="1" si="44"/>
        <v>0</v>
      </c>
      <c r="I386" s="359">
        <f t="shared" ca="1" si="45"/>
        <v>0</v>
      </c>
      <c r="J386" s="359">
        <f t="shared" ca="1" si="46"/>
        <v>56400</v>
      </c>
      <c r="K386" s="360">
        <f t="shared" ca="1" si="47"/>
        <v>56400</v>
      </c>
      <c r="L386" s="367"/>
      <c r="M386" s="367"/>
      <c r="N386" s="367"/>
      <c r="O386" s="361"/>
      <c r="P386" s="361"/>
      <c r="Q386" s="344"/>
      <c r="R386" s="336"/>
      <c r="S386" s="362"/>
      <c r="T386" s="341"/>
      <c r="U386" s="341"/>
      <c r="V386" s="341"/>
    </row>
    <row r="387" spans="1:22" s="368" customFormat="1">
      <c r="A387" s="336"/>
      <c r="B387" s="694"/>
      <c r="C387" s="695"/>
      <c r="D387" s="356" t="str">
        <f ca="1">IF(ISERROR(OFFSET('HARGA SATUAN'!$D$6,MATCH(RAB!C387,'HARGA SATUAN'!$C$7:$C$1492,0),0)),"",OFFSET('HARGA SATUAN'!$D$6,MATCH(RAB!C387,'HARGA SATUAN'!$C$7:$C$1492,0),0))</f>
        <v/>
      </c>
      <c r="E387" s="357" t="str">
        <f ca="1">IF(B387="+","Unit",IF(ISERROR(OFFSET('HARGA SATUAN'!$E$6,MATCH(RAB!C387,'HARGA SATUAN'!$C$7:$C$1492,0),0)),"",OFFSET('HARGA SATUAN'!$E$6,MATCH(RAB!C387,'HARGA SATUAN'!$C$7:$C$1492,0),0)))</f>
        <v/>
      </c>
      <c r="F387" s="715"/>
      <c r="G387" s="358">
        <f ca="1">IF(ISERROR(OFFSET('HARGA SATUAN'!$I$6,MATCH(RAB!C387,'HARGA SATUAN'!$C$7:$C$1492,0),0)),0,OFFSET('HARGA SATUAN'!$I$6,MATCH(RAB!C387,'HARGA SATUAN'!$C$7:$C$1492,0),0))</f>
        <v>0</v>
      </c>
      <c r="H387" s="359">
        <f t="shared" ca="1" si="44"/>
        <v>0</v>
      </c>
      <c r="I387" s="359">
        <f t="shared" ca="1" si="45"/>
        <v>0</v>
      </c>
      <c r="J387" s="359">
        <f t="shared" ca="1" si="46"/>
        <v>0</v>
      </c>
      <c r="K387" s="360">
        <f t="shared" ca="1" si="47"/>
        <v>0</v>
      </c>
      <c r="L387" s="367"/>
      <c r="M387" s="367"/>
      <c r="N387" s="367"/>
      <c r="O387" s="361"/>
      <c r="P387" s="361"/>
      <c r="Q387" s="344"/>
      <c r="R387" s="336"/>
      <c r="S387" s="362"/>
      <c r="T387" s="341"/>
      <c r="U387" s="341"/>
      <c r="V387" s="341"/>
    </row>
    <row r="388" spans="1:22" s="368" customFormat="1">
      <c r="A388" s="336"/>
      <c r="B388" s="704" t="s">
        <v>526</v>
      </c>
      <c r="C388" s="705" t="s">
        <v>1634</v>
      </c>
      <c r="D388" s="356" t="str">
        <f ca="1">IF(ISERROR(OFFSET('HARGA SATUAN'!$D$6,MATCH(RAB!C388,'HARGA SATUAN'!$C$7:$C$1492,0),0)),"",OFFSET('HARGA SATUAN'!$D$6,MATCH(RAB!C388,'HARGA SATUAN'!$C$7:$C$1492,0),0))</f>
        <v/>
      </c>
      <c r="E388" s="357" t="str">
        <f ca="1">IF(B388="+","Unit",IF(ISERROR(OFFSET('HARGA SATUAN'!$E$6,MATCH(RAB!C388,'HARGA SATUAN'!$C$7:$C$1492,0),0)),"",OFFSET('HARGA SATUAN'!$E$6,MATCH(RAB!C388,'HARGA SATUAN'!$C$7:$C$1492,0),0)))</f>
        <v/>
      </c>
      <c r="F388" s="719"/>
      <c r="G388" s="358">
        <f ca="1">IF(ISERROR(OFFSET('HARGA SATUAN'!$I$6,MATCH(RAB!C388,'HARGA SATUAN'!$C$7:$C$1492,0),0)),0,OFFSET('HARGA SATUAN'!$I$6,MATCH(RAB!C388,'HARGA SATUAN'!$C$7:$C$1492,0),0))</f>
        <v>0</v>
      </c>
      <c r="H388" s="359">
        <f t="shared" ca="1" si="44"/>
        <v>0</v>
      </c>
      <c r="I388" s="359">
        <f t="shared" ca="1" si="45"/>
        <v>0</v>
      </c>
      <c r="J388" s="359">
        <f t="shared" ca="1" si="46"/>
        <v>0</v>
      </c>
      <c r="K388" s="360">
        <f t="shared" ca="1" si="47"/>
        <v>0</v>
      </c>
      <c r="L388" s="367"/>
      <c r="M388" s="367"/>
      <c r="N388" s="367"/>
      <c r="O388" s="361"/>
      <c r="P388" s="361"/>
      <c r="Q388" s="344"/>
      <c r="R388" s="336"/>
      <c r="S388" s="362"/>
      <c r="T388" s="341"/>
      <c r="U388" s="341"/>
      <c r="V388" s="341"/>
    </row>
    <row r="389" spans="1:22" s="368" customFormat="1">
      <c r="A389" s="336"/>
      <c r="B389" s="706"/>
      <c r="C389" s="131"/>
      <c r="D389" s="356" t="str">
        <f ca="1">IF(ISERROR(OFFSET('HARGA SATUAN'!$D$6,MATCH(RAB!C389,'HARGA SATUAN'!$C$7:$C$1492,0),0)),"",OFFSET('HARGA SATUAN'!$D$6,MATCH(RAB!C389,'HARGA SATUAN'!$C$7:$C$1492,0),0))</f>
        <v/>
      </c>
      <c r="E389" s="357" t="str">
        <f ca="1">IF(B389="+","Unit",IF(ISERROR(OFFSET('HARGA SATUAN'!$E$6,MATCH(RAB!C389,'HARGA SATUAN'!$C$7:$C$1492,0),0)),"",OFFSET('HARGA SATUAN'!$E$6,MATCH(RAB!C389,'HARGA SATUAN'!$C$7:$C$1492,0),0)))</f>
        <v/>
      </c>
      <c r="F389" s="720"/>
      <c r="G389" s="358">
        <f ca="1">IF(ISERROR(OFFSET('HARGA SATUAN'!$I$6,MATCH(RAB!C389,'HARGA SATUAN'!$C$7:$C$1492,0),0)),0,OFFSET('HARGA SATUAN'!$I$6,MATCH(RAB!C389,'HARGA SATUAN'!$C$7:$C$1492,0),0))</f>
        <v>0</v>
      </c>
      <c r="H389" s="359">
        <f t="shared" ca="1" si="44"/>
        <v>0</v>
      </c>
      <c r="I389" s="359">
        <f t="shared" ca="1" si="45"/>
        <v>0</v>
      </c>
      <c r="J389" s="359">
        <f t="shared" ca="1" si="46"/>
        <v>0</v>
      </c>
      <c r="K389" s="360">
        <f t="shared" ca="1" si="47"/>
        <v>0</v>
      </c>
      <c r="L389" s="367"/>
      <c r="M389" s="367"/>
      <c r="N389" s="367"/>
      <c r="O389" s="361"/>
      <c r="P389" s="361"/>
      <c r="Q389" s="344"/>
      <c r="R389" s="336"/>
      <c r="S389" s="362"/>
      <c r="T389" s="341"/>
      <c r="U389" s="341"/>
      <c r="V389" s="341"/>
    </row>
    <row r="390" spans="1:22" s="368" customFormat="1">
      <c r="A390" s="336"/>
      <c r="B390" s="692" t="s">
        <v>1035</v>
      </c>
      <c r="C390" s="693" t="s">
        <v>1673</v>
      </c>
      <c r="D390" s="356" t="str">
        <f ca="1">IF(ISERROR(OFFSET('HARGA SATUAN'!$D$6,MATCH(RAB!C390,'HARGA SATUAN'!$C$7:$C$1492,0),0)),"",OFFSET('HARGA SATUAN'!$D$6,MATCH(RAB!C390,'HARGA SATUAN'!$C$7:$C$1492,0),0))</f>
        <v/>
      </c>
      <c r="E390" s="357" t="str">
        <f ca="1">IF(B390="+","Unit",IF(ISERROR(OFFSET('HARGA SATUAN'!$E$6,MATCH(RAB!C390,'HARGA SATUAN'!$C$7:$C$1492,0),0)),"",OFFSET('HARGA SATUAN'!$E$6,MATCH(RAB!C390,'HARGA SATUAN'!$C$7:$C$1492,0),0)))</f>
        <v>Unit</v>
      </c>
      <c r="F390" s="489">
        <v>1</v>
      </c>
      <c r="G390" s="358">
        <f ca="1">IF(ISERROR(OFFSET('HARGA SATUAN'!$I$6,MATCH(RAB!C390,'HARGA SATUAN'!$C$7:$C$1492,0),0)),0,OFFSET('HARGA SATUAN'!$I$6,MATCH(RAB!C390,'HARGA SATUAN'!$C$7:$C$1492,0),0))</f>
        <v>0</v>
      </c>
      <c r="H390" s="359">
        <f t="shared" ca="1" si="44"/>
        <v>0</v>
      </c>
      <c r="I390" s="359">
        <f t="shared" ca="1" si="45"/>
        <v>0</v>
      </c>
      <c r="J390" s="359">
        <f t="shared" ca="1" si="46"/>
        <v>0</v>
      </c>
      <c r="K390" s="360">
        <f t="shared" ca="1" si="47"/>
        <v>0</v>
      </c>
      <c r="L390" s="367"/>
      <c r="M390" s="367"/>
      <c r="N390" s="367"/>
      <c r="O390" s="361"/>
      <c r="P390" s="361"/>
      <c r="Q390" s="344"/>
      <c r="R390" s="336"/>
      <c r="S390" s="362"/>
      <c r="T390" s="341"/>
      <c r="U390" s="341"/>
      <c r="V390" s="341"/>
    </row>
    <row r="391" spans="1:22" s="368" customFormat="1">
      <c r="A391" s="336"/>
      <c r="B391" s="692">
        <v>1</v>
      </c>
      <c r="C391" s="109" t="s">
        <v>1148</v>
      </c>
      <c r="D391" s="356" t="str">
        <f ca="1">IF(ISERROR(OFFSET('HARGA SATUAN'!$D$6,MATCH(RAB!C391,'HARGA SATUAN'!$C$7:$C$1492,0),0)),"",OFFSET('HARGA SATUAN'!$D$6,MATCH(RAB!C391,'HARGA SATUAN'!$C$7:$C$1492,0),0))</f>
        <v>MDU-KD</v>
      </c>
      <c r="E391" s="357" t="str">
        <f ca="1">IF(B391="+","Unit",IF(ISERROR(OFFSET('HARGA SATUAN'!$E$6,MATCH(RAB!C391,'HARGA SATUAN'!$C$7:$C$1492,0),0)),"",OFFSET('HARGA SATUAN'!$E$6,MATCH(RAB!C391,'HARGA SATUAN'!$C$7:$C$1492,0),0)))</f>
        <v>Bh</v>
      </c>
      <c r="F391" s="489">
        <f>F390*1</f>
        <v>1</v>
      </c>
      <c r="G391" s="358">
        <f ca="1">IF(ISERROR(OFFSET('HARGA SATUAN'!$I$6,MATCH(RAB!C391,'HARGA SATUAN'!$C$7:$C$1492,0),0)),0,OFFSET('HARGA SATUAN'!$I$6,MATCH(RAB!C391,'HARGA SATUAN'!$C$7:$C$1492,0),0))</f>
        <v>77674900</v>
      </c>
      <c r="H391" s="359">
        <f t="shared" ca="1" si="44"/>
        <v>77674900</v>
      </c>
      <c r="I391" s="359">
        <f t="shared" ca="1" si="45"/>
        <v>0</v>
      </c>
      <c r="J391" s="359">
        <f t="shared" ca="1" si="46"/>
        <v>0</v>
      </c>
      <c r="K391" s="360">
        <f t="shared" ca="1" si="47"/>
        <v>77674900</v>
      </c>
      <c r="L391" s="367"/>
      <c r="M391" s="367"/>
      <c r="N391" s="367"/>
      <c r="O391" s="361"/>
      <c r="P391" s="361"/>
      <c r="Q391" s="344"/>
      <c r="R391" s="336"/>
      <c r="S391" s="362"/>
      <c r="T391" s="341"/>
      <c r="U391" s="341"/>
      <c r="V391" s="341"/>
    </row>
    <row r="392" spans="1:22" s="368" customFormat="1">
      <c r="A392" s="336"/>
      <c r="B392" s="700">
        <v>2</v>
      </c>
      <c r="C392" s="695" t="s">
        <v>1635</v>
      </c>
      <c r="D392" s="356" t="str">
        <f ca="1">IF(ISERROR(OFFSET('HARGA SATUAN'!$D$6,MATCH(RAB!C392,'HARGA SATUAN'!$C$7:$C$1492,0),0)),"",OFFSET('HARGA SATUAN'!$D$6,MATCH(RAB!C392,'HARGA SATUAN'!$C$7:$C$1492,0),0))</f>
        <v/>
      </c>
      <c r="E392" s="357" t="str">
        <f ca="1">IF(B392="+","Unit",IF(ISERROR(OFFSET('HARGA SATUAN'!$E$6,MATCH(RAB!C392,'HARGA SATUAN'!$C$7:$C$1492,0),0)),"",OFFSET('HARGA SATUAN'!$E$6,MATCH(RAB!C392,'HARGA SATUAN'!$C$7:$C$1492,0),0)))</f>
        <v/>
      </c>
      <c r="F392" s="741"/>
      <c r="G392" s="358">
        <f ca="1">IF(ISERROR(OFFSET('HARGA SATUAN'!$I$6,MATCH(RAB!C392,'HARGA SATUAN'!$C$7:$C$1492,0),0)),0,OFFSET('HARGA SATUAN'!$I$6,MATCH(RAB!C392,'HARGA SATUAN'!$C$7:$C$1492,0),0))</f>
        <v>0</v>
      </c>
      <c r="H392" s="359">
        <f t="shared" ca="1" si="44"/>
        <v>0</v>
      </c>
      <c r="I392" s="359">
        <f t="shared" ca="1" si="45"/>
        <v>0</v>
      </c>
      <c r="J392" s="359">
        <f t="shared" ca="1" si="46"/>
        <v>0</v>
      </c>
      <c r="K392" s="360">
        <f t="shared" ca="1" si="47"/>
        <v>0</v>
      </c>
      <c r="L392" s="367"/>
      <c r="M392" s="367"/>
      <c r="N392" s="367"/>
      <c r="O392" s="361"/>
      <c r="P392" s="361"/>
      <c r="Q392" s="344"/>
      <c r="R392" s="336"/>
      <c r="S392" s="362"/>
      <c r="T392" s="341"/>
      <c r="U392" s="341"/>
      <c r="V392" s="341"/>
    </row>
    <row r="393" spans="1:22" s="368" customFormat="1">
      <c r="A393" s="336"/>
      <c r="B393" s="692"/>
      <c r="C393" s="695" t="s">
        <v>65</v>
      </c>
      <c r="D393" s="356" t="str">
        <f ca="1">IF(ISERROR(OFFSET('HARGA SATUAN'!$D$6,MATCH(RAB!C393,'HARGA SATUAN'!$C$7:$C$1492,0),0)),"",OFFSET('HARGA SATUAN'!$D$6,MATCH(RAB!C393,'HARGA SATUAN'!$C$7:$C$1492,0),0))</f>
        <v>MDU-KD</v>
      </c>
      <c r="E393" s="357" t="str">
        <f ca="1">IF(B393="+","Unit",IF(ISERROR(OFFSET('HARGA SATUAN'!$E$6,MATCH(RAB!C393,'HARGA SATUAN'!$C$7:$C$1492,0),0)),"",OFFSET('HARGA SATUAN'!$E$6,MATCH(RAB!C393,'HARGA SATUAN'!$C$7:$C$1492,0),0)))</f>
        <v>Mtr</v>
      </c>
      <c r="F393" s="489">
        <f>F390*(3*3)</f>
        <v>9</v>
      </c>
      <c r="G393" s="358">
        <f ca="1">IF(ISERROR(OFFSET('HARGA SATUAN'!$I$6,MATCH(RAB!C393,'HARGA SATUAN'!$C$7:$C$1492,0),0)),0,OFFSET('HARGA SATUAN'!$I$6,MATCH(RAB!C393,'HARGA SATUAN'!$C$7:$C$1492,0),0))</f>
        <v>14200</v>
      </c>
      <c r="H393" s="359">
        <f t="shared" ca="1" si="44"/>
        <v>127800</v>
      </c>
      <c r="I393" s="359">
        <f t="shared" ca="1" si="45"/>
        <v>0</v>
      </c>
      <c r="J393" s="359">
        <f t="shared" ca="1" si="46"/>
        <v>0</v>
      </c>
      <c r="K393" s="360">
        <f t="shared" ca="1" si="47"/>
        <v>127800</v>
      </c>
      <c r="L393" s="367"/>
      <c r="M393" s="367"/>
      <c r="N393" s="367"/>
      <c r="O393" s="361"/>
      <c r="P393" s="361"/>
      <c r="Q393" s="344"/>
      <c r="R393" s="336"/>
      <c r="S393" s="362"/>
      <c r="T393" s="341"/>
      <c r="U393" s="341"/>
      <c r="V393" s="341"/>
    </row>
    <row r="394" spans="1:22" s="368" customFormat="1">
      <c r="A394" s="336"/>
      <c r="B394" s="692"/>
      <c r="C394" s="109" t="s">
        <v>1459</v>
      </c>
      <c r="D394" s="356" t="str">
        <f ca="1">IF(ISERROR(OFFSET('HARGA SATUAN'!$D$6,MATCH(RAB!C394,'HARGA SATUAN'!$C$7:$C$1492,0),0)),"",OFFSET('HARGA SATUAN'!$D$6,MATCH(RAB!C394,'HARGA SATUAN'!$C$7:$C$1492,0),0))</f>
        <v>MDU-KD</v>
      </c>
      <c r="E394" s="357" t="str">
        <f ca="1">IF(B394="+","Unit",IF(ISERROR(OFFSET('HARGA SATUAN'!$E$6,MATCH(RAB!C394,'HARGA SATUAN'!$C$7:$C$1492,0),0)),"",OFFSET('HARGA SATUAN'!$E$6,MATCH(RAB!C394,'HARGA SATUAN'!$C$7:$C$1492,0),0)))</f>
        <v>Mtr</v>
      </c>
      <c r="F394" s="489">
        <f>F390*3</f>
        <v>3</v>
      </c>
      <c r="G394" s="358">
        <f ca="1">IF(ISERROR(OFFSET('HARGA SATUAN'!$I$6,MATCH(RAB!C394,'HARGA SATUAN'!$C$7:$C$1492,0),0)),0,OFFSET('HARGA SATUAN'!$I$6,MATCH(RAB!C394,'HARGA SATUAN'!$C$7:$C$1492,0),0))</f>
        <v>54500</v>
      </c>
      <c r="H394" s="359">
        <f t="shared" ca="1" si="44"/>
        <v>163500</v>
      </c>
      <c r="I394" s="359">
        <f t="shared" ca="1" si="45"/>
        <v>0</v>
      </c>
      <c r="J394" s="359">
        <f t="shared" ca="1" si="46"/>
        <v>0</v>
      </c>
      <c r="K394" s="360">
        <f t="shared" ca="1" si="47"/>
        <v>163500</v>
      </c>
      <c r="L394" s="367"/>
      <c r="M394" s="367"/>
      <c r="N394" s="367"/>
      <c r="O394" s="361"/>
      <c r="P394" s="361"/>
      <c r="Q394" s="344"/>
      <c r="R394" s="336"/>
      <c r="S394" s="362"/>
      <c r="T394" s="341"/>
      <c r="U394" s="341"/>
      <c r="V394" s="341"/>
    </row>
    <row r="395" spans="1:22" s="368" customFormat="1">
      <c r="A395" s="336"/>
      <c r="B395" s="692">
        <v>3</v>
      </c>
      <c r="C395" s="109" t="s">
        <v>559</v>
      </c>
      <c r="D395" s="356" t="str">
        <f ca="1">IF(ISERROR(OFFSET('HARGA SATUAN'!$D$6,MATCH(RAB!C395,'HARGA SATUAN'!$C$7:$C$1492,0),0)),"",OFFSET('HARGA SATUAN'!$D$6,MATCH(RAB!C395,'HARGA SATUAN'!$C$7:$C$1492,0),0))</f>
        <v>MDU-KD</v>
      </c>
      <c r="E395" s="357" t="str">
        <f ca="1">IF(B395="+","Unit",IF(ISERROR(OFFSET('HARGA SATUAN'!$E$6,MATCH(RAB!C395,'HARGA SATUAN'!$C$7:$C$1492,0),0)),"",OFFSET('HARGA SATUAN'!$E$6,MATCH(RAB!C395,'HARGA SATUAN'!$C$7:$C$1492,0),0)))</f>
        <v>Bh</v>
      </c>
      <c r="F395" s="489">
        <f>F390*3</f>
        <v>3</v>
      </c>
      <c r="G395" s="358">
        <f ca="1">IF(ISERROR(OFFSET('HARGA SATUAN'!$I$6,MATCH(RAB!C395,'HARGA SATUAN'!$C$7:$C$1492,0),0)),0,OFFSET('HARGA SATUAN'!$I$6,MATCH(RAB!C395,'HARGA SATUAN'!$C$7:$C$1492,0),0))</f>
        <v>725900</v>
      </c>
      <c r="H395" s="359">
        <f t="shared" ca="1" si="44"/>
        <v>2177700</v>
      </c>
      <c r="I395" s="359">
        <f t="shared" ca="1" si="45"/>
        <v>0</v>
      </c>
      <c r="J395" s="359">
        <f t="shared" ca="1" si="46"/>
        <v>0</v>
      </c>
      <c r="K395" s="360">
        <f t="shared" ca="1" si="47"/>
        <v>2177700</v>
      </c>
      <c r="L395" s="367"/>
      <c r="M395" s="367"/>
      <c r="N395" s="367"/>
      <c r="O395" s="361"/>
      <c r="P395" s="361"/>
      <c r="Q395" s="344"/>
      <c r="R395" s="336"/>
      <c r="S395" s="362"/>
      <c r="T395" s="341"/>
      <c r="U395" s="341"/>
      <c r="V395" s="341"/>
    </row>
    <row r="396" spans="1:22" s="368" customFormat="1">
      <c r="A396" s="336"/>
      <c r="B396" s="692">
        <v>4</v>
      </c>
      <c r="C396" s="693" t="s">
        <v>535</v>
      </c>
      <c r="D396" s="356" t="str">
        <f ca="1">IF(ISERROR(OFFSET('HARGA SATUAN'!$D$6,MATCH(RAB!C396,'HARGA SATUAN'!$C$7:$C$1492,0),0)),"",OFFSET('HARGA SATUAN'!$D$6,MATCH(RAB!C396,'HARGA SATUAN'!$C$7:$C$1492,0),0))</f>
        <v>MDU-KD</v>
      </c>
      <c r="E396" s="357" t="str">
        <f ca="1">IF(B396="+","Unit",IF(ISERROR(OFFSET('HARGA SATUAN'!$E$6,MATCH(RAB!C396,'HARGA SATUAN'!$C$7:$C$1492,0),0)),"",OFFSET('HARGA SATUAN'!$E$6,MATCH(RAB!C396,'HARGA SATUAN'!$C$7:$C$1492,0),0)))</f>
        <v>Bh</v>
      </c>
      <c r="F396" s="489">
        <f>F390*3</f>
        <v>3</v>
      </c>
      <c r="G396" s="358">
        <f ca="1">IF(ISERROR(OFFSET('HARGA SATUAN'!$I$6,MATCH(RAB!C396,'HARGA SATUAN'!$C$7:$C$1492,0),0)),0,OFFSET('HARGA SATUAN'!$I$6,MATCH(RAB!C396,'HARGA SATUAN'!$C$7:$C$1492,0),0))</f>
        <v>848250</v>
      </c>
      <c r="H396" s="359">
        <f t="shared" ca="1" si="44"/>
        <v>2544750</v>
      </c>
      <c r="I396" s="359">
        <f t="shared" ca="1" si="45"/>
        <v>0</v>
      </c>
      <c r="J396" s="359">
        <f t="shared" ca="1" si="46"/>
        <v>0</v>
      </c>
      <c r="K396" s="360">
        <f t="shared" ca="1" si="47"/>
        <v>2544750</v>
      </c>
      <c r="L396" s="367"/>
      <c r="M396" s="367"/>
      <c r="N396" s="367"/>
      <c r="O396" s="361"/>
      <c r="P396" s="361"/>
      <c r="Q396" s="344"/>
      <c r="R396" s="336"/>
      <c r="S396" s="362"/>
      <c r="T396" s="341"/>
      <c r="U396" s="341"/>
      <c r="V396" s="341"/>
    </row>
    <row r="397" spans="1:22" s="368" customFormat="1">
      <c r="A397" s="336"/>
      <c r="B397" s="692">
        <v>5</v>
      </c>
      <c r="C397" s="693" t="s">
        <v>55</v>
      </c>
      <c r="D397" s="356" t="str">
        <f ca="1">IF(ISERROR(OFFSET('HARGA SATUAN'!$D$6,MATCH(RAB!C397,'HARGA SATUAN'!$C$7:$C$1492,0),0)),"",OFFSET('HARGA SATUAN'!$D$6,MATCH(RAB!C397,'HARGA SATUAN'!$C$7:$C$1492,0),0))</f>
        <v>HDW</v>
      </c>
      <c r="E397" s="357" t="str">
        <f ca="1">IF(B397="+","Unit",IF(ISERROR(OFFSET('HARGA SATUAN'!$E$6,MATCH(RAB!C397,'HARGA SATUAN'!$C$7:$C$1492,0),0)),"",OFFSET('HARGA SATUAN'!$E$6,MATCH(RAB!C397,'HARGA SATUAN'!$C$7:$C$1492,0),0)))</f>
        <v>Bh</v>
      </c>
      <c r="F397" s="489">
        <f>F390*3</f>
        <v>3</v>
      </c>
      <c r="G397" s="358">
        <f ca="1">IF(ISERROR(OFFSET('HARGA SATUAN'!$I$6,MATCH(RAB!C397,'HARGA SATUAN'!$C$7:$C$1492,0),0)),0,OFFSET('HARGA SATUAN'!$I$6,MATCH(RAB!C397,'HARGA SATUAN'!$C$7:$C$1492,0),0))</f>
        <v>18000</v>
      </c>
      <c r="H397" s="359">
        <f t="shared" ca="1" si="44"/>
        <v>0</v>
      </c>
      <c r="I397" s="359">
        <f t="shared" ca="1" si="45"/>
        <v>54000</v>
      </c>
      <c r="J397" s="359">
        <f t="shared" ca="1" si="46"/>
        <v>0</v>
      </c>
      <c r="K397" s="360">
        <f t="shared" ca="1" si="47"/>
        <v>54000</v>
      </c>
      <c r="L397" s="367"/>
      <c r="M397" s="367"/>
      <c r="N397" s="367"/>
      <c r="O397" s="361"/>
      <c r="P397" s="361"/>
      <c r="Q397" s="344"/>
      <c r="R397" s="336"/>
      <c r="S397" s="362"/>
      <c r="T397" s="341"/>
      <c r="U397" s="341"/>
      <c r="V397" s="341"/>
    </row>
    <row r="398" spans="1:22" s="368" customFormat="1">
      <c r="A398" s="336"/>
      <c r="B398" s="692">
        <v>6</v>
      </c>
      <c r="C398" s="109" t="s">
        <v>1569</v>
      </c>
      <c r="D398" s="356" t="str">
        <f ca="1">IF(ISERROR(OFFSET('HARGA SATUAN'!$D$6,MATCH(RAB!C398,'HARGA SATUAN'!$C$7:$C$1492,0),0)),"",OFFSET('HARGA SATUAN'!$D$6,MATCH(RAB!C398,'HARGA SATUAN'!$C$7:$C$1492,0),0))</f>
        <v>HDW</v>
      </c>
      <c r="E398" s="357" t="str">
        <f ca="1">IF(B398="+","Unit",IF(ISERROR(OFFSET('HARGA SATUAN'!$E$6,MATCH(RAB!C398,'HARGA SATUAN'!$C$7:$C$1492,0),0)),"",OFFSET('HARGA SATUAN'!$E$6,MATCH(RAB!C398,'HARGA SATUAN'!$C$7:$C$1492,0),0)))</f>
        <v>Bh</v>
      </c>
      <c r="F398" s="489">
        <f>F390*13</f>
        <v>13</v>
      </c>
      <c r="G398" s="358">
        <f ca="1">IF(ISERROR(OFFSET('HARGA SATUAN'!$I$6,MATCH(RAB!C398,'HARGA SATUAN'!$C$7:$C$1492,0),0)),0,OFFSET('HARGA SATUAN'!$I$6,MATCH(RAB!C398,'HARGA SATUAN'!$C$7:$C$1492,0),0))</f>
        <v>49000</v>
      </c>
      <c r="H398" s="359">
        <f t="shared" ca="1" si="44"/>
        <v>0</v>
      </c>
      <c r="I398" s="359">
        <f t="shared" ca="1" si="45"/>
        <v>637000</v>
      </c>
      <c r="J398" s="359">
        <f t="shared" ca="1" si="46"/>
        <v>0</v>
      </c>
      <c r="K398" s="360">
        <f t="shared" ca="1" si="47"/>
        <v>637000</v>
      </c>
      <c r="L398" s="367"/>
      <c r="M398" s="367"/>
      <c r="N398" s="367"/>
      <c r="O398" s="361"/>
      <c r="P398" s="361"/>
      <c r="Q398" s="344"/>
      <c r="R398" s="336"/>
      <c r="S398" s="362"/>
      <c r="T398" s="341"/>
      <c r="U398" s="341"/>
      <c r="V398" s="341"/>
    </row>
    <row r="399" spans="1:22" s="368" customFormat="1">
      <c r="A399" s="336"/>
      <c r="B399" s="692">
        <v>7</v>
      </c>
      <c r="C399" s="693" t="s">
        <v>163</v>
      </c>
      <c r="D399" s="356" t="str">
        <f ca="1">IF(ISERROR(OFFSET('HARGA SATUAN'!$D$6,MATCH(RAB!C399,'HARGA SATUAN'!$C$7:$C$1492,0),0)),"",OFFSET('HARGA SATUAN'!$D$6,MATCH(RAB!C399,'HARGA SATUAN'!$C$7:$C$1492,0),0))</f>
        <v>HDW</v>
      </c>
      <c r="E399" s="357" t="str">
        <f ca="1">IF(B399="+","Unit",IF(ISERROR(OFFSET('HARGA SATUAN'!$E$6,MATCH(RAB!C399,'HARGA SATUAN'!$C$7:$C$1492,0),0)),"",OFFSET('HARGA SATUAN'!$E$6,MATCH(RAB!C399,'HARGA SATUAN'!$C$7:$C$1492,0),0)))</f>
        <v>Bh</v>
      </c>
      <c r="F399" s="489">
        <f>F390*28</f>
        <v>28</v>
      </c>
      <c r="G399" s="358">
        <f ca="1">IF(ISERROR(OFFSET('HARGA SATUAN'!$I$6,MATCH(RAB!C399,'HARGA SATUAN'!$C$7:$C$1492,0),0)),0,OFFSET('HARGA SATUAN'!$I$6,MATCH(RAB!C399,'HARGA SATUAN'!$C$7:$C$1492,0),0))</f>
        <v>7938</v>
      </c>
      <c r="H399" s="359">
        <f t="shared" ca="1" si="44"/>
        <v>0</v>
      </c>
      <c r="I399" s="359">
        <f t="shared" ca="1" si="45"/>
        <v>222264</v>
      </c>
      <c r="J399" s="359">
        <f t="shared" ca="1" si="46"/>
        <v>0</v>
      </c>
      <c r="K399" s="360">
        <f t="shared" ca="1" si="47"/>
        <v>222264</v>
      </c>
      <c r="L399" s="367"/>
      <c r="M399" s="367"/>
      <c r="N399" s="367"/>
      <c r="O399" s="361"/>
      <c r="P399" s="361"/>
      <c r="Q399" s="344"/>
      <c r="R399" s="336"/>
      <c r="S399" s="362"/>
      <c r="T399" s="341"/>
      <c r="U399" s="341"/>
      <c r="V399" s="341"/>
    </row>
    <row r="400" spans="1:22" s="368" customFormat="1">
      <c r="A400" s="336"/>
      <c r="B400" s="692">
        <v>8</v>
      </c>
      <c r="C400" s="693" t="s">
        <v>176</v>
      </c>
      <c r="D400" s="356" t="str">
        <f ca="1">IF(ISERROR(OFFSET('HARGA SATUAN'!$D$6,MATCH(RAB!C400,'HARGA SATUAN'!$C$7:$C$1492,0),0)),"",OFFSET('HARGA SATUAN'!$D$6,MATCH(RAB!C400,'HARGA SATUAN'!$C$7:$C$1492,0),0))</f>
        <v>HDW</v>
      </c>
      <c r="E400" s="357" t="str">
        <f ca="1">IF(B400="+","Unit",IF(ISERROR(OFFSET('HARGA SATUAN'!$E$6,MATCH(RAB!C400,'HARGA SATUAN'!$C$7:$C$1492,0),0)),"",OFFSET('HARGA SATUAN'!$E$6,MATCH(RAB!C400,'HARGA SATUAN'!$C$7:$C$1492,0),0)))</f>
        <v>Bh</v>
      </c>
      <c r="F400" s="489">
        <f>F390*2</f>
        <v>2</v>
      </c>
      <c r="G400" s="358">
        <f ca="1">IF(ISERROR(OFFSET('HARGA SATUAN'!$I$6,MATCH(RAB!C400,'HARGA SATUAN'!$C$7:$C$1492,0),0)),0,OFFSET('HARGA SATUAN'!$I$6,MATCH(RAB!C400,'HARGA SATUAN'!$C$7:$C$1492,0),0))</f>
        <v>404600</v>
      </c>
      <c r="H400" s="359">
        <f t="shared" ca="1" si="44"/>
        <v>0</v>
      </c>
      <c r="I400" s="359">
        <f t="shared" ca="1" si="45"/>
        <v>809200</v>
      </c>
      <c r="J400" s="359">
        <f t="shared" ca="1" si="46"/>
        <v>0</v>
      </c>
      <c r="K400" s="360">
        <f t="shared" ca="1" si="47"/>
        <v>809200</v>
      </c>
      <c r="L400" s="367"/>
      <c r="M400" s="367"/>
      <c r="N400" s="367"/>
      <c r="O400" s="361"/>
      <c r="P400" s="361"/>
      <c r="Q400" s="344"/>
      <c r="R400" s="336"/>
      <c r="S400" s="362"/>
      <c r="T400" s="341"/>
      <c r="U400" s="341"/>
      <c r="V400" s="341"/>
    </row>
    <row r="401" spans="1:22" s="368" customFormat="1">
      <c r="A401" s="336"/>
      <c r="B401" s="692">
        <v>9</v>
      </c>
      <c r="C401" s="693" t="s">
        <v>184</v>
      </c>
      <c r="D401" s="356" t="str">
        <f ca="1">IF(ISERROR(OFFSET('HARGA SATUAN'!$D$6,MATCH(RAB!C401,'HARGA SATUAN'!$C$7:$C$1492,0),0)),"",OFFSET('HARGA SATUAN'!$D$6,MATCH(RAB!C401,'HARGA SATUAN'!$C$7:$C$1492,0),0))</f>
        <v>HDW</v>
      </c>
      <c r="E401" s="357" t="str">
        <f ca="1">IF(B401="+","Unit",IF(ISERROR(OFFSET('HARGA SATUAN'!$E$6,MATCH(RAB!C401,'HARGA SATUAN'!$C$7:$C$1492,0),0)),"",OFFSET('HARGA SATUAN'!$E$6,MATCH(RAB!C401,'HARGA SATUAN'!$C$7:$C$1492,0),0)))</f>
        <v>Bh</v>
      </c>
      <c r="F401" s="489">
        <f>F390*3</f>
        <v>3</v>
      </c>
      <c r="G401" s="358">
        <f ca="1">IF(ISERROR(OFFSET('HARGA SATUAN'!$I$6,MATCH(RAB!C401,'HARGA SATUAN'!$C$7:$C$1492,0),0)),0,OFFSET('HARGA SATUAN'!$I$6,MATCH(RAB!C401,'HARGA SATUAN'!$C$7:$C$1492,0),0))</f>
        <v>15900</v>
      </c>
      <c r="H401" s="359">
        <f t="shared" ca="1" si="44"/>
        <v>0</v>
      </c>
      <c r="I401" s="359">
        <f t="shared" ca="1" si="45"/>
        <v>47700</v>
      </c>
      <c r="J401" s="359">
        <f t="shared" ca="1" si="46"/>
        <v>0</v>
      </c>
      <c r="K401" s="360">
        <f t="shared" ca="1" si="47"/>
        <v>47700</v>
      </c>
      <c r="L401" s="367"/>
      <c r="M401" s="367"/>
      <c r="N401" s="367"/>
      <c r="O401" s="361"/>
      <c r="P401" s="361"/>
      <c r="Q401" s="344"/>
      <c r="R401" s="336"/>
      <c r="S401" s="362"/>
      <c r="T401" s="341"/>
      <c r="U401" s="341"/>
      <c r="V401" s="341"/>
    </row>
    <row r="402" spans="1:22" s="368" customFormat="1">
      <c r="A402" s="336"/>
      <c r="B402" s="692">
        <v>10</v>
      </c>
      <c r="C402" s="693" t="s">
        <v>593</v>
      </c>
      <c r="D402" s="356" t="str">
        <f ca="1">IF(ISERROR(OFFSET('HARGA SATUAN'!$D$6,MATCH(RAB!C402,'HARGA SATUAN'!$C$7:$C$1492,0),0)),"",OFFSET('HARGA SATUAN'!$D$6,MATCH(RAB!C402,'HARGA SATUAN'!$C$7:$C$1492,0),0))</f>
        <v>HDW</v>
      </c>
      <c r="E402" s="357" t="str">
        <f ca="1">IF(B402="+","Unit",IF(ISERROR(OFFSET('HARGA SATUAN'!$E$6,MATCH(RAB!C402,'HARGA SATUAN'!$C$7:$C$1492,0),0)),"",OFFSET('HARGA SATUAN'!$E$6,MATCH(RAB!C402,'HARGA SATUAN'!$C$7:$C$1492,0),0)))</f>
        <v>Bh</v>
      </c>
      <c r="F402" s="489">
        <f>F390*5</f>
        <v>5</v>
      </c>
      <c r="G402" s="358">
        <f ca="1">IF(ISERROR(OFFSET('HARGA SATUAN'!$I$6,MATCH(RAB!C402,'HARGA SATUAN'!$C$7:$C$1492,0),0)),0,OFFSET('HARGA SATUAN'!$I$6,MATCH(RAB!C402,'HARGA SATUAN'!$C$7:$C$1492,0),0))</f>
        <v>380500</v>
      </c>
      <c r="H402" s="359">
        <f t="shared" ca="1" si="44"/>
        <v>0</v>
      </c>
      <c r="I402" s="359">
        <f t="shared" ca="1" si="45"/>
        <v>1902500</v>
      </c>
      <c r="J402" s="359">
        <f t="shared" ca="1" si="46"/>
        <v>0</v>
      </c>
      <c r="K402" s="360">
        <f t="shared" ca="1" si="47"/>
        <v>1902500</v>
      </c>
      <c r="L402" s="367"/>
      <c r="M402" s="367"/>
      <c r="N402" s="367"/>
      <c r="O402" s="361"/>
      <c r="P402" s="361"/>
      <c r="Q402" s="344"/>
      <c r="R402" s="336"/>
      <c r="S402" s="362"/>
      <c r="T402" s="341"/>
      <c r="U402" s="341"/>
      <c r="V402" s="341"/>
    </row>
    <row r="403" spans="1:22" s="368" customFormat="1">
      <c r="A403" s="336"/>
      <c r="B403" s="692">
        <v>11</v>
      </c>
      <c r="C403" s="693" t="s">
        <v>594</v>
      </c>
      <c r="D403" s="356" t="str">
        <f ca="1">IF(ISERROR(OFFSET('HARGA SATUAN'!$D$6,MATCH(RAB!C403,'HARGA SATUAN'!$C$7:$C$1492,0),0)),"",OFFSET('HARGA SATUAN'!$D$6,MATCH(RAB!C403,'HARGA SATUAN'!$C$7:$C$1492,0),0))</f>
        <v>HDW</v>
      </c>
      <c r="E403" s="357" t="str">
        <f ca="1">IF(B403="+","Unit",IF(ISERROR(OFFSET('HARGA SATUAN'!$E$6,MATCH(RAB!C403,'HARGA SATUAN'!$C$7:$C$1492,0),0)),"",OFFSET('HARGA SATUAN'!$E$6,MATCH(RAB!C403,'HARGA SATUAN'!$C$7:$C$1492,0),0)))</f>
        <v>Bh</v>
      </c>
      <c r="F403" s="489">
        <f>F390*4</f>
        <v>4</v>
      </c>
      <c r="G403" s="358">
        <f ca="1">IF(ISERROR(OFFSET('HARGA SATUAN'!$I$6,MATCH(RAB!C403,'HARGA SATUAN'!$C$7:$C$1492,0),0)),0,OFFSET('HARGA SATUAN'!$I$6,MATCH(RAB!C403,'HARGA SATUAN'!$C$7:$C$1492,0),0))</f>
        <v>559200</v>
      </c>
      <c r="H403" s="359">
        <f t="shared" ca="1" si="44"/>
        <v>0</v>
      </c>
      <c r="I403" s="359">
        <f t="shared" ca="1" si="45"/>
        <v>2236800</v>
      </c>
      <c r="J403" s="359">
        <f t="shared" ca="1" si="46"/>
        <v>0</v>
      </c>
      <c r="K403" s="360">
        <f t="shared" ca="1" si="47"/>
        <v>2236800</v>
      </c>
      <c r="L403" s="367"/>
      <c r="M403" s="367"/>
      <c r="N403" s="367"/>
      <c r="O403" s="361"/>
      <c r="P403" s="361"/>
      <c r="Q403" s="344"/>
      <c r="R403" s="336"/>
      <c r="S403" s="362"/>
      <c r="T403" s="341"/>
      <c r="U403" s="341"/>
      <c r="V403" s="341"/>
    </row>
    <row r="404" spans="1:22" s="368" customFormat="1">
      <c r="A404" s="336"/>
      <c r="B404" s="692">
        <v>12</v>
      </c>
      <c r="C404" s="693" t="s">
        <v>208</v>
      </c>
      <c r="D404" s="356" t="str">
        <f ca="1">IF(ISERROR(OFFSET('HARGA SATUAN'!$D$6,MATCH(RAB!C404,'HARGA SATUAN'!$C$7:$C$1492,0),0)),"",OFFSET('HARGA SATUAN'!$D$6,MATCH(RAB!C404,'HARGA SATUAN'!$C$7:$C$1492,0),0))</f>
        <v>HDW</v>
      </c>
      <c r="E404" s="357" t="str">
        <f ca="1">IF(B404="+","Unit",IF(ISERROR(OFFSET('HARGA SATUAN'!$E$6,MATCH(RAB!C404,'HARGA SATUAN'!$C$7:$C$1492,0),0)),"",OFFSET('HARGA SATUAN'!$E$6,MATCH(RAB!C404,'HARGA SATUAN'!$C$7:$C$1492,0),0)))</f>
        <v>Bh</v>
      </c>
      <c r="F404" s="489">
        <f>F390*3</f>
        <v>3</v>
      </c>
      <c r="G404" s="358">
        <f ca="1">IF(ISERROR(OFFSET('HARGA SATUAN'!$I$6,MATCH(RAB!C404,'HARGA SATUAN'!$C$7:$C$1492,0),0)),0,OFFSET('HARGA SATUAN'!$I$6,MATCH(RAB!C404,'HARGA SATUAN'!$C$7:$C$1492,0),0))</f>
        <v>173400</v>
      </c>
      <c r="H404" s="359">
        <f t="shared" ca="1" si="44"/>
        <v>0</v>
      </c>
      <c r="I404" s="359">
        <f t="shared" ca="1" si="45"/>
        <v>520200</v>
      </c>
      <c r="J404" s="359">
        <f t="shared" ca="1" si="46"/>
        <v>0</v>
      </c>
      <c r="K404" s="360">
        <f t="shared" ca="1" si="47"/>
        <v>520200</v>
      </c>
      <c r="L404" s="367"/>
      <c r="M404" s="367"/>
      <c r="N404" s="367"/>
      <c r="O404" s="361"/>
      <c r="P404" s="361"/>
      <c r="Q404" s="344"/>
      <c r="R404" s="336"/>
      <c r="S404" s="362"/>
      <c r="T404" s="341"/>
      <c r="U404" s="341"/>
      <c r="V404" s="341"/>
    </row>
    <row r="405" spans="1:22" s="368" customFormat="1">
      <c r="A405" s="336"/>
      <c r="B405" s="692">
        <v>13</v>
      </c>
      <c r="C405" s="693" t="s">
        <v>247</v>
      </c>
      <c r="D405" s="356" t="str">
        <f ca="1">IF(ISERROR(OFFSET('HARGA SATUAN'!$D$6,MATCH(RAB!C405,'HARGA SATUAN'!$C$7:$C$1492,0),0)),"",OFFSET('HARGA SATUAN'!$D$6,MATCH(RAB!C405,'HARGA SATUAN'!$C$7:$C$1492,0),0))</f>
        <v>HDW</v>
      </c>
      <c r="E405" s="357" t="str">
        <f ca="1">IF(B405="+","Unit",IF(ISERROR(OFFSET('HARGA SATUAN'!$E$6,MATCH(RAB!C405,'HARGA SATUAN'!$C$7:$C$1492,0),0)),"",OFFSET('HARGA SATUAN'!$E$6,MATCH(RAB!C405,'HARGA SATUAN'!$C$7:$C$1492,0),0)))</f>
        <v>Bh</v>
      </c>
      <c r="F405" s="489">
        <f>F390*2</f>
        <v>2</v>
      </c>
      <c r="G405" s="358">
        <f ca="1">IF(ISERROR(OFFSET('HARGA SATUAN'!$I$6,MATCH(RAB!C405,'HARGA SATUAN'!$C$7:$C$1492,0),0)),0,OFFSET('HARGA SATUAN'!$I$6,MATCH(RAB!C405,'HARGA SATUAN'!$C$7:$C$1492,0),0))</f>
        <v>57690</v>
      </c>
      <c r="H405" s="359">
        <f t="shared" ca="1" si="44"/>
        <v>0</v>
      </c>
      <c r="I405" s="359">
        <f t="shared" ca="1" si="45"/>
        <v>115380</v>
      </c>
      <c r="J405" s="359">
        <f t="shared" ca="1" si="46"/>
        <v>0</v>
      </c>
      <c r="K405" s="360">
        <f t="shared" ca="1" si="47"/>
        <v>115380</v>
      </c>
      <c r="L405" s="367"/>
      <c r="M405" s="367"/>
      <c r="N405" s="367"/>
      <c r="O405" s="361"/>
      <c r="P405" s="361"/>
      <c r="Q405" s="344"/>
      <c r="R405" s="336"/>
      <c r="S405" s="362"/>
      <c r="T405" s="341"/>
      <c r="U405" s="341"/>
      <c r="V405" s="341"/>
    </row>
    <row r="406" spans="1:22" s="368" customFormat="1">
      <c r="A406" s="336"/>
      <c r="B406" s="692">
        <v>14</v>
      </c>
      <c r="C406" s="693" t="s">
        <v>248</v>
      </c>
      <c r="D406" s="356" t="str">
        <f ca="1">IF(ISERROR(OFFSET('HARGA SATUAN'!$D$6,MATCH(RAB!C406,'HARGA SATUAN'!$C$7:$C$1492,0),0)),"",OFFSET('HARGA SATUAN'!$D$6,MATCH(RAB!C406,'HARGA SATUAN'!$C$7:$C$1492,0),0))</f>
        <v>HDW</v>
      </c>
      <c r="E406" s="357" t="str">
        <f ca="1">IF(B406="+","Unit",IF(ISERROR(OFFSET('HARGA SATUAN'!$E$6,MATCH(RAB!C406,'HARGA SATUAN'!$C$7:$C$1492,0),0)),"",OFFSET('HARGA SATUAN'!$E$6,MATCH(RAB!C406,'HARGA SATUAN'!$C$7:$C$1492,0),0)))</f>
        <v>Bh</v>
      </c>
      <c r="F406" s="489">
        <f>F390*2</f>
        <v>2</v>
      </c>
      <c r="G406" s="358">
        <f ca="1">IF(ISERROR(OFFSET('HARGA SATUAN'!$I$6,MATCH(RAB!C406,'HARGA SATUAN'!$C$7:$C$1492,0),0)),0,OFFSET('HARGA SATUAN'!$I$6,MATCH(RAB!C406,'HARGA SATUAN'!$C$7:$C$1492,0),0))</f>
        <v>60300</v>
      </c>
      <c r="H406" s="359">
        <f t="shared" ca="1" si="44"/>
        <v>0</v>
      </c>
      <c r="I406" s="359">
        <f t="shared" ca="1" si="45"/>
        <v>120600</v>
      </c>
      <c r="J406" s="359">
        <f t="shared" ca="1" si="46"/>
        <v>0</v>
      </c>
      <c r="K406" s="360">
        <f t="shared" ca="1" si="47"/>
        <v>120600</v>
      </c>
      <c r="L406" s="367"/>
      <c r="M406" s="367"/>
      <c r="N406" s="367"/>
      <c r="O406" s="361"/>
      <c r="P406" s="361"/>
      <c r="Q406" s="344"/>
      <c r="R406" s="336"/>
      <c r="S406" s="362"/>
      <c r="T406" s="341"/>
      <c r="U406" s="341"/>
      <c r="V406" s="341"/>
    </row>
    <row r="407" spans="1:22" s="368" customFormat="1">
      <c r="A407" s="336"/>
      <c r="B407" s="692">
        <v>15</v>
      </c>
      <c r="C407" s="693" t="s">
        <v>267</v>
      </c>
      <c r="D407" s="356" t="str">
        <f ca="1">IF(ISERROR(OFFSET('HARGA SATUAN'!$D$6,MATCH(RAB!C407,'HARGA SATUAN'!$C$7:$C$1492,0),0)),"",OFFSET('HARGA SATUAN'!$D$6,MATCH(RAB!C407,'HARGA SATUAN'!$C$7:$C$1492,0),0))</f>
        <v>HDW</v>
      </c>
      <c r="E407" s="357" t="str">
        <f ca="1">IF(B407="+","Unit",IF(ISERROR(OFFSET('HARGA SATUAN'!$E$6,MATCH(RAB!C407,'HARGA SATUAN'!$C$7:$C$1492,0),0)),"",OFFSET('HARGA SATUAN'!$E$6,MATCH(RAB!C407,'HARGA SATUAN'!$C$7:$C$1492,0),0)))</f>
        <v>Bh</v>
      </c>
      <c r="F407" s="489">
        <f>F390*4</f>
        <v>4</v>
      </c>
      <c r="G407" s="358">
        <f ca="1">IF(ISERROR(OFFSET('HARGA SATUAN'!$I$6,MATCH(RAB!C407,'HARGA SATUAN'!$C$7:$C$1492,0),0)),0,OFFSET('HARGA SATUAN'!$I$6,MATCH(RAB!C407,'HARGA SATUAN'!$C$7:$C$1492,0),0))</f>
        <v>129000</v>
      </c>
      <c r="H407" s="359">
        <f t="shared" ca="1" si="44"/>
        <v>0</v>
      </c>
      <c r="I407" s="359">
        <f t="shared" ca="1" si="45"/>
        <v>516000</v>
      </c>
      <c r="J407" s="359">
        <f t="shared" ca="1" si="46"/>
        <v>0</v>
      </c>
      <c r="K407" s="360">
        <f t="shared" ca="1" si="47"/>
        <v>516000</v>
      </c>
      <c r="L407" s="367"/>
      <c r="M407" s="367"/>
      <c r="N407" s="367"/>
      <c r="O407" s="361"/>
      <c r="P407" s="361"/>
      <c r="Q407" s="344"/>
      <c r="R407" s="336"/>
      <c r="S407" s="362"/>
      <c r="T407" s="341"/>
      <c r="U407" s="341"/>
      <c r="V407" s="341"/>
    </row>
    <row r="408" spans="1:22" s="368" customFormat="1">
      <c r="A408" s="336"/>
      <c r="B408" s="692">
        <v>16</v>
      </c>
      <c r="C408" s="693" t="s">
        <v>787</v>
      </c>
      <c r="D408" s="356" t="str">
        <f ca="1">IF(ISERROR(OFFSET('HARGA SATUAN'!$D$6,MATCH(RAB!C408,'HARGA SATUAN'!$C$7:$C$1492,0),0)),"",OFFSET('HARGA SATUAN'!$D$6,MATCH(RAB!C408,'HARGA SATUAN'!$C$7:$C$1492,0),0))</f>
        <v>JASA</v>
      </c>
      <c r="E408" s="357" t="str">
        <f ca="1">IF(B408="+","Unit",IF(ISERROR(OFFSET('HARGA SATUAN'!$E$6,MATCH(RAB!C408,'HARGA SATUAN'!$C$7:$C$1492,0),0)),"",OFFSET('HARGA SATUAN'!$E$6,MATCH(RAB!C408,'HARGA SATUAN'!$C$7:$C$1492,0),0)))</f>
        <v>Unit</v>
      </c>
      <c r="F408" s="489">
        <f>F390*1</f>
        <v>1</v>
      </c>
      <c r="G408" s="358">
        <f ca="1">IF(ISERROR(OFFSET('HARGA SATUAN'!$I$6,MATCH(RAB!C408,'HARGA SATUAN'!$C$7:$C$1492,0),0)),0,OFFSET('HARGA SATUAN'!$I$6,MATCH(RAB!C408,'HARGA SATUAN'!$C$7:$C$1492,0),0))</f>
        <v>3784400</v>
      </c>
      <c r="H408" s="359">
        <f t="shared" ca="1" si="44"/>
        <v>0</v>
      </c>
      <c r="I408" s="359">
        <f t="shared" ca="1" si="45"/>
        <v>0</v>
      </c>
      <c r="J408" s="359">
        <f t="shared" ca="1" si="46"/>
        <v>3784400</v>
      </c>
      <c r="K408" s="360">
        <f t="shared" ca="1" si="47"/>
        <v>3784400</v>
      </c>
      <c r="L408" s="367"/>
      <c r="M408" s="367"/>
      <c r="N408" s="367"/>
      <c r="O408" s="361"/>
      <c r="P408" s="361"/>
      <c r="Q408" s="344"/>
      <c r="R408" s="336"/>
      <c r="S408" s="362"/>
      <c r="T408" s="341"/>
      <c r="U408" s="341"/>
      <c r="V408" s="341"/>
    </row>
    <row r="409" spans="1:22" s="368" customFormat="1">
      <c r="A409" s="336"/>
      <c r="B409" s="692"/>
      <c r="C409" s="693"/>
      <c r="D409" s="356" t="str">
        <f ca="1">IF(ISERROR(OFFSET('HARGA SATUAN'!$D$6,MATCH(RAB!C409,'HARGA SATUAN'!$C$7:$C$1492,0),0)),"",OFFSET('HARGA SATUAN'!$D$6,MATCH(RAB!C409,'HARGA SATUAN'!$C$7:$C$1492,0),0))</f>
        <v/>
      </c>
      <c r="E409" s="357" t="str">
        <f ca="1">IF(B409="+","Unit",IF(ISERROR(OFFSET('HARGA SATUAN'!$E$6,MATCH(RAB!C409,'HARGA SATUAN'!$C$7:$C$1492,0),0)),"",OFFSET('HARGA SATUAN'!$E$6,MATCH(RAB!C409,'HARGA SATUAN'!$C$7:$C$1492,0),0)))</f>
        <v/>
      </c>
      <c r="F409" s="720"/>
      <c r="G409" s="358">
        <f ca="1">IF(ISERROR(OFFSET('HARGA SATUAN'!$I$6,MATCH(RAB!C409,'HARGA SATUAN'!$C$7:$C$1492,0),0)),0,OFFSET('HARGA SATUAN'!$I$6,MATCH(RAB!C409,'HARGA SATUAN'!$C$7:$C$1492,0),0))</f>
        <v>0</v>
      </c>
      <c r="H409" s="359">
        <f t="shared" ca="1" si="44"/>
        <v>0</v>
      </c>
      <c r="I409" s="359">
        <f t="shared" ca="1" si="45"/>
        <v>0</v>
      </c>
      <c r="J409" s="359">
        <f t="shared" ca="1" si="46"/>
        <v>0</v>
      </c>
      <c r="K409" s="360">
        <f t="shared" ca="1" si="47"/>
        <v>0</v>
      </c>
      <c r="L409" s="367"/>
      <c r="M409" s="367"/>
      <c r="N409" s="367"/>
      <c r="O409" s="361"/>
      <c r="P409" s="361"/>
      <c r="Q409" s="344"/>
      <c r="R409" s="336"/>
      <c r="S409" s="362"/>
      <c r="T409" s="341"/>
      <c r="U409" s="341"/>
      <c r="V409" s="341"/>
    </row>
    <row r="410" spans="1:22" s="368" customFormat="1">
      <c r="A410" s="336"/>
      <c r="B410" s="700" t="s">
        <v>1035</v>
      </c>
      <c r="C410" s="707" t="s">
        <v>1637</v>
      </c>
      <c r="D410" s="356" t="str">
        <f ca="1">IF(ISERROR(OFFSET('HARGA SATUAN'!$D$6,MATCH(RAB!C410,'HARGA SATUAN'!$C$7:$C$1492,0),0)),"",OFFSET('HARGA SATUAN'!$D$6,MATCH(RAB!C410,'HARGA SATUAN'!$C$7:$C$1492,0),0))</f>
        <v/>
      </c>
      <c r="E410" s="357" t="str">
        <f ca="1">IF(B410="+","Unit",IF(ISERROR(OFFSET('HARGA SATUAN'!$E$6,MATCH(RAB!C410,'HARGA SATUAN'!$C$7:$C$1492,0),0)),"",OFFSET('HARGA SATUAN'!$E$6,MATCH(RAB!C410,'HARGA SATUAN'!$C$7:$C$1492,0),0)))</f>
        <v>Unit</v>
      </c>
      <c r="F410" s="489">
        <v>2</v>
      </c>
      <c r="G410" s="358">
        <f ca="1">IF(ISERROR(OFFSET('HARGA SATUAN'!$I$6,MATCH(RAB!C410,'HARGA SATUAN'!$C$7:$C$1492,0),0)),0,OFFSET('HARGA SATUAN'!$I$6,MATCH(RAB!C410,'HARGA SATUAN'!$C$7:$C$1492,0),0))</f>
        <v>0</v>
      </c>
      <c r="H410" s="359">
        <f t="shared" ca="1" si="44"/>
        <v>0</v>
      </c>
      <c r="I410" s="359">
        <f t="shared" ca="1" si="45"/>
        <v>0</v>
      </c>
      <c r="J410" s="359">
        <f t="shared" ca="1" si="46"/>
        <v>0</v>
      </c>
      <c r="K410" s="360">
        <f t="shared" ca="1" si="47"/>
        <v>0</v>
      </c>
      <c r="L410" s="367"/>
      <c r="M410" s="367"/>
      <c r="N410" s="367"/>
      <c r="O410" s="361"/>
      <c r="P410" s="361"/>
      <c r="Q410" s="344"/>
      <c r="R410" s="336"/>
      <c r="S410" s="362"/>
      <c r="T410" s="341"/>
      <c r="U410" s="341"/>
      <c r="V410" s="341"/>
    </row>
    <row r="411" spans="1:22" s="368" customFormat="1">
      <c r="A411" s="336"/>
      <c r="B411" s="700">
        <v>1</v>
      </c>
      <c r="C411" s="702" t="s">
        <v>29</v>
      </c>
      <c r="D411" s="356" t="str">
        <f ca="1">IF(ISERROR(OFFSET('HARGA SATUAN'!$D$6,MATCH(RAB!C411,'HARGA SATUAN'!$C$7:$C$1492,0),0)),"",OFFSET('HARGA SATUAN'!$D$6,MATCH(RAB!C411,'HARGA SATUAN'!$C$7:$C$1492,0),0))</f>
        <v>HDW</v>
      </c>
      <c r="E411" s="357" t="str">
        <f ca="1">IF(B411="+","Unit",IF(ISERROR(OFFSET('HARGA SATUAN'!$E$6,MATCH(RAB!C411,'HARGA SATUAN'!$C$7:$C$1492,0),0)),"",OFFSET('HARGA SATUAN'!$E$6,MATCH(RAB!C411,'HARGA SATUAN'!$C$7:$C$1492,0),0)))</f>
        <v>Bh</v>
      </c>
      <c r="F411" s="489">
        <f>F410*1</f>
        <v>2</v>
      </c>
      <c r="G411" s="358">
        <f ca="1">IF(ISERROR(OFFSET('HARGA SATUAN'!$I$6,MATCH(RAB!C411,'HARGA SATUAN'!$C$7:$C$1492,0),0)),0,OFFSET('HARGA SATUAN'!$I$6,MATCH(RAB!C411,'HARGA SATUAN'!$C$7:$C$1492,0),0))</f>
        <v>185200</v>
      </c>
      <c r="H411" s="359">
        <f t="shared" ca="1" si="44"/>
        <v>0</v>
      </c>
      <c r="I411" s="359">
        <f t="shared" ca="1" si="45"/>
        <v>370400</v>
      </c>
      <c r="J411" s="359">
        <f t="shared" ca="1" si="46"/>
        <v>0</v>
      </c>
      <c r="K411" s="360">
        <f t="shared" ca="1" si="47"/>
        <v>370400</v>
      </c>
      <c r="L411" s="367"/>
      <c r="M411" s="367"/>
      <c r="N411" s="367"/>
      <c r="O411" s="361"/>
      <c r="P411" s="361"/>
      <c r="Q411" s="344"/>
      <c r="R411" s="336"/>
      <c r="S411" s="362"/>
      <c r="T411" s="341"/>
      <c r="U411" s="341"/>
      <c r="V411" s="341"/>
    </row>
    <row r="412" spans="1:22" s="368" customFormat="1">
      <c r="A412" s="336"/>
      <c r="B412" s="692">
        <v>2</v>
      </c>
      <c r="C412" s="693" t="s">
        <v>30</v>
      </c>
      <c r="D412" s="356" t="str">
        <f ca="1">IF(ISERROR(OFFSET('HARGA SATUAN'!$D$6,MATCH(RAB!C412,'HARGA SATUAN'!$C$7:$C$1492,0),0)),"",OFFSET('HARGA SATUAN'!$D$6,MATCH(RAB!C412,'HARGA SATUAN'!$C$7:$C$1492,0),0))</f>
        <v>HDW</v>
      </c>
      <c r="E412" s="357" t="str">
        <f ca="1">IF(B412="+","Unit",IF(ISERROR(OFFSET('HARGA SATUAN'!$E$6,MATCH(RAB!C412,'HARGA SATUAN'!$C$7:$C$1492,0),0)),"",OFFSET('HARGA SATUAN'!$E$6,MATCH(RAB!C412,'HARGA SATUAN'!$C$7:$C$1492,0),0)))</f>
        <v>Bh</v>
      </c>
      <c r="F412" s="489">
        <f>F410*1</f>
        <v>2</v>
      </c>
      <c r="G412" s="358">
        <f ca="1">IF(ISERROR(OFFSET('HARGA SATUAN'!$I$6,MATCH(RAB!C412,'HARGA SATUAN'!$C$7:$C$1492,0),0)),0,OFFSET('HARGA SATUAN'!$I$6,MATCH(RAB!C412,'HARGA SATUAN'!$C$7:$C$1492,0),0))</f>
        <v>47459</v>
      </c>
      <c r="H412" s="359">
        <f t="shared" ca="1" si="44"/>
        <v>0</v>
      </c>
      <c r="I412" s="359">
        <f t="shared" ca="1" si="45"/>
        <v>94918</v>
      </c>
      <c r="J412" s="359">
        <f t="shared" ca="1" si="46"/>
        <v>0</v>
      </c>
      <c r="K412" s="360">
        <f t="shared" ca="1" si="47"/>
        <v>94918</v>
      </c>
      <c r="L412" s="367"/>
      <c r="M412" s="367"/>
      <c r="N412" s="367"/>
      <c r="O412" s="361"/>
      <c r="P412" s="361"/>
      <c r="Q412" s="344"/>
      <c r="R412" s="336"/>
      <c r="S412" s="362"/>
      <c r="T412" s="341"/>
      <c r="U412" s="341"/>
      <c r="V412" s="341"/>
    </row>
    <row r="413" spans="1:22" s="368" customFormat="1">
      <c r="A413" s="336"/>
      <c r="B413" s="692">
        <v>3</v>
      </c>
      <c r="C413" s="693" t="s">
        <v>31</v>
      </c>
      <c r="D413" s="356" t="str">
        <f ca="1">IF(ISERROR(OFFSET('HARGA SATUAN'!$D$6,MATCH(RAB!C413,'HARGA SATUAN'!$C$7:$C$1492,0),0)),"",OFFSET('HARGA SATUAN'!$D$6,MATCH(RAB!C413,'HARGA SATUAN'!$C$7:$C$1492,0),0))</f>
        <v>HDW</v>
      </c>
      <c r="E413" s="357" t="str">
        <f ca="1">IF(B413="+","Unit",IF(ISERROR(OFFSET('HARGA SATUAN'!$E$6,MATCH(RAB!C413,'HARGA SATUAN'!$C$7:$C$1492,0),0)),"",OFFSET('HARGA SATUAN'!$E$6,MATCH(RAB!C413,'HARGA SATUAN'!$C$7:$C$1492,0),0)))</f>
        <v>Bh</v>
      </c>
      <c r="F413" s="489">
        <f>F410*1</f>
        <v>2</v>
      </c>
      <c r="G413" s="358">
        <f ca="1">IF(ISERROR(OFFSET('HARGA SATUAN'!$I$6,MATCH(RAB!C413,'HARGA SATUAN'!$C$7:$C$1492,0),0)),0,OFFSET('HARGA SATUAN'!$I$6,MATCH(RAB!C413,'HARGA SATUAN'!$C$7:$C$1492,0),0))</f>
        <v>4880</v>
      </c>
      <c r="H413" s="359">
        <f t="shared" ca="1" si="44"/>
        <v>0</v>
      </c>
      <c r="I413" s="359">
        <f t="shared" ca="1" si="45"/>
        <v>9760</v>
      </c>
      <c r="J413" s="359">
        <f t="shared" ca="1" si="46"/>
        <v>0</v>
      </c>
      <c r="K413" s="360">
        <f t="shared" ca="1" si="47"/>
        <v>9760</v>
      </c>
      <c r="L413" s="367"/>
      <c r="M413" s="367"/>
      <c r="N413" s="367"/>
      <c r="O413" s="361"/>
      <c r="P413" s="361"/>
      <c r="Q413" s="344"/>
      <c r="R413" s="336"/>
      <c r="S413" s="362"/>
      <c r="T413" s="341"/>
      <c r="U413" s="341"/>
      <c r="V413" s="341"/>
    </row>
    <row r="414" spans="1:22" s="368" customFormat="1">
      <c r="A414" s="336"/>
      <c r="B414" s="692">
        <v>4</v>
      </c>
      <c r="C414" s="693" t="s">
        <v>32</v>
      </c>
      <c r="D414" s="356" t="str">
        <f ca="1">IF(ISERROR(OFFSET('HARGA SATUAN'!$D$6,MATCH(RAB!C414,'HARGA SATUAN'!$C$7:$C$1492,0),0)),"",OFFSET('HARGA SATUAN'!$D$6,MATCH(RAB!C414,'HARGA SATUAN'!$C$7:$C$1492,0),0))</f>
        <v>HDW</v>
      </c>
      <c r="E414" s="357" t="str">
        <f ca="1">IF(B414="+","Unit",IF(ISERROR(OFFSET('HARGA SATUAN'!$E$6,MATCH(RAB!C414,'HARGA SATUAN'!$C$7:$C$1492,0),0)),"",OFFSET('HARGA SATUAN'!$E$6,MATCH(RAB!C414,'HARGA SATUAN'!$C$7:$C$1492,0),0)))</f>
        <v>Mtr</v>
      </c>
      <c r="F414" s="489">
        <f>F410*10</f>
        <v>20</v>
      </c>
      <c r="G414" s="358">
        <f ca="1">IF(ISERROR(OFFSET('HARGA SATUAN'!$I$6,MATCH(RAB!C414,'HARGA SATUAN'!$C$7:$C$1492,0),0)),0,OFFSET('HARGA SATUAN'!$I$6,MATCH(RAB!C414,'HARGA SATUAN'!$C$7:$C$1492,0),0))</f>
        <v>30000</v>
      </c>
      <c r="H414" s="359">
        <f t="shared" ca="1" si="44"/>
        <v>0</v>
      </c>
      <c r="I414" s="359">
        <f t="shared" ca="1" si="45"/>
        <v>600000</v>
      </c>
      <c r="J414" s="359">
        <f t="shared" ca="1" si="46"/>
        <v>0</v>
      </c>
      <c r="K414" s="360">
        <f t="shared" ca="1" si="47"/>
        <v>600000</v>
      </c>
      <c r="L414" s="367"/>
      <c r="M414" s="367"/>
      <c r="N414" s="367"/>
      <c r="O414" s="361"/>
      <c r="P414" s="361"/>
      <c r="Q414" s="344"/>
      <c r="R414" s="336"/>
      <c r="S414" s="362"/>
      <c r="T414" s="341"/>
      <c r="U414" s="341"/>
      <c r="V414" s="341"/>
    </row>
    <row r="415" spans="1:22" s="368" customFormat="1">
      <c r="A415" s="336"/>
      <c r="B415" s="692">
        <v>5</v>
      </c>
      <c r="C415" s="693" t="s">
        <v>33</v>
      </c>
      <c r="D415" s="356" t="str">
        <f ca="1">IF(ISERROR(OFFSET('HARGA SATUAN'!$D$6,MATCH(RAB!C415,'HARGA SATUAN'!$C$7:$C$1492,0),0)),"",OFFSET('HARGA SATUAN'!$D$6,MATCH(RAB!C415,'HARGA SATUAN'!$C$7:$C$1492,0),0))</f>
        <v>HDW</v>
      </c>
      <c r="E415" s="357" t="str">
        <f ca="1">IF(B415="+","Unit",IF(ISERROR(OFFSET('HARGA SATUAN'!$E$6,MATCH(RAB!C415,'HARGA SATUAN'!$C$7:$C$1492,0),0)),"",OFFSET('HARGA SATUAN'!$E$6,MATCH(RAB!C415,'HARGA SATUAN'!$C$7:$C$1492,0),0)))</f>
        <v>Bh</v>
      </c>
      <c r="F415" s="489">
        <f>F410*2</f>
        <v>4</v>
      </c>
      <c r="G415" s="358">
        <f ca="1">IF(ISERROR(OFFSET('HARGA SATUAN'!$I$6,MATCH(RAB!C415,'HARGA SATUAN'!$C$7:$C$1492,0),0)),0,OFFSET('HARGA SATUAN'!$I$6,MATCH(RAB!C415,'HARGA SATUAN'!$C$7:$C$1492,0),0))</f>
        <v>9500</v>
      </c>
      <c r="H415" s="359">
        <f t="shared" ca="1" si="44"/>
        <v>0</v>
      </c>
      <c r="I415" s="359">
        <f t="shared" ca="1" si="45"/>
        <v>38000</v>
      </c>
      <c r="J415" s="359">
        <f t="shared" ca="1" si="46"/>
        <v>0</v>
      </c>
      <c r="K415" s="360">
        <f t="shared" ca="1" si="47"/>
        <v>38000</v>
      </c>
      <c r="L415" s="367"/>
      <c r="M415" s="367"/>
      <c r="N415" s="367"/>
      <c r="O415" s="361"/>
      <c r="P415" s="361"/>
      <c r="Q415" s="344"/>
      <c r="R415" s="336"/>
      <c r="S415" s="362"/>
      <c r="T415" s="341"/>
      <c r="U415" s="341"/>
      <c r="V415" s="341"/>
    </row>
    <row r="416" spans="1:22" s="368" customFormat="1">
      <c r="A416" s="336"/>
      <c r="B416" s="692">
        <v>6</v>
      </c>
      <c r="C416" s="693" t="s">
        <v>34</v>
      </c>
      <c r="D416" s="356" t="str">
        <f ca="1">IF(ISERROR(OFFSET('HARGA SATUAN'!$D$6,MATCH(RAB!C416,'HARGA SATUAN'!$C$7:$C$1492,0),0)),"",OFFSET('HARGA SATUAN'!$D$6,MATCH(RAB!C416,'HARGA SATUAN'!$C$7:$C$1492,0),0))</f>
        <v>HDW</v>
      </c>
      <c r="E416" s="357" t="str">
        <f ca="1">IF(B416="+","Unit",IF(ISERROR(OFFSET('HARGA SATUAN'!$E$6,MATCH(RAB!C416,'HARGA SATUAN'!$C$7:$C$1492,0),0)),"",OFFSET('HARGA SATUAN'!$E$6,MATCH(RAB!C416,'HARGA SATUAN'!$C$7:$C$1492,0),0)))</f>
        <v>Bh</v>
      </c>
      <c r="F416" s="489">
        <f>F410*5.5</f>
        <v>11</v>
      </c>
      <c r="G416" s="358">
        <f ca="1">IF(ISERROR(OFFSET('HARGA SATUAN'!$I$6,MATCH(RAB!C416,'HARGA SATUAN'!$C$7:$C$1492,0),0)),0,OFFSET('HARGA SATUAN'!$I$6,MATCH(RAB!C416,'HARGA SATUAN'!$C$7:$C$1492,0),0))</f>
        <v>6100</v>
      </c>
      <c r="H416" s="359">
        <f t="shared" ca="1" si="44"/>
        <v>0</v>
      </c>
      <c r="I416" s="359">
        <f t="shared" ca="1" si="45"/>
        <v>67100</v>
      </c>
      <c r="J416" s="359">
        <f t="shared" ca="1" si="46"/>
        <v>0</v>
      </c>
      <c r="K416" s="360">
        <f t="shared" ca="1" si="47"/>
        <v>67100</v>
      </c>
      <c r="L416" s="367"/>
      <c r="M416" s="367"/>
      <c r="N416" s="367"/>
      <c r="O416" s="361"/>
      <c r="P416" s="361"/>
      <c r="Q416" s="344"/>
      <c r="R416" s="336"/>
      <c r="S416" s="362"/>
      <c r="T416" s="341"/>
      <c r="U416" s="341"/>
      <c r="V416" s="341"/>
    </row>
    <row r="417" spans="1:22" s="368" customFormat="1">
      <c r="A417" s="336"/>
      <c r="B417" s="692">
        <v>7</v>
      </c>
      <c r="C417" s="693" t="s">
        <v>35</v>
      </c>
      <c r="D417" s="356" t="str">
        <f ca="1">IF(ISERROR(OFFSET('HARGA SATUAN'!$D$6,MATCH(RAB!C417,'HARGA SATUAN'!$C$7:$C$1492,0),0)),"",OFFSET('HARGA SATUAN'!$D$6,MATCH(RAB!C417,'HARGA SATUAN'!$C$7:$C$1492,0),0))</f>
        <v>HDW</v>
      </c>
      <c r="E417" s="357" t="str">
        <f ca="1">IF(B417="+","Unit",IF(ISERROR(OFFSET('HARGA SATUAN'!$E$6,MATCH(RAB!C417,'HARGA SATUAN'!$C$7:$C$1492,0),0)),"",OFFSET('HARGA SATUAN'!$E$6,MATCH(RAB!C417,'HARGA SATUAN'!$C$7:$C$1492,0),0)))</f>
        <v>Bh</v>
      </c>
      <c r="F417" s="489">
        <f>F410*6</f>
        <v>12</v>
      </c>
      <c r="G417" s="358">
        <f ca="1">IF(ISERROR(OFFSET('HARGA SATUAN'!$I$6,MATCH(RAB!C417,'HARGA SATUAN'!$C$7:$C$1492,0),0)),0,OFFSET('HARGA SATUAN'!$I$6,MATCH(RAB!C417,'HARGA SATUAN'!$C$7:$C$1492,0),0))</f>
        <v>2300</v>
      </c>
      <c r="H417" s="359">
        <f t="shared" ca="1" si="44"/>
        <v>0</v>
      </c>
      <c r="I417" s="359">
        <f t="shared" ca="1" si="45"/>
        <v>27600</v>
      </c>
      <c r="J417" s="359">
        <f t="shared" ca="1" si="46"/>
        <v>0</v>
      </c>
      <c r="K417" s="360">
        <f t="shared" ca="1" si="47"/>
        <v>27600</v>
      </c>
      <c r="L417" s="367"/>
      <c r="M417" s="367"/>
      <c r="N417" s="367"/>
      <c r="O417" s="361"/>
      <c r="P417" s="361"/>
      <c r="Q417" s="344"/>
      <c r="R417" s="336"/>
      <c r="S417" s="362"/>
      <c r="T417" s="341"/>
      <c r="U417" s="341"/>
      <c r="V417" s="341"/>
    </row>
    <row r="418" spans="1:22" s="368" customFormat="1">
      <c r="A418" s="336"/>
      <c r="B418" s="692">
        <v>8</v>
      </c>
      <c r="C418" s="693" t="s">
        <v>1638</v>
      </c>
      <c r="D418" s="356" t="str">
        <f ca="1">IF(ISERROR(OFFSET('HARGA SATUAN'!$D$6,MATCH(RAB!C418,'HARGA SATUAN'!$C$7:$C$1492,0),0)),"",OFFSET('HARGA SATUAN'!$D$6,MATCH(RAB!C418,'HARGA SATUAN'!$C$7:$C$1492,0),0))</f>
        <v>HDW</v>
      </c>
      <c r="E418" s="357" t="str">
        <f ca="1">IF(B418="+","Unit",IF(ISERROR(OFFSET('HARGA SATUAN'!$E$6,MATCH(RAB!C418,'HARGA SATUAN'!$C$7:$C$1492,0),0)),"",OFFSET('HARGA SATUAN'!$E$6,MATCH(RAB!C418,'HARGA SATUAN'!$C$7:$C$1492,0),0)))</f>
        <v>Mtr</v>
      </c>
      <c r="F418" s="489">
        <f>F410*4.8</f>
        <v>9.6</v>
      </c>
      <c r="G418" s="358">
        <f ca="1">IF(ISERROR(OFFSET('HARGA SATUAN'!$I$6,MATCH(RAB!C418,'HARGA SATUAN'!$C$7:$C$1492,0),0)),0,OFFSET('HARGA SATUAN'!$I$6,MATCH(RAB!C418,'HARGA SATUAN'!$C$7:$C$1492,0),0))</f>
        <v>23310</v>
      </c>
      <c r="H418" s="359">
        <f t="shared" ca="1" si="44"/>
        <v>0</v>
      </c>
      <c r="I418" s="359">
        <f t="shared" ca="1" si="45"/>
        <v>223776</v>
      </c>
      <c r="J418" s="359">
        <f t="shared" ca="1" si="46"/>
        <v>0</v>
      </c>
      <c r="K418" s="360">
        <f t="shared" ca="1" si="47"/>
        <v>223776</v>
      </c>
      <c r="L418" s="367"/>
      <c r="M418" s="367"/>
      <c r="N418" s="367"/>
      <c r="O418" s="361"/>
      <c r="P418" s="361"/>
      <c r="Q418" s="344"/>
      <c r="R418" s="336"/>
      <c r="S418" s="362"/>
      <c r="T418" s="341"/>
      <c r="U418" s="341"/>
      <c r="V418" s="341"/>
    </row>
    <row r="419" spans="1:22" s="368" customFormat="1">
      <c r="A419" s="336"/>
      <c r="B419" s="692">
        <v>9</v>
      </c>
      <c r="C419" s="693" t="s">
        <v>736</v>
      </c>
      <c r="D419" s="356" t="str">
        <f ca="1">IF(ISERROR(OFFSET('HARGA SATUAN'!$D$6,MATCH(RAB!C419,'HARGA SATUAN'!$C$7:$C$1492,0),0)),"",OFFSET('HARGA SATUAN'!$D$6,MATCH(RAB!C419,'HARGA SATUAN'!$C$7:$C$1492,0),0))</f>
        <v>JASA</v>
      </c>
      <c r="E419" s="357" t="str">
        <f ca="1">IF(B419="+","Unit",IF(ISERROR(OFFSET('HARGA SATUAN'!$E$6,MATCH(RAB!C419,'HARGA SATUAN'!$C$7:$C$1492,0),0)),"",OFFSET('HARGA SATUAN'!$E$6,MATCH(RAB!C419,'HARGA SATUAN'!$C$7:$C$1492,0),0)))</f>
        <v>Unit</v>
      </c>
      <c r="F419" s="489">
        <f>F410*1</f>
        <v>2</v>
      </c>
      <c r="G419" s="358">
        <f ca="1">IF(ISERROR(OFFSET('HARGA SATUAN'!$I$6,MATCH(RAB!C419,'HARGA SATUAN'!$C$7:$C$1492,0),0)),0,OFFSET('HARGA SATUAN'!$I$6,MATCH(RAB!C419,'HARGA SATUAN'!$C$7:$C$1492,0),0))</f>
        <v>65400</v>
      </c>
      <c r="H419" s="359">
        <f t="shared" ca="1" si="44"/>
        <v>0</v>
      </c>
      <c r="I419" s="359">
        <f t="shared" ca="1" si="45"/>
        <v>0</v>
      </c>
      <c r="J419" s="359">
        <f t="shared" ca="1" si="46"/>
        <v>130800</v>
      </c>
      <c r="K419" s="360">
        <f t="shared" ca="1" si="47"/>
        <v>130800</v>
      </c>
      <c r="L419" s="367"/>
      <c r="M419" s="367"/>
      <c r="N419" s="367"/>
      <c r="O419" s="361"/>
      <c r="P419" s="361"/>
      <c r="Q419" s="344"/>
      <c r="R419" s="336"/>
      <c r="S419" s="362"/>
      <c r="T419" s="341"/>
      <c r="U419" s="341"/>
      <c r="V419" s="341"/>
    </row>
    <row r="420" spans="1:22" s="368" customFormat="1">
      <c r="A420" s="336"/>
      <c r="B420" s="692">
        <v>10</v>
      </c>
      <c r="C420" s="693" t="s">
        <v>1636</v>
      </c>
      <c r="D420" s="356" t="str">
        <f ca="1">IF(ISERROR(OFFSET('HARGA SATUAN'!$D$6,MATCH(RAB!C420,'HARGA SATUAN'!$C$7:$C$1492,0),0)),"",OFFSET('HARGA SATUAN'!$D$6,MATCH(RAB!C420,'HARGA SATUAN'!$C$7:$C$1492,0),0))</f>
        <v/>
      </c>
      <c r="E420" s="357" t="str">
        <f ca="1">IF(B420="+","Unit",IF(ISERROR(OFFSET('HARGA SATUAN'!$E$6,MATCH(RAB!C420,'HARGA SATUAN'!$C$7:$C$1492,0),0)),"",OFFSET('HARGA SATUAN'!$E$6,MATCH(RAB!C420,'HARGA SATUAN'!$C$7:$C$1492,0),0)))</f>
        <v/>
      </c>
      <c r="F420" s="210"/>
      <c r="G420" s="358">
        <f ca="1">IF(ISERROR(OFFSET('HARGA SATUAN'!$I$6,MATCH(RAB!C420,'HARGA SATUAN'!$C$7:$C$1492,0),0)),0,OFFSET('HARGA SATUAN'!$I$6,MATCH(RAB!C420,'HARGA SATUAN'!$C$7:$C$1492,0),0))</f>
        <v>0</v>
      </c>
      <c r="H420" s="359">
        <f t="shared" ca="1" si="44"/>
        <v>0</v>
      </c>
      <c r="I420" s="359">
        <f t="shared" ca="1" si="45"/>
        <v>0</v>
      </c>
      <c r="J420" s="359">
        <f t="shared" ca="1" si="46"/>
        <v>0</v>
      </c>
      <c r="K420" s="360">
        <f t="shared" ca="1" si="47"/>
        <v>0</v>
      </c>
      <c r="L420" s="367"/>
      <c r="M420" s="367"/>
      <c r="N420" s="367"/>
      <c r="O420" s="361"/>
      <c r="P420" s="361"/>
      <c r="Q420" s="344"/>
      <c r="R420" s="336"/>
      <c r="S420" s="362"/>
      <c r="T420" s="341"/>
      <c r="U420" s="341"/>
      <c r="V420" s="341"/>
    </row>
    <row r="421" spans="1:22" s="368" customFormat="1">
      <c r="A421" s="336"/>
      <c r="B421" s="708"/>
      <c r="C421" s="709"/>
      <c r="D421" s="356" t="str">
        <f ca="1">IF(ISERROR(OFFSET('HARGA SATUAN'!$D$6,MATCH(RAB!C421,'HARGA SATUAN'!$C$7:$C$1492,0),0)),"",OFFSET('HARGA SATUAN'!$D$6,MATCH(RAB!C421,'HARGA SATUAN'!$C$7:$C$1492,0),0))</f>
        <v/>
      </c>
      <c r="E421" s="357" t="str">
        <f ca="1">IF(B421="+","Unit",IF(ISERROR(OFFSET('HARGA SATUAN'!$E$6,MATCH(RAB!C421,'HARGA SATUAN'!$C$7:$C$1492,0),0)),"",OFFSET('HARGA SATUAN'!$E$6,MATCH(RAB!C421,'HARGA SATUAN'!$C$7:$C$1492,0),0)))</f>
        <v/>
      </c>
      <c r="F421" s="210"/>
      <c r="G421" s="358">
        <f ca="1">IF(ISERROR(OFFSET('HARGA SATUAN'!$I$6,MATCH(RAB!C421,'HARGA SATUAN'!$C$7:$C$1492,0),0)),0,OFFSET('HARGA SATUAN'!$I$6,MATCH(RAB!C421,'HARGA SATUAN'!$C$7:$C$1492,0),0))</f>
        <v>0</v>
      </c>
      <c r="H421" s="359">
        <f t="shared" ca="1" si="44"/>
        <v>0</v>
      </c>
      <c r="I421" s="359">
        <f t="shared" ca="1" si="45"/>
        <v>0</v>
      </c>
      <c r="J421" s="359">
        <f t="shared" ca="1" si="46"/>
        <v>0</v>
      </c>
      <c r="K421" s="360">
        <f t="shared" ca="1" si="47"/>
        <v>0</v>
      </c>
      <c r="L421" s="367"/>
      <c r="M421" s="367"/>
      <c r="N421" s="367"/>
      <c r="O421" s="361"/>
      <c r="P421" s="361"/>
      <c r="Q421" s="344"/>
      <c r="R421" s="336"/>
      <c r="S421" s="362"/>
      <c r="T421" s="341"/>
      <c r="U421" s="341"/>
      <c r="V421" s="341"/>
    </row>
    <row r="422" spans="1:22" s="368" customFormat="1">
      <c r="A422" s="336"/>
      <c r="B422" s="704" t="s">
        <v>530</v>
      </c>
      <c r="C422" s="705" t="s">
        <v>1639</v>
      </c>
      <c r="D422" s="356" t="str">
        <f ca="1">IF(ISERROR(OFFSET('HARGA SATUAN'!$D$6,MATCH(RAB!C422,'HARGA SATUAN'!$C$7:$C$1492,0),0)),"",OFFSET('HARGA SATUAN'!$D$6,MATCH(RAB!C422,'HARGA SATUAN'!$C$7:$C$1492,0),0))</f>
        <v/>
      </c>
      <c r="E422" s="357" t="str">
        <f ca="1">IF(B422="+","Unit",IF(ISERROR(OFFSET('HARGA SATUAN'!$E$6,MATCH(RAB!C422,'HARGA SATUAN'!$C$7:$C$1492,0),0)),"",OFFSET('HARGA SATUAN'!$E$6,MATCH(RAB!C422,'HARGA SATUAN'!$C$7:$C$1492,0),0)))</f>
        <v/>
      </c>
      <c r="F422" s="210"/>
      <c r="G422" s="358">
        <f ca="1">IF(ISERROR(OFFSET('HARGA SATUAN'!$I$6,MATCH(RAB!C422,'HARGA SATUAN'!$C$7:$C$1492,0),0)),0,OFFSET('HARGA SATUAN'!$I$6,MATCH(RAB!C422,'HARGA SATUAN'!$C$7:$C$1492,0),0))</f>
        <v>0</v>
      </c>
      <c r="H422" s="359">
        <f t="shared" ca="1" si="44"/>
        <v>0</v>
      </c>
      <c r="I422" s="359">
        <f t="shared" ca="1" si="45"/>
        <v>0</v>
      </c>
      <c r="J422" s="359">
        <f t="shared" ca="1" si="46"/>
        <v>0</v>
      </c>
      <c r="K422" s="360">
        <f t="shared" ca="1" si="47"/>
        <v>0</v>
      </c>
      <c r="L422" s="367"/>
      <c r="M422" s="367"/>
      <c r="N422" s="367"/>
      <c r="O422" s="361"/>
      <c r="P422" s="361"/>
      <c r="Q422" s="344"/>
      <c r="R422" s="336"/>
      <c r="S422" s="362"/>
      <c r="T422" s="341"/>
      <c r="U422" s="341"/>
      <c r="V422" s="341"/>
    </row>
    <row r="423" spans="1:22" s="368" customFormat="1">
      <c r="A423" s="336"/>
      <c r="B423" s="708"/>
      <c r="C423" s="109"/>
      <c r="D423" s="356" t="str">
        <f ca="1">IF(ISERROR(OFFSET('HARGA SATUAN'!$D$6,MATCH(RAB!C423,'HARGA SATUAN'!$C$7:$C$1492,0),0)),"",OFFSET('HARGA SATUAN'!$D$6,MATCH(RAB!C423,'HARGA SATUAN'!$C$7:$C$1492,0),0))</f>
        <v/>
      </c>
      <c r="E423" s="357" t="str">
        <f ca="1">IF(B423="+","Unit",IF(ISERROR(OFFSET('HARGA SATUAN'!$E$6,MATCH(RAB!C423,'HARGA SATUAN'!$C$7:$C$1492,0),0)),"",OFFSET('HARGA SATUAN'!$E$6,MATCH(RAB!C423,'HARGA SATUAN'!$C$7:$C$1492,0),0)))</f>
        <v/>
      </c>
      <c r="F423" s="210"/>
      <c r="G423" s="358">
        <f ca="1">IF(ISERROR(OFFSET('HARGA SATUAN'!$I$6,MATCH(RAB!C423,'HARGA SATUAN'!$C$7:$C$1492,0),0)),0,OFFSET('HARGA SATUAN'!$I$6,MATCH(RAB!C423,'HARGA SATUAN'!$C$7:$C$1492,0),0))</f>
        <v>0</v>
      </c>
      <c r="H423" s="359">
        <f t="shared" ca="1" si="44"/>
        <v>0</v>
      </c>
      <c r="I423" s="359">
        <f t="shared" ca="1" si="45"/>
        <v>0</v>
      </c>
      <c r="J423" s="359">
        <f t="shared" ca="1" si="46"/>
        <v>0</v>
      </c>
      <c r="K423" s="360">
        <f t="shared" ca="1" si="47"/>
        <v>0</v>
      </c>
      <c r="L423" s="367"/>
      <c r="M423" s="367"/>
      <c r="N423" s="367"/>
      <c r="O423" s="361"/>
      <c r="P423" s="361"/>
      <c r="Q423" s="344"/>
      <c r="R423" s="336"/>
      <c r="S423" s="362"/>
      <c r="T423" s="341"/>
      <c r="U423" s="341"/>
      <c r="V423" s="341"/>
    </row>
    <row r="424" spans="1:22" s="368" customFormat="1">
      <c r="A424" s="336"/>
      <c r="B424" s="487" t="s">
        <v>1035</v>
      </c>
      <c r="C424" s="488" t="s">
        <v>1674</v>
      </c>
      <c r="D424" s="356" t="str">
        <f ca="1">IF(ISERROR(OFFSET('HARGA SATUAN'!$D$6,MATCH(RAB!C424,'HARGA SATUAN'!$C$7:$C$1492,0),0)),"",OFFSET('HARGA SATUAN'!$D$6,MATCH(RAB!C424,'HARGA SATUAN'!$C$7:$C$1492,0),0))</f>
        <v/>
      </c>
      <c r="E424" s="357" t="str">
        <f ca="1">IF(B424="+","Unit",IF(ISERROR(OFFSET('HARGA SATUAN'!$E$6,MATCH(RAB!C424,'HARGA SATUAN'!$C$7:$C$1492,0),0)),"",OFFSET('HARGA SATUAN'!$E$6,MATCH(RAB!C424,'HARGA SATUAN'!$C$7:$C$1492,0),0)))</f>
        <v>Unit</v>
      </c>
      <c r="F424" s="714">
        <v>1</v>
      </c>
      <c r="G424" s="358">
        <f ca="1">IF(ISERROR(OFFSET('HARGA SATUAN'!$I$6,MATCH(RAB!C424,'HARGA SATUAN'!$C$7:$C$1492,0),0)),0,OFFSET('HARGA SATUAN'!$I$6,MATCH(RAB!C424,'HARGA SATUAN'!$C$7:$C$1492,0),0))</f>
        <v>0</v>
      </c>
      <c r="H424" s="359">
        <f t="shared" ca="1" si="44"/>
        <v>0</v>
      </c>
      <c r="I424" s="359">
        <f t="shared" ca="1" si="45"/>
        <v>0</v>
      </c>
      <c r="J424" s="359">
        <f t="shared" ca="1" si="46"/>
        <v>0</v>
      </c>
      <c r="K424" s="360">
        <f t="shared" ca="1" si="47"/>
        <v>0</v>
      </c>
      <c r="L424" s="367"/>
      <c r="M424" s="367"/>
      <c r="N424" s="367"/>
      <c r="O424" s="361"/>
      <c r="P424" s="361"/>
      <c r="Q424" s="344"/>
      <c r="R424" s="336"/>
      <c r="S424" s="362"/>
      <c r="T424" s="341"/>
      <c r="U424" s="341"/>
      <c r="V424" s="341"/>
    </row>
    <row r="425" spans="1:22" s="368" customFormat="1" ht="30">
      <c r="A425" s="336"/>
      <c r="B425" s="692">
        <v>1</v>
      </c>
      <c r="C425" s="109" t="s">
        <v>1196</v>
      </c>
      <c r="D425" s="356" t="str">
        <f ca="1">IF(ISERROR(OFFSET('HARGA SATUAN'!$D$6,MATCH(RAB!C425,'HARGA SATUAN'!$C$7:$C$1492,0),0)),"",OFFSET('HARGA SATUAN'!$D$6,MATCH(RAB!C425,'HARGA SATUAN'!$C$7:$C$1492,0),0))</f>
        <v>MDU-KD</v>
      </c>
      <c r="E425" s="357" t="str">
        <f ca="1">IF(B425="+","Unit",IF(ISERROR(OFFSET('HARGA SATUAN'!$E$6,MATCH(RAB!C425,'HARGA SATUAN'!$C$7:$C$1492,0),0)),"",OFFSET('HARGA SATUAN'!$E$6,MATCH(RAB!C425,'HARGA SATUAN'!$C$7:$C$1492,0),0)))</f>
        <v>Bh</v>
      </c>
      <c r="F425" s="714">
        <f>F424*1</f>
        <v>1</v>
      </c>
      <c r="G425" s="358">
        <f ca="1">IF(ISERROR(OFFSET('HARGA SATUAN'!$I$6,MATCH(RAB!C425,'HARGA SATUAN'!$C$7:$C$1492,0),0)),0,OFFSET('HARGA SATUAN'!$I$6,MATCH(RAB!C425,'HARGA SATUAN'!$C$7:$C$1492,0),0))</f>
        <v>1504200</v>
      </c>
      <c r="H425" s="359">
        <f t="shared" ca="1" si="44"/>
        <v>1504200</v>
      </c>
      <c r="I425" s="359">
        <f t="shared" ca="1" si="45"/>
        <v>0</v>
      </c>
      <c r="J425" s="359">
        <f t="shared" ca="1" si="46"/>
        <v>0</v>
      </c>
      <c r="K425" s="360">
        <f t="shared" ca="1" si="47"/>
        <v>1504200</v>
      </c>
      <c r="L425" s="367"/>
      <c r="M425" s="367"/>
      <c r="N425" s="367"/>
      <c r="O425" s="361"/>
      <c r="P425" s="361"/>
      <c r="Q425" s="344"/>
      <c r="R425" s="336"/>
      <c r="S425" s="362"/>
      <c r="T425" s="341"/>
      <c r="U425" s="341"/>
      <c r="V425" s="341"/>
    </row>
    <row r="426" spans="1:22" s="368" customFormat="1">
      <c r="A426" s="336"/>
      <c r="B426" s="692">
        <v>2</v>
      </c>
      <c r="C426" s="710" t="s">
        <v>520</v>
      </c>
      <c r="D426" s="356" t="str">
        <f ca="1">IF(ISERROR(OFFSET('HARGA SATUAN'!$D$6,MATCH(RAB!C426,'HARGA SATUAN'!$C$7:$C$1492,0),0)),"",OFFSET('HARGA SATUAN'!$D$6,MATCH(RAB!C426,'HARGA SATUAN'!$C$7:$C$1492,0),0))</f>
        <v>MDU-KD</v>
      </c>
      <c r="E426" s="357" t="str">
        <f ca="1">IF(B426="+","Unit",IF(ISERROR(OFFSET('HARGA SATUAN'!$E$6,MATCH(RAB!C426,'HARGA SATUAN'!$C$7:$C$1492,0),0)),"",OFFSET('HARGA SATUAN'!$E$6,MATCH(RAB!C426,'HARGA SATUAN'!$C$7:$C$1492,0),0)))</f>
        <v>Unit</v>
      </c>
      <c r="F426" s="714">
        <f>F424*1</f>
        <v>1</v>
      </c>
      <c r="G426" s="358">
        <f ca="1">IF(ISERROR(OFFSET('HARGA SATUAN'!$I$6,MATCH(RAB!C426,'HARGA SATUAN'!$C$7:$C$1492,0),0)),0,OFFSET('HARGA SATUAN'!$I$6,MATCH(RAB!C426,'HARGA SATUAN'!$C$7:$C$1492,0),0))</f>
        <v>14975400</v>
      </c>
      <c r="H426" s="359">
        <f t="shared" ca="1" si="44"/>
        <v>14975400</v>
      </c>
      <c r="I426" s="359">
        <f t="shared" ca="1" si="45"/>
        <v>0</v>
      </c>
      <c r="J426" s="359">
        <f t="shared" ca="1" si="46"/>
        <v>0</v>
      </c>
      <c r="K426" s="360">
        <f t="shared" ca="1" si="47"/>
        <v>14975400</v>
      </c>
      <c r="L426" s="367"/>
      <c r="M426" s="367"/>
      <c r="N426" s="367"/>
      <c r="O426" s="361"/>
      <c r="P426" s="361"/>
      <c r="Q426" s="344"/>
      <c r="R426" s="336"/>
      <c r="S426" s="362"/>
      <c r="T426" s="341"/>
      <c r="U426" s="341"/>
      <c r="V426" s="341"/>
    </row>
    <row r="427" spans="1:22" s="368" customFormat="1">
      <c r="A427" s="336"/>
      <c r="B427" s="692">
        <v>3</v>
      </c>
      <c r="C427" s="710" t="s">
        <v>1142</v>
      </c>
      <c r="D427" s="356" t="str">
        <f ca="1">IF(ISERROR(OFFSET('HARGA SATUAN'!$D$6,MATCH(RAB!C427,'HARGA SATUAN'!$C$7:$C$1492,0),0)),"",OFFSET('HARGA SATUAN'!$D$6,MATCH(RAB!C427,'HARGA SATUAN'!$C$7:$C$1492,0),0))</f>
        <v>HDW</v>
      </c>
      <c r="E427" s="357" t="str">
        <f ca="1">IF(B427="+","Unit",IF(ISERROR(OFFSET('HARGA SATUAN'!$E$6,MATCH(RAB!C427,'HARGA SATUAN'!$C$7:$C$1492,0),0)),"",OFFSET('HARGA SATUAN'!$E$6,MATCH(RAB!C427,'HARGA SATUAN'!$C$7:$C$1492,0),0)))</f>
        <v>Unit</v>
      </c>
      <c r="F427" s="714">
        <f>F424*1</f>
        <v>1</v>
      </c>
      <c r="G427" s="358">
        <f ca="1">IF(ISERROR(OFFSET('HARGA SATUAN'!$I$6,MATCH(RAB!C427,'HARGA SATUAN'!$C$7:$C$1492,0),0)),0,OFFSET('HARGA SATUAN'!$I$6,MATCH(RAB!C427,'HARGA SATUAN'!$C$7:$C$1492,0),0))</f>
        <v>1113900</v>
      </c>
      <c r="H427" s="359">
        <f t="shared" ca="1" si="44"/>
        <v>0</v>
      </c>
      <c r="I427" s="359">
        <f t="shared" ca="1" si="45"/>
        <v>1113900</v>
      </c>
      <c r="J427" s="359">
        <f t="shared" ca="1" si="46"/>
        <v>0</v>
      </c>
      <c r="K427" s="360">
        <f t="shared" ca="1" si="47"/>
        <v>1113900</v>
      </c>
      <c r="L427" s="367"/>
      <c r="M427" s="367"/>
      <c r="N427" s="367"/>
      <c r="O427" s="361"/>
      <c r="P427" s="361"/>
      <c r="Q427" s="344"/>
      <c r="R427" s="336"/>
      <c r="S427" s="362"/>
      <c r="T427" s="341"/>
      <c r="U427" s="341"/>
      <c r="V427" s="341"/>
    </row>
    <row r="428" spans="1:22" s="368" customFormat="1">
      <c r="A428" s="336"/>
      <c r="B428" s="692">
        <v>4</v>
      </c>
      <c r="C428" s="109" t="s">
        <v>81</v>
      </c>
      <c r="D428" s="356" t="str">
        <f ca="1">IF(ISERROR(OFFSET('HARGA SATUAN'!$D$6,MATCH(RAB!C428,'HARGA SATUAN'!$C$7:$C$1492,0),0)),"",OFFSET('HARGA SATUAN'!$D$6,MATCH(RAB!C428,'HARGA SATUAN'!$C$7:$C$1492,0),0))</f>
        <v>MDU-KD</v>
      </c>
      <c r="E428" s="357" t="str">
        <f ca="1">IF(B428="+","Unit",IF(ISERROR(OFFSET('HARGA SATUAN'!$E$6,MATCH(RAB!C428,'HARGA SATUAN'!$C$7:$C$1492,0),0)),"",OFFSET('HARGA SATUAN'!$E$6,MATCH(RAB!C428,'HARGA SATUAN'!$C$7:$C$1492,0),0)))</f>
        <v>Mtr</v>
      </c>
      <c r="F428" s="714">
        <v>44</v>
      </c>
      <c r="G428" s="358">
        <f ca="1">IF(ISERROR(OFFSET('HARGA SATUAN'!$I$6,MATCH(RAB!C428,'HARGA SATUAN'!$C$7:$C$1492,0),0)),0,OFFSET('HARGA SATUAN'!$I$6,MATCH(RAB!C428,'HARGA SATUAN'!$C$7:$C$1492,0),0))</f>
        <v>140200</v>
      </c>
      <c r="H428" s="359">
        <f t="shared" ca="1" si="44"/>
        <v>6168800</v>
      </c>
      <c r="I428" s="359">
        <f t="shared" ca="1" si="45"/>
        <v>0</v>
      </c>
      <c r="J428" s="359">
        <f t="shared" ca="1" si="46"/>
        <v>0</v>
      </c>
      <c r="K428" s="360">
        <f t="shared" ca="1" si="47"/>
        <v>6168800</v>
      </c>
      <c r="L428" s="367"/>
      <c r="M428" s="367"/>
      <c r="N428" s="367"/>
      <c r="O428" s="361"/>
      <c r="P428" s="361"/>
      <c r="Q428" s="344"/>
      <c r="R428" s="336"/>
      <c r="S428" s="362"/>
      <c r="T428" s="341"/>
      <c r="U428" s="341"/>
      <c r="V428" s="341"/>
    </row>
    <row r="429" spans="1:22" s="368" customFormat="1">
      <c r="A429" s="336"/>
      <c r="B429" s="692">
        <v>5</v>
      </c>
      <c r="C429" s="710" t="s">
        <v>799</v>
      </c>
      <c r="D429" s="356" t="str">
        <f ca="1">IF(ISERROR(OFFSET('HARGA SATUAN'!$D$6,MATCH(RAB!C429,'HARGA SATUAN'!$C$7:$C$1492,0),0)),"",OFFSET('HARGA SATUAN'!$D$6,MATCH(RAB!C429,'HARGA SATUAN'!$C$7:$C$1492,0),0))</f>
        <v>JASA</v>
      </c>
      <c r="E429" s="357" t="str">
        <f ca="1">IF(B429="+","Unit",IF(ISERROR(OFFSET('HARGA SATUAN'!$E$6,MATCH(RAB!C429,'HARGA SATUAN'!$C$7:$C$1492,0),0)),"",OFFSET('HARGA SATUAN'!$E$6,MATCH(RAB!C429,'HARGA SATUAN'!$C$7:$C$1492,0),0)))</f>
        <v>Unit</v>
      </c>
      <c r="F429" s="714">
        <f>F424*1</f>
        <v>1</v>
      </c>
      <c r="G429" s="358">
        <f ca="1">IF(ISERROR(OFFSET('HARGA SATUAN'!$I$6,MATCH(RAB!C429,'HARGA SATUAN'!$C$7:$C$1492,0),0)),0,OFFSET('HARGA SATUAN'!$I$6,MATCH(RAB!C429,'HARGA SATUAN'!$C$7:$C$1492,0),0))</f>
        <v>106400</v>
      </c>
      <c r="H429" s="359">
        <f t="shared" ca="1" si="44"/>
        <v>0</v>
      </c>
      <c r="I429" s="359">
        <f t="shared" ca="1" si="45"/>
        <v>0</v>
      </c>
      <c r="J429" s="359">
        <f t="shared" ca="1" si="46"/>
        <v>106400</v>
      </c>
      <c r="K429" s="360">
        <f t="shared" ca="1" si="47"/>
        <v>106400</v>
      </c>
      <c r="L429" s="367"/>
      <c r="M429" s="367"/>
      <c r="N429" s="367"/>
      <c r="O429" s="361"/>
      <c r="P429" s="361"/>
      <c r="Q429" s="344"/>
      <c r="R429" s="336"/>
      <c r="S429" s="362"/>
      <c r="T429" s="341"/>
      <c r="U429" s="341"/>
      <c r="V429" s="341"/>
    </row>
    <row r="430" spans="1:22" s="368" customFormat="1">
      <c r="A430" s="336"/>
      <c r="B430" s="694"/>
      <c r="C430" s="711"/>
      <c r="D430" s="356" t="str">
        <f ca="1">IF(ISERROR(OFFSET('HARGA SATUAN'!$D$6,MATCH(RAB!C430,'HARGA SATUAN'!$C$7:$C$1492,0),0)),"",OFFSET('HARGA SATUAN'!$D$6,MATCH(RAB!C430,'HARGA SATUAN'!$C$7:$C$1492,0),0))</f>
        <v/>
      </c>
      <c r="E430" s="357" t="str">
        <f ca="1">IF(B430="+","Unit",IF(ISERROR(OFFSET('HARGA SATUAN'!$E$6,MATCH(RAB!C430,'HARGA SATUAN'!$C$7:$C$1492,0),0)),"",OFFSET('HARGA SATUAN'!$E$6,MATCH(RAB!C430,'HARGA SATUAN'!$C$7:$C$1492,0),0)))</f>
        <v/>
      </c>
      <c r="F430" s="210"/>
      <c r="G430" s="358">
        <f ca="1">IF(ISERROR(OFFSET('HARGA SATUAN'!$I$6,MATCH(RAB!C430,'HARGA SATUAN'!$C$7:$C$1492,0),0)),0,OFFSET('HARGA SATUAN'!$I$6,MATCH(RAB!C430,'HARGA SATUAN'!$C$7:$C$1492,0),0))</f>
        <v>0</v>
      </c>
      <c r="H430" s="359">
        <f t="shared" ca="1" si="44"/>
        <v>0</v>
      </c>
      <c r="I430" s="359">
        <f t="shared" ca="1" si="45"/>
        <v>0</v>
      </c>
      <c r="J430" s="359">
        <f t="shared" ca="1" si="46"/>
        <v>0</v>
      </c>
      <c r="K430" s="360">
        <f t="shared" ca="1" si="47"/>
        <v>0</v>
      </c>
      <c r="L430" s="367"/>
      <c r="M430" s="367"/>
      <c r="N430" s="367"/>
      <c r="O430" s="361"/>
      <c r="P430" s="361"/>
      <c r="Q430" s="344"/>
      <c r="R430" s="336"/>
      <c r="S430" s="362"/>
      <c r="T430" s="341"/>
      <c r="U430" s="341"/>
      <c r="V430" s="341"/>
    </row>
    <row r="431" spans="1:22" s="368" customFormat="1">
      <c r="A431" s="336"/>
      <c r="B431" s="692" t="s">
        <v>1035</v>
      </c>
      <c r="C431" s="693" t="s">
        <v>1633</v>
      </c>
      <c r="D431" s="356" t="str">
        <f ca="1">IF(ISERROR(OFFSET('HARGA SATUAN'!$D$6,MATCH(RAB!C431,'HARGA SATUAN'!$C$7:$C$1492,0),0)),"",OFFSET('HARGA SATUAN'!$D$6,MATCH(RAB!C431,'HARGA SATUAN'!$C$7:$C$1492,0),0))</f>
        <v/>
      </c>
      <c r="E431" s="357" t="str">
        <f ca="1">IF(B431="+","Unit",IF(ISERROR(OFFSET('HARGA SATUAN'!$E$6,MATCH(RAB!C431,'HARGA SATUAN'!$C$7:$C$1492,0),0)),"",OFFSET('HARGA SATUAN'!$E$6,MATCH(RAB!C431,'HARGA SATUAN'!$C$7:$C$1492,0),0)))</f>
        <v>Unit</v>
      </c>
      <c r="F431" s="489">
        <v>1</v>
      </c>
      <c r="G431" s="358">
        <f ca="1">IF(ISERROR(OFFSET('HARGA SATUAN'!$I$6,MATCH(RAB!C431,'HARGA SATUAN'!$C$7:$C$1492,0),0)),0,OFFSET('HARGA SATUAN'!$I$6,MATCH(RAB!C431,'HARGA SATUAN'!$C$7:$C$1492,0),0))</f>
        <v>0</v>
      </c>
      <c r="H431" s="359">
        <f t="shared" ca="1" si="44"/>
        <v>0</v>
      </c>
      <c r="I431" s="359">
        <f t="shared" ca="1" si="45"/>
        <v>0</v>
      </c>
      <c r="J431" s="359">
        <f t="shared" ca="1" si="46"/>
        <v>0</v>
      </c>
      <c r="K431" s="360">
        <f t="shared" ca="1" si="47"/>
        <v>0</v>
      </c>
      <c r="L431" s="367"/>
      <c r="M431" s="367"/>
      <c r="N431" s="367"/>
      <c r="O431" s="361"/>
      <c r="P431" s="361"/>
      <c r="Q431" s="344"/>
      <c r="R431" s="336"/>
      <c r="S431" s="362"/>
      <c r="T431" s="341"/>
      <c r="U431" s="341"/>
      <c r="V431" s="341"/>
    </row>
    <row r="432" spans="1:22" s="368" customFormat="1">
      <c r="A432" s="336"/>
      <c r="B432" s="692">
        <v>1</v>
      </c>
      <c r="C432" s="693" t="s">
        <v>29</v>
      </c>
      <c r="D432" s="356" t="str">
        <f ca="1">IF(ISERROR(OFFSET('HARGA SATUAN'!$D$6,MATCH(RAB!C432,'HARGA SATUAN'!$C$7:$C$1492,0),0)),"",OFFSET('HARGA SATUAN'!$D$6,MATCH(RAB!C432,'HARGA SATUAN'!$C$7:$C$1492,0),0))</f>
        <v>HDW</v>
      </c>
      <c r="E432" s="357" t="str">
        <f ca="1">IF(B432="+","Unit",IF(ISERROR(OFFSET('HARGA SATUAN'!$E$6,MATCH(RAB!C432,'HARGA SATUAN'!$C$7:$C$1492,0),0)),"",OFFSET('HARGA SATUAN'!$E$6,MATCH(RAB!C432,'HARGA SATUAN'!$C$7:$C$1492,0),0)))</f>
        <v>Bh</v>
      </c>
      <c r="F432" s="489">
        <f>F431*1</f>
        <v>1</v>
      </c>
      <c r="G432" s="358">
        <f ca="1">IF(ISERROR(OFFSET('HARGA SATUAN'!$I$6,MATCH(RAB!C432,'HARGA SATUAN'!$C$7:$C$1492,0),0)),0,OFFSET('HARGA SATUAN'!$I$6,MATCH(RAB!C432,'HARGA SATUAN'!$C$7:$C$1492,0),0))</f>
        <v>185200</v>
      </c>
      <c r="H432" s="359">
        <f t="shared" ref="H432:H436" ca="1" si="52">IF(OR(D432="MDU",D432="MDU-KD"),(IF($O$3="RAB NON MDU","PLN KD",G432*F432)),0)</f>
        <v>0</v>
      </c>
      <c r="I432" s="359">
        <f t="shared" ref="I432:I436" ca="1" si="53">IF(D432="HDW",G432*F432,0)</f>
        <v>185200</v>
      </c>
      <c r="J432" s="359">
        <f t="shared" ref="J432:J436" ca="1" si="54">IF(D432="JASA",G432*F432,0)</f>
        <v>0</v>
      </c>
      <c r="K432" s="360">
        <f t="shared" ref="K432:K436" ca="1" si="55">SUM(H432:J432)</f>
        <v>185200</v>
      </c>
      <c r="L432" s="367"/>
      <c r="M432" s="367"/>
      <c r="N432" s="367"/>
      <c r="O432" s="361"/>
      <c r="P432" s="361"/>
      <c r="Q432" s="344"/>
      <c r="R432" s="336"/>
      <c r="S432" s="362"/>
      <c r="T432" s="341"/>
      <c r="U432" s="341"/>
      <c r="V432" s="341"/>
    </row>
    <row r="433" spans="1:22" s="368" customFormat="1">
      <c r="A433" s="336"/>
      <c r="B433" s="692">
        <v>2</v>
      </c>
      <c r="C433" s="693" t="s">
        <v>30</v>
      </c>
      <c r="D433" s="356" t="str">
        <f ca="1">IF(ISERROR(OFFSET('HARGA SATUAN'!$D$6,MATCH(RAB!C433,'HARGA SATUAN'!$C$7:$C$1492,0),0)),"",OFFSET('HARGA SATUAN'!$D$6,MATCH(RAB!C433,'HARGA SATUAN'!$C$7:$C$1492,0),0))</f>
        <v>HDW</v>
      </c>
      <c r="E433" s="357" t="str">
        <f ca="1">IF(B433="+","Unit",IF(ISERROR(OFFSET('HARGA SATUAN'!$E$6,MATCH(RAB!C433,'HARGA SATUAN'!$C$7:$C$1492,0),0)),"",OFFSET('HARGA SATUAN'!$E$6,MATCH(RAB!C433,'HARGA SATUAN'!$C$7:$C$1492,0),0)))</f>
        <v>Bh</v>
      </c>
      <c r="F433" s="489">
        <f>F431*1</f>
        <v>1</v>
      </c>
      <c r="G433" s="358">
        <f ca="1">IF(ISERROR(OFFSET('HARGA SATUAN'!$I$6,MATCH(RAB!C433,'HARGA SATUAN'!$C$7:$C$1492,0),0)),0,OFFSET('HARGA SATUAN'!$I$6,MATCH(RAB!C433,'HARGA SATUAN'!$C$7:$C$1492,0),0))</f>
        <v>47459</v>
      </c>
      <c r="H433" s="359">
        <f t="shared" ca="1" si="52"/>
        <v>0</v>
      </c>
      <c r="I433" s="359">
        <f t="shared" ca="1" si="53"/>
        <v>47459</v>
      </c>
      <c r="J433" s="359">
        <f t="shared" ca="1" si="54"/>
        <v>0</v>
      </c>
      <c r="K433" s="360">
        <f t="shared" ca="1" si="55"/>
        <v>47459</v>
      </c>
      <c r="L433" s="367"/>
      <c r="M433" s="367"/>
      <c r="N433" s="367"/>
      <c r="O433" s="361"/>
      <c r="P433" s="361"/>
      <c r="Q433" s="344"/>
      <c r="R433" s="336"/>
      <c r="S433" s="362"/>
      <c r="T433" s="341"/>
      <c r="U433" s="341"/>
      <c r="V433" s="341"/>
    </row>
    <row r="434" spans="1:22" s="368" customFormat="1">
      <c r="A434" s="336"/>
      <c r="B434" s="692">
        <v>3</v>
      </c>
      <c r="C434" s="693" t="s">
        <v>32</v>
      </c>
      <c r="D434" s="356" t="str">
        <f ca="1">IF(ISERROR(OFFSET('HARGA SATUAN'!$D$6,MATCH(RAB!C434,'HARGA SATUAN'!$C$7:$C$1492,0),0)),"",OFFSET('HARGA SATUAN'!$D$6,MATCH(RAB!C434,'HARGA SATUAN'!$C$7:$C$1492,0),0))</f>
        <v>HDW</v>
      </c>
      <c r="E434" s="357" t="str">
        <f ca="1">IF(B434="+","Unit",IF(ISERROR(OFFSET('HARGA SATUAN'!$E$6,MATCH(RAB!C434,'HARGA SATUAN'!$C$7:$C$1492,0),0)),"",OFFSET('HARGA SATUAN'!$E$6,MATCH(RAB!C434,'HARGA SATUAN'!$C$7:$C$1492,0),0)))</f>
        <v>Mtr</v>
      </c>
      <c r="F434" s="489">
        <f>F431*1.5</f>
        <v>1.5</v>
      </c>
      <c r="G434" s="358">
        <f ca="1">IF(ISERROR(OFFSET('HARGA SATUAN'!$I$6,MATCH(RAB!C434,'HARGA SATUAN'!$C$7:$C$1492,0),0)),0,OFFSET('HARGA SATUAN'!$I$6,MATCH(RAB!C434,'HARGA SATUAN'!$C$7:$C$1492,0),0))</f>
        <v>30000</v>
      </c>
      <c r="H434" s="359">
        <f t="shared" ca="1" si="52"/>
        <v>0</v>
      </c>
      <c r="I434" s="359">
        <f t="shared" ca="1" si="53"/>
        <v>45000</v>
      </c>
      <c r="J434" s="359">
        <f t="shared" ca="1" si="54"/>
        <v>0</v>
      </c>
      <c r="K434" s="360">
        <f t="shared" ca="1" si="55"/>
        <v>45000</v>
      </c>
      <c r="L434" s="367"/>
      <c r="M434" s="367"/>
      <c r="N434" s="367"/>
      <c r="O434" s="361"/>
      <c r="P434" s="361"/>
      <c r="Q434" s="344"/>
      <c r="R434" s="336"/>
      <c r="S434" s="362"/>
      <c r="T434" s="341"/>
      <c r="U434" s="341"/>
      <c r="V434" s="341"/>
    </row>
    <row r="435" spans="1:22" s="368" customFormat="1">
      <c r="A435" s="336"/>
      <c r="B435" s="692">
        <v>4</v>
      </c>
      <c r="C435" s="693" t="s">
        <v>33</v>
      </c>
      <c r="D435" s="356" t="str">
        <f ca="1">IF(ISERROR(OFFSET('HARGA SATUAN'!$D$6,MATCH(RAB!C435,'HARGA SATUAN'!$C$7:$C$1492,0),0)),"",OFFSET('HARGA SATUAN'!$D$6,MATCH(RAB!C435,'HARGA SATUAN'!$C$7:$C$1492,0),0))</f>
        <v>HDW</v>
      </c>
      <c r="E435" s="357" t="str">
        <f ca="1">IF(B435="+","Unit",IF(ISERROR(OFFSET('HARGA SATUAN'!$E$6,MATCH(RAB!C435,'HARGA SATUAN'!$C$7:$C$1492,0),0)),"",OFFSET('HARGA SATUAN'!$E$6,MATCH(RAB!C435,'HARGA SATUAN'!$C$7:$C$1492,0),0)))</f>
        <v>Bh</v>
      </c>
      <c r="F435" s="489">
        <f>F431*2</f>
        <v>2</v>
      </c>
      <c r="G435" s="358">
        <f ca="1">IF(ISERROR(OFFSET('HARGA SATUAN'!$I$6,MATCH(RAB!C435,'HARGA SATUAN'!$C$7:$C$1492,0),0)),0,OFFSET('HARGA SATUAN'!$I$6,MATCH(RAB!C435,'HARGA SATUAN'!$C$7:$C$1492,0),0))</f>
        <v>9500</v>
      </c>
      <c r="H435" s="359">
        <f t="shared" ca="1" si="52"/>
        <v>0</v>
      </c>
      <c r="I435" s="359">
        <f t="shared" ca="1" si="53"/>
        <v>19000</v>
      </c>
      <c r="J435" s="359">
        <f t="shared" ca="1" si="54"/>
        <v>0</v>
      </c>
      <c r="K435" s="360">
        <f t="shared" ca="1" si="55"/>
        <v>19000</v>
      </c>
      <c r="L435" s="367"/>
      <c r="M435" s="367"/>
      <c r="N435" s="367"/>
      <c r="O435" s="361"/>
      <c r="P435" s="361"/>
      <c r="Q435" s="344"/>
      <c r="R435" s="336"/>
      <c r="S435" s="362"/>
      <c r="T435" s="341"/>
      <c r="U435" s="341"/>
      <c r="V435" s="341"/>
    </row>
    <row r="436" spans="1:22" s="368" customFormat="1">
      <c r="A436" s="336"/>
      <c r="B436" s="692">
        <v>5</v>
      </c>
      <c r="C436" s="693" t="s">
        <v>735</v>
      </c>
      <c r="D436" s="356" t="str">
        <f ca="1">IF(ISERROR(OFFSET('HARGA SATUAN'!$D$6,MATCH(RAB!C436,'HARGA SATUAN'!$C$7:$C$1492,0),0)),"",OFFSET('HARGA SATUAN'!$D$6,MATCH(RAB!C436,'HARGA SATUAN'!$C$7:$C$1492,0),0))</f>
        <v>JASA</v>
      </c>
      <c r="E436" s="357" t="str">
        <f ca="1">IF(B436="+","Unit",IF(ISERROR(OFFSET('HARGA SATUAN'!$E$6,MATCH(RAB!C436,'HARGA SATUAN'!$C$7:$C$1492,0),0)),"",OFFSET('HARGA SATUAN'!$E$6,MATCH(RAB!C436,'HARGA SATUAN'!$C$7:$C$1492,0),0)))</f>
        <v>Unit</v>
      </c>
      <c r="F436" s="489">
        <f>F431*1</f>
        <v>1</v>
      </c>
      <c r="G436" s="358">
        <f ca="1">IF(ISERROR(OFFSET('HARGA SATUAN'!$I$6,MATCH(RAB!C436,'HARGA SATUAN'!$C$7:$C$1492,0),0)),0,OFFSET('HARGA SATUAN'!$I$6,MATCH(RAB!C436,'HARGA SATUAN'!$C$7:$C$1492,0),0))</f>
        <v>56400</v>
      </c>
      <c r="H436" s="359">
        <f t="shared" ca="1" si="52"/>
        <v>0</v>
      </c>
      <c r="I436" s="359">
        <f t="shared" ca="1" si="53"/>
        <v>0</v>
      </c>
      <c r="J436" s="359">
        <f t="shared" ca="1" si="54"/>
        <v>56400</v>
      </c>
      <c r="K436" s="360">
        <f t="shared" ca="1" si="55"/>
        <v>56400</v>
      </c>
      <c r="L436" s="367"/>
      <c r="M436" s="367"/>
      <c r="N436" s="367"/>
      <c r="O436" s="361"/>
      <c r="P436" s="361"/>
      <c r="Q436" s="344"/>
      <c r="R436" s="336"/>
      <c r="S436" s="362"/>
      <c r="T436" s="341"/>
      <c r="U436" s="341"/>
      <c r="V436" s="341"/>
    </row>
    <row r="437" spans="1:22">
      <c r="B437" s="370"/>
      <c r="C437" s="491"/>
      <c r="D437" s="356" t="str">
        <f ca="1">IF(ISERROR(OFFSET('HARGA SATUAN'!$D$6,MATCH(RAB!C437,'HARGA SATUAN'!$C$7:$C$1492,0),0)),"",OFFSET('HARGA SATUAN'!$D$6,MATCH(RAB!C437,'HARGA SATUAN'!$C$7:$C$1492,0),0))</f>
        <v/>
      </c>
      <c r="E437" s="357" t="str">
        <f ca="1">IF(B437="+","Unit",IF(ISERROR(OFFSET('HARGA SATUAN'!$E$6,MATCH(RAB!C437,'HARGA SATUAN'!$C$7:$C$1492,0),0)),"",OFFSET('HARGA SATUAN'!$E$6,MATCH(RAB!C437,'HARGA SATUAN'!$C$7:$C$1492,0),0)))</f>
        <v/>
      </c>
      <c r="F437" s="366"/>
      <c r="G437" s="358">
        <f ca="1">IF(ISERROR(OFFSET('HARGA SATUAN'!$I$6,MATCH(RAB!C437,'HARGA SATUAN'!$C$7:$C$1492,0),0)),0,OFFSET('HARGA SATUAN'!$I$6,MATCH(RAB!C437,'HARGA SATUAN'!$C$7:$C$1492,0),0))</f>
        <v>0</v>
      </c>
      <c r="H437" s="359">
        <f t="shared" ref="H437:H438" ca="1" si="56">IF(OR(D437="MDU",D437="MDU-KD"),(IF($O$3="RAB NON MDU","PLN KD",G437*F437)),0)</f>
        <v>0</v>
      </c>
      <c r="I437" s="359">
        <f t="shared" ref="I437:I438" ca="1" si="57">IF(D437="HDW",G437*F437,0)</f>
        <v>0</v>
      </c>
      <c r="J437" s="359">
        <f t="shared" ref="J437:J438" ca="1" si="58">IF(D437="JASA",G437*F437,0)</f>
        <v>0</v>
      </c>
      <c r="K437" s="360">
        <f t="shared" ref="K437:K438" ca="1" si="59">SUM(H437:J437)</f>
        <v>0</v>
      </c>
    </row>
    <row r="438" spans="1:22">
      <c r="B438" s="692" t="s">
        <v>1035</v>
      </c>
      <c r="C438" s="710" t="s">
        <v>1675</v>
      </c>
      <c r="D438" s="356" t="str">
        <f ca="1">IF(ISERROR(OFFSET('HARGA SATUAN'!$D$6,MATCH(RAB!C438,'HARGA SATUAN'!$C$7:$C$1492,0),0)),"",OFFSET('HARGA SATUAN'!$D$6,MATCH(RAB!C438,'HARGA SATUAN'!$C$7:$C$1492,0),0))</f>
        <v/>
      </c>
      <c r="E438" s="357" t="str">
        <f ca="1">IF(B438="+","Unit",IF(ISERROR(OFFSET('HARGA SATUAN'!$E$6,MATCH(RAB!C438,'HARGA SATUAN'!$C$7:$C$1492,0),0)),"",OFFSET('HARGA SATUAN'!$E$6,MATCH(RAB!C438,'HARGA SATUAN'!$C$7:$C$1492,0),0)))</f>
        <v>Unit</v>
      </c>
      <c r="F438" s="714">
        <v>1</v>
      </c>
      <c r="G438" s="358">
        <f ca="1">IF(ISERROR(OFFSET('HARGA SATUAN'!$I$6,MATCH(RAB!C438,'HARGA SATUAN'!$C$7:$C$1492,0),0)),0,OFFSET('HARGA SATUAN'!$I$6,MATCH(RAB!C438,'HARGA SATUAN'!$C$7:$C$1492,0),0))</f>
        <v>0</v>
      </c>
      <c r="H438" s="359">
        <f t="shared" ca="1" si="56"/>
        <v>0</v>
      </c>
      <c r="I438" s="359">
        <f t="shared" ca="1" si="57"/>
        <v>0</v>
      </c>
      <c r="J438" s="359">
        <f t="shared" ca="1" si="58"/>
        <v>0</v>
      </c>
      <c r="K438" s="360">
        <f t="shared" ca="1" si="59"/>
        <v>0</v>
      </c>
    </row>
    <row r="439" spans="1:22">
      <c r="B439" s="692">
        <v>1</v>
      </c>
      <c r="C439" s="710" t="s">
        <v>163</v>
      </c>
      <c r="D439" s="356" t="str">
        <f ca="1">IF(ISERROR(OFFSET('HARGA SATUAN'!$D$6,MATCH(RAB!C439,'HARGA SATUAN'!$C$7:$C$1492,0),0)),"",OFFSET('HARGA SATUAN'!$D$6,MATCH(RAB!C439,'HARGA SATUAN'!$C$7:$C$1492,0),0))</f>
        <v>HDW</v>
      </c>
      <c r="E439" s="357" t="str">
        <f ca="1">IF(B439="+","Unit",IF(ISERROR(OFFSET('HARGA SATUAN'!$E$6,MATCH(RAB!C439,'HARGA SATUAN'!$C$7:$C$1492,0),0)),"",OFFSET('HARGA SATUAN'!$E$6,MATCH(RAB!C439,'HARGA SATUAN'!$C$7:$C$1492,0),0)))</f>
        <v>Bh</v>
      </c>
      <c r="F439" s="714">
        <f>F438*4</f>
        <v>4</v>
      </c>
      <c r="G439" s="358">
        <f ca="1">IF(ISERROR(OFFSET('HARGA SATUAN'!$I$6,MATCH(RAB!C439,'HARGA SATUAN'!$C$7:$C$1492,0),0)),0,OFFSET('HARGA SATUAN'!$I$6,MATCH(RAB!C439,'HARGA SATUAN'!$C$7:$C$1492,0),0))</f>
        <v>7938</v>
      </c>
      <c r="H439" s="359">
        <f t="shared" ref="H439:H447" ca="1" si="60">IF(OR(D439="MDU",D439="MDU-KD"),(IF($O$3="RAB NON MDU","PLN KD",G439*F439)),0)</f>
        <v>0</v>
      </c>
      <c r="I439" s="359">
        <f t="shared" ref="I439:I447" ca="1" si="61">IF(D439="HDW",G439*F439,0)</f>
        <v>31752</v>
      </c>
      <c r="J439" s="359">
        <f t="shared" ref="J439:J447" ca="1" si="62">IF(D439="JASA",G439*F439,0)</f>
        <v>0</v>
      </c>
      <c r="K439" s="360">
        <f t="shared" ref="K439:K447" ca="1" si="63">SUM(H439:J439)</f>
        <v>31752</v>
      </c>
    </row>
    <row r="440" spans="1:22">
      <c r="B440" s="692">
        <v>2</v>
      </c>
      <c r="C440" s="710" t="s">
        <v>593</v>
      </c>
      <c r="D440" s="356" t="str">
        <f ca="1">IF(ISERROR(OFFSET('HARGA SATUAN'!$D$6,MATCH(RAB!C440,'HARGA SATUAN'!$C$7:$C$1492,0),0)),"",OFFSET('HARGA SATUAN'!$D$6,MATCH(RAB!C440,'HARGA SATUAN'!$C$7:$C$1492,0),0))</f>
        <v>HDW</v>
      </c>
      <c r="E440" s="357" t="str">
        <f ca="1">IF(B440="+","Unit",IF(ISERROR(OFFSET('HARGA SATUAN'!$E$6,MATCH(RAB!C440,'HARGA SATUAN'!$C$7:$C$1492,0),0)),"",OFFSET('HARGA SATUAN'!$E$6,MATCH(RAB!C440,'HARGA SATUAN'!$C$7:$C$1492,0),0)))</f>
        <v>Bh</v>
      </c>
      <c r="F440" s="714">
        <f>F438*1</f>
        <v>1</v>
      </c>
      <c r="G440" s="358">
        <f ca="1">IF(ISERROR(OFFSET('HARGA SATUAN'!$I$6,MATCH(RAB!C440,'HARGA SATUAN'!$C$7:$C$1492,0),0)),0,OFFSET('HARGA SATUAN'!$I$6,MATCH(RAB!C440,'HARGA SATUAN'!$C$7:$C$1492,0),0))</f>
        <v>380500</v>
      </c>
      <c r="H440" s="359">
        <f t="shared" ca="1" si="60"/>
        <v>0</v>
      </c>
      <c r="I440" s="359">
        <f t="shared" ca="1" si="61"/>
        <v>380500</v>
      </c>
      <c r="J440" s="359">
        <f t="shared" ca="1" si="62"/>
        <v>0</v>
      </c>
      <c r="K440" s="360">
        <f t="shared" ca="1" si="63"/>
        <v>380500</v>
      </c>
    </row>
    <row r="441" spans="1:22">
      <c r="B441" s="692">
        <v>3</v>
      </c>
      <c r="C441" s="710" t="s">
        <v>248</v>
      </c>
      <c r="D441" s="356" t="str">
        <f ca="1">IF(ISERROR(OFFSET('HARGA SATUAN'!$D$6,MATCH(RAB!C441,'HARGA SATUAN'!$C$7:$C$1492,0),0)),"",OFFSET('HARGA SATUAN'!$D$6,MATCH(RAB!C441,'HARGA SATUAN'!$C$7:$C$1492,0),0))</f>
        <v>HDW</v>
      </c>
      <c r="E441" s="357" t="str">
        <f ca="1">IF(B441="+","Unit",IF(ISERROR(OFFSET('HARGA SATUAN'!$E$6,MATCH(RAB!C441,'HARGA SATUAN'!$C$7:$C$1492,0),0)),"",OFFSET('HARGA SATUAN'!$E$6,MATCH(RAB!C441,'HARGA SATUAN'!$C$7:$C$1492,0),0)))</f>
        <v>Bh</v>
      </c>
      <c r="F441" s="714">
        <f>F438*2</f>
        <v>2</v>
      </c>
      <c r="G441" s="358">
        <f ca="1">IF(ISERROR(OFFSET('HARGA SATUAN'!$I$6,MATCH(RAB!C441,'HARGA SATUAN'!$C$7:$C$1492,0),0)),0,OFFSET('HARGA SATUAN'!$I$6,MATCH(RAB!C441,'HARGA SATUAN'!$C$7:$C$1492,0),0))</f>
        <v>60300</v>
      </c>
      <c r="H441" s="359">
        <f t="shared" ca="1" si="60"/>
        <v>0</v>
      </c>
      <c r="I441" s="359">
        <f t="shared" ca="1" si="61"/>
        <v>120600</v>
      </c>
      <c r="J441" s="359">
        <f t="shared" ca="1" si="62"/>
        <v>0</v>
      </c>
      <c r="K441" s="360">
        <f t="shared" ca="1" si="63"/>
        <v>120600</v>
      </c>
    </row>
    <row r="442" spans="1:22">
      <c r="B442" s="692">
        <v>4</v>
      </c>
      <c r="C442" s="693" t="s">
        <v>595</v>
      </c>
      <c r="D442" s="356" t="str">
        <f ca="1">IF(ISERROR(OFFSET('HARGA SATUAN'!$D$6,MATCH(RAB!C442,'HARGA SATUAN'!$C$7:$C$1492,0),0)),"",OFFSET('HARGA SATUAN'!$D$6,MATCH(RAB!C442,'HARGA SATUAN'!$C$7:$C$1492,0),0))</f>
        <v>HDW</v>
      </c>
      <c r="E442" s="357" t="str">
        <f ca="1">IF(B442="+","Unit",IF(ISERROR(OFFSET('HARGA SATUAN'!$E$6,MATCH(RAB!C442,'HARGA SATUAN'!$C$7:$C$1492,0),0)),"",OFFSET('HARGA SATUAN'!$E$6,MATCH(RAB!C442,'HARGA SATUAN'!$C$7:$C$1492,0),0)))</f>
        <v>Bh</v>
      </c>
      <c r="F442" s="489">
        <f>F438*1</f>
        <v>1</v>
      </c>
      <c r="G442" s="358">
        <f ca="1">IF(ISERROR(OFFSET('HARGA SATUAN'!$I$6,MATCH(RAB!C442,'HARGA SATUAN'!$C$7:$C$1492,0),0)),0,OFFSET('HARGA SATUAN'!$I$6,MATCH(RAB!C442,'HARGA SATUAN'!$C$7:$C$1492,0),0))</f>
        <v>78500</v>
      </c>
      <c r="H442" s="359">
        <f t="shared" ca="1" si="60"/>
        <v>0</v>
      </c>
      <c r="I442" s="359">
        <f t="shared" ca="1" si="61"/>
        <v>78500</v>
      </c>
      <c r="J442" s="359">
        <f t="shared" ca="1" si="62"/>
        <v>0</v>
      </c>
      <c r="K442" s="360">
        <f t="shared" ca="1" si="63"/>
        <v>78500</v>
      </c>
    </row>
    <row r="443" spans="1:22">
      <c r="B443" s="692">
        <v>5</v>
      </c>
      <c r="C443" s="693" t="s">
        <v>229</v>
      </c>
      <c r="D443" s="356" t="str">
        <f ca="1">IF(ISERROR(OFFSET('HARGA SATUAN'!$D$6,MATCH(RAB!C443,'HARGA SATUAN'!$C$7:$C$1492,0),0)),"",OFFSET('HARGA SATUAN'!$D$6,MATCH(RAB!C443,'HARGA SATUAN'!$C$7:$C$1492,0),0))</f>
        <v>HDW</v>
      </c>
      <c r="E443" s="357" t="str">
        <f ca="1">IF(B443="+","Unit",IF(ISERROR(OFFSET('HARGA SATUAN'!$E$6,MATCH(RAB!C443,'HARGA SATUAN'!$C$7:$C$1492,0),0)),"",OFFSET('HARGA SATUAN'!$E$6,MATCH(RAB!C443,'HARGA SATUAN'!$C$7:$C$1492,0),0)))</f>
        <v>Bh</v>
      </c>
      <c r="F443" s="489">
        <f>F438*1</f>
        <v>1</v>
      </c>
      <c r="G443" s="358">
        <f ca="1">IF(ISERROR(OFFSET('HARGA SATUAN'!$I$6,MATCH(RAB!C443,'HARGA SATUAN'!$C$7:$C$1492,0),0)),0,OFFSET('HARGA SATUAN'!$I$6,MATCH(RAB!C443,'HARGA SATUAN'!$C$7:$C$1492,0),0))</f>
        <v>4212</v>
      </c>
      <c r="H443" s="359">
        <f t="shared" ca="1" si="60"/>
        <v>0</v>
      </c>
      <c r="I443" s="359">
        <f t="shared" ca="1" si="61"/>
        <v>4212</v>
      </c>
      <c r="J443" s="359">
        <f t="shared" ca="1" si="62"/>
        <v>0</v>
      </c>
      <c r="K443" s="360">
        <f t="shared" ca="1" si="63"/>
        <v>4212</v>
      </c>
    </row>
    <row r="444" spans="1:22">
      <c r="B444" s="692">
        <v>6</v>
      </c>
      <c r="C444" s="693" t="s">
        <v>266</v>
      </c>
      <c r="D444" s="356" t="str">
        <f ca="1">IF(ISERROR(OFFSET('HARGA SATUAN'!$D$6,MATCH(RAB!C444,'HARGA SATUAN'!$C$7:$C$1492,0),0)),"",OFFSET('HARGA SATUAN'!$D$6,MATCH(RAB!C444,'HARGA SATUAN'!$C$7:$C$1492,0),0))</f>
        <v>HDW</v>
      </c>
      <c r="E444" s="357" t="str">
        <f ca="1">IF(B444="+","Unit",IF(ISERROR(OFFSET('HARGA SATUAN'!$E$6,MATCH(RAB!C444,'HARGA SATUAN'!$C$7:$C$1492,0),0)),"",OFFSET('HARGA SATUAN'!$E$6,MATCH(RAB!C444,'HARGA SATUAN'!$C$7:$C$1492,0),0)))</f>
        <v>Mtr</v>
      </c>
      <c r="F444" s="489">
        <f>F438*1</f>
        <v>1</v>
      </c>
      <c r="G444" s="358">
        <f ca="1">IF(ISERROR(OFFSET('HARGA SATUAN'!$I$6,MATCH(RAB!C444,'HARGA SATUAN'!$C$7:$C$1492,0),0)),0,OFFSET('HARGA SATUAN'!$I$6,MATCH(RAB!C444,'HARGA SATUAN'!$C$7:$C$1492,0),0))</f>
        <v>23310</v>
      </c>
      <c r="H444" s="359">
        <f t="shared" ca="1" si="60"/>
        <v>0</v>
      </c>
      <c r="I444" s="359">
        <f t="shared" ca="1" si="61"/>
        <v>23310</v>
      </c>
      <c r="J444" s="359">
        <f t="shared" ca="1" si="62"/>
        <v>0</v>
      </c>
      <c r="K444" s="360">
        <f t="shared" ca="1" si="63"/>
        <v>23310</v>
      </c>
    </row>
    <row r="445" spans="1:22">
      <c r="B445" s="692">
        <v>7</v>
      </c>
      <c r="C445" s="693" t="s">
        <v>35</v>
      </c>
      <c r="D445" s="356" t="str">
        <f ca="1">IF(ISERROR(OFFSET('HARGA SATUAN'!$D$6,MATCH(RAB!C445,'HARGA SATUAN'!$C$7:$C$1492,0),0)),"",OFFSET('HARGA SATUAN'!$D$6,MATCH(RAB!C445,'HARGA SATUAN'!$C$7:$C$1492,0),0))</f>
        <v>HDW</v>
      </c>
      <c r="E445" s="357" t="str">
        <f ca="1">IF(B445="+","Unit",IF(ISERROR(OFFSET('HARGA SATUAN'!$E$6,MATCH(RAB!C445,'HARGA SATUAN'!$C$7:$C$1492,0),0)),"",OFFSET('HARGA SATUAN'!$E$6,MATCH(RAB!C445,'HARGA SATUAN'!$C$7:$C$1492,0),0)))</f>
        <v>Bh</v>
      </c>
      <c r="F445" s="489">
        <f>F438*1</f>
        <v>1</v>
      </c>
      <c r="G445" s="358">
        <f ca="1">IF(ISERROR(OFFSET('HARGA SATUAN'!$I$6,MATCH(RAB!C445,'HARGA SATUAN'!$C$7:$C$1492,0),0)),0,OFFSET('HARGA SATUAN'!$I$6,MATCH(RAB!C445,'HARGA SATUAN'!$C$7:$C$1492,0),0))</f>
        <v>2300</v>
      </c>
      <c r="H445" s="359">
        <f t="shared" ca="1" si="60"/>
        <v>0</v>
      </c>
      <c r="I445" s="359">
        <f t="shared" ca="1" si="61"/>
        <v>2300</v>
      </c>
      <c r="J445" s="359">
        <f t="shared" ca="1" si="62"/>
        <v>0</v>
      </c>
      <c r="K445" s="360">
        <f t="shared" ca="1" si="63"/>
        <v>2300</v>
      </c>
    </row>
    <row r="446" spans="1:22">
      <c r="B446" s="370"/>
      <c r="C446" s="491"/>
      <c r="D446" s="356" t="str">
        <f ca="1">IF(ISERROR(OFFSET('HARGA SATUAN'!$D$6,MATCH(RAB!C446,'HARGA SATUAN'!$C$7:$C$1492,0),0)),"",OFFSET('HARGA SATUAN'!$D$6,MATCH(RAB!C446,'HARGA SATUAN'!$C$7:$C$1492,0),0))</f>
        <v/>
      </c>
      <c r="E446" s="357" t="str">
        <f ca="1">IF(B446="+","Unit",IF(ISERROR(OFFSET('HARGA SATUAN'!$E$6,MATCH(RAB!C446,'HARGA SATUAN'!$C$7:$C$1492,0),0)),"",OFFSET('HARGA SATUAN'!$E$6,MATCH(RAB!C446,'HARGA SATUAN'!$C$7:$C$1492,0),0)))</f>
        <v/>
      </c>
      <c r="F446" s="366"/>
      <c r="G446" s="358">
        <f ca="1">IF(ISERROR(OFFSET('HARGA SATUAN'!$I$6,MATCH(RAB!C446,'HARGA SATUAN'!$C$7:$C$1492,0),0)),0,OFFSET('HARGA SATUAN'!$I$6,MATCH(RAB!C446,'HARGA SATUAN'!$C$7:$C$1492,0),0))</f>
        <v>0</v>
      </c>
      <c r="H446" s="359">
        <f t="shared" ca="1" si="60"/>
        <v>0</v>
      </c>
      <c r="I446" s="359">
        <f t="shared" ca="1" si="61"/>
        <v>0</v>
      </c>
      <c r="J446" s="359">
        <f t="shared" ca="1" si="62"/>
        <v>0</v>
      </c>
      <c r="K446" s="360">
        <f t="shared" ca="1" si="63"/>
        <v>0</v>
      </c>
    </row>
    <row r="447" spans="1:22">
      <c r="B447" s="364" t="s">
        <v>22</v>
      </c>
      <c r="C447" s="365" t="s">
        <v>1612</v>
      </c>
      <c r="D447" s="356" t="str">
        <f ca="1">IF(ISERROR(OFFSET('HARGA SATUAN'!$D$6,MATCH(RAB!C447,'HARGA SATUAN'!$C$7:$C$1492,0),0)),"",OFFSET('HARGA SATUAN'!$D$6,MATCH(RAB!C447,'HARGA SATUAN'!$C$7:$C$1492,0),0))</f>
        <v/>
      </c>
      <c r="E447" s="357" t="str">
        <f ca="1">IF(B447="+","Unit",IF(ISERROR(OFFSET('HARGA SATUAN'!$E$6,MATCH(RAB!C447,'HARGA SATUAN'!$C$7:$C$1492,0),0)),"",OFFSET('HARGA SATUAN'!$E$6,MATCH(RAB!C447,'HARGA SATUAN'!$C$7:$C$1492,0),0)))</f>
        <v/>
      </c>
      <c r="F447" s="366"/>
      <c r="G447" s="358">
        <f ca="1">IF(ISERROR(OFFSET('HARGA SATUAN'!$I$6,MATCH(RAB!C447,'HARGA SATUAN'!$C$7:$C$1492,0),0)),0,OFFSET('HARGA SATUAN'!$I$6,MATCH(RAB!C447,'HARGA SATUAN'!$C$7:$C$1492,0),0))</f>
        <v>0</v>
      </c>
      <c r="H447" s="359">
        <f t="shared" ca="1" si="60"/>
        <v>0</v>
      </c>
      <c r="I447" s="359">
        <f t="shared" ca="1" si="61"/>
        <v>0</v>
      </c>
      <c r="J447" s="359">
        <f t="shared" ca="1" si="62"/>
        <v>0</v>
      </c>
      <c r="K447" s="360">
        <f t="shared" ca="1" si="63"/>
        <v>0</v>
      </c>
    </row>
    <row r="448" spans="1:22">
      <c r="B448" s="370"/>
      <c r="C448" s="369"/>
      <c r="D448" s="356" t="str">
        <f ca="1">IF(ISERROR(OFFSET('HARGA SATUAN'!$D$6,MATCH(RAB!C448,'HARGA SATUAN'!$C$7:$C$1492,0),0)),"",OFFSET('HARGA SATUAN'!$D$6,MATCH(RAB!C448,'HARGA SATUAN'!$C$7:$C$1492,0),0))</f>
        <v/>
      </c>
      <c r="E448" s="357" t="str">
        <f ca="1">IF(B448="+","Unit",IF(ISERROR(OFFSET('HARGA SATUAN'!$E$6,MATCH(RAB!C448,'HARGA SATUAN'!$C$7:$C$1492,0),0)),"",OFFSET('HARGA SATUAN'!$E$6,MATCH(RAB!C448,'HARGA SATUAN'!$C$7:$C$1492,0),0)))</f>
        <v/>
      </c>
      <c r="F448" s="366"/>
      <c r="G448" s="358">
        <f ca="1">IF(ISERROR(OFFSET('HARGA SATUAN'!$I$6,MATCH(RAB!C448,'HARGA SATUAN'!$C$7:$C$1492,0),0)),0,OFFSET('HARGA SATUAN'!$I$6,MATCH(RAB!C448,'HARGA SATUAN'!$C$7:$C$1492,0),0))</f>
        <v>0</v>
      </c>
      <c r="H448" s="359">
        <f t="shared" ref="H448:H453" ca="1" si="64">IF(OR(D448="MDU",D448="MDU-KD"),(IF($O$3="RAB NON MDU","PLN KD",G448*F448)),0)</f>
        <v>0</v>
      </c>
      <c r="I448" s="359">
        <f t="shared" ref="I448:I453" ca="1" si="65">IF(D448="HDW",G448*F448,0)</f>
        <v>0</v>
      </c>
      <c r="J448" s="359">
        <f t="shared" ref="J448:J453" ca="1" si="66">IF(D448="JASA",G448*F448,0)</f>
        <v>0</v>
      </c>
      <c r="K448" s="360">
        <f t="shared" ref="K448:K453" ca="1" si="67">SUM(H448:J448)</f>
        <v>0</v>
      </c>
    </row>
    <row r="449" spans="2:13">
      <c r="B449" s="370">
        <v>1</v>
      </c>
      <c r="C449" s="742" t="s">
        <v>1677</v>
      </c>
      <c r="D449" s="743" t="s">
        <v>47</v>
      </c>
      <c r="E449" s="744" t="s">
        <v>1004</v>
      </c>
      <c r="F449" s="744">
        <v>4</v>
      </c>
      <c r="G449" s="745">
        <v>500436.36363636365</v>
      </c>
      <c r="H449" s="359">
        <f t="shared" si="64"/>
        <v>0</v>
      </c>
      <c r="I449" s="359">
        <f t="shared" si="65"/>
        <v>0</v>
      </c>
      <c r="J449" s="359">
        <f t="shared" si="66"/>
        <v>2001745.4545454546</v>
      </c>
      <c r="K449" s="360">
        <f t="shared" si="67"/>
        <v>2001745.4545454546</v>
      </c>
    </row>
    <row r="450" spans="2:13">
      <c r="B450" s="370">
        <v>2</v>
      </c>
      <c r="C450" s="109" t="s">
        <v>434</v>
      </c>
      <c r="D450" s="356" t="str">
        <f ca="1">IF(ISERROR(OFFSET('HARGA SATUAN'!$D$6,MATCH(RAB!C450,'HARGA SATUAN'!$C$7:$C$1492,0),0)),"",OFFSET('HARGA SATUAN'!$D$6,MATCH(RAB!C450,'HARGA SATUAN'!$C$7:$C$1492,0),0))</f>
        <v>JASA</v>
      </c>
      <c r="E450" s="357" t="str">
        <f ca="1">IF(B450="+","Unit",IF(ISERROR(OFFSET('HARGA SATUAN'!$E$6,MATCH(RAB!C450,'HARGA SATUAN'!$C$7:$C$1492,0),0)),"",OFFSET('HARGA SATUAN'!$E$6,MATCH(RAB!C450,'HARGA SATUAN'!$C$7:$C$1492,0),0)))</f>
        <v>Btg</v>
      </c>
      <c r="F450" s="366">
        <v>2</v>
      </c>
      <c r="G450" s="358">
        <f ca="1">IF(ISERROR(OFFSET('HARGA SATUAN'!$I$6,MATCH(RAB!C450,'HARGA SATUAN'!$C$7:$C$1492,0),0)),0,OFFSET('HARGA SATUAN'!$I$6,MATCH(RAB!C450,'HARGA SATUAN'!$C$7:$C$1492,0),0))</f>
        <v>438273.42456634069</v>
      </c>
      <c r="H450" s="359">
        <f t="shared" ca="1" si="64"/>
        <v>0</v>
      </c>
      <c r="I450" s="359">
        <f t="shared" ca="1" si="65"/>
        <v>0</v>
      </c>
      <c r="J450" s="359">
        <f t="shared" ca="1" si="66"/>
        <v>876546.84913268138</v>
      </c>
      <c r="K450" s="360">
        <f t="shared" ca="1" si="67"/>
        <v>876546.84913268138</v>
      </c>
    </row>
    <row r="451" spans="2:13">
      <c r="B451" s="370">
        <v>3</v>
      </c>
      <c r="C451" s="742" t="s">
        <v>1101</v>
      </c>
      <c r="D451" s="743" t="s">
        <v>47</v>
      </c>
      <c r="E451" s="744" t="s">
        <v>14</v>
      </c>
      <c r="F451" s="744">
        <v>6</v>
      </c>
      <c r="G451" s="745">
        <v>225000</v>
      </c>
      <c r="H451" s="359">
        <f t="shared" si="64"/>
        <v>0</v>
      </c>
      <c r="I451" s="359">
        <f t="shared" si="65"/>
        <v>0</v>
      </c>
      <c r="J451" s="359">
        <f t="shared" si="66"/>
        <v>1350000</v>
      </c>
      <c r="K451" s="360">
        <f t="shared" si="67"/>
        <v>1350000</v>
      </c>
    </row>
    <row r="452" spans="2:13">
      <c r="B452" s="370"/>
      <c r="C452" s="369"/>
      <c r="D452" s="356" t="str">
        <f ca="1">IF(ISERROR(OFFSET('HARGA SATUAN'!$D$6,MATCH(RAB!C452,'HARGA SATUAN'!$C$7:$C$1492,0),0)),"",OFFSET('HARGA SATUAN'!$D$6,MATCH(RAB!C452,'HARGA SATUAN'!$C$7:$C$1492,0),0))</f>
        <v/>
      </c>
      <c r="E452" s="357" t="str">
        <f ca="1">IF(B452="+","Unit",IF(ISERROR(OFFSET('HARGA SATUAN'!$E$6,MATCH(RAB!C452,'HARGA SATUAN'!$C$7:$C$1492,0),0)),"",OFFSET('HARGA SATUAN'!$E$6,MATCH(RAB!C452,'HARGA SATUAN'!$C$7:$C$1492,0),0)))</f>
        <v/>
      </c>
      <c r="F452" s="366"/>
      <c r="G452" s="358">
        <f ca="1">IF(ISERROR(OFFSET('HARGA SATUAN'!$I$6,MATCH(RAB!C452,'HARGA SATUAN'!$C$7:$C$1492,0),0)),0,OFFSET('HARGA SATUAN'!$I$6,MATCH(RAB!C452,'HARGA SATUAN'!$C$7:$C$1492,0),0))</f>
        <v>0</v>
      </c>
      <c r="H452" s="359">
        <f t="shared" ca="1" si="64"/>
        <v>0</v>
      </c>
      <c r="I452" s="359">
        <f t="shared" ca="1" si="65"/>
        <v>0</v>
      </c>
      <c r="J452" s="359">
        <f t="shared" ca="1" si="66"/>
        <v>0</v>
      </c>
      <c r="K452" s="360">
        <f t="shared" ca="1" si="67"/>
        <v>0</v>
      </c>
    </row>
    <row r="453" spans="2:13">
      <c r="B453" s="371"/>
      <c r="C453" s="372" t="s">
        <v>475</v>
      </c>
      <c r="D453" s="356" t="str">
        <f ca="1">IF(ISERROR(OFFSET('HARGA SATUAN'!$D$6,MATCH(RAB!C453,'HARGA SATUAN'!$C$7:$C$1492,0),0)),"",OFFSET('HARGA SATUAN'!$D$6,MATCH(RAB!C453,'HARGA SATUAN'!$C$7:$C$1492,0),0))</f>
        <v/>
      </c>
      <c r="E453" s="357" t="str">
        <f ca="1">IF(B453="+","Unit",IF(ISERROR(OFFSET('HARGA SATUAN'!$E$6,MATCH(RAB!C453,'HARGA SATUAN'!$C$7:$C$1492,0),0)),"",OFFSET('HARGA SATUAN'!$E$6,MATCH(RAB!C453,'HARGA SATUAN'!$C$7:$C$1492,0),0)))</f>
        <v/>
      </c>
      <c r="F453" s="366"/>
      <c r="G453" s="358">
        <f ca="1">IF(ISERROR(OFFSET('HARGA SATUAN'!$I$6,MATCH(RAB!C453,'HARGA SATUAN'!$C$7:$C$1492,0),0)),0,OFFSET('HARGA SATUAN'!$I$6,MATCH(RAB!C453,'HARGA SATUAN'!$C$7:$C$1492,0),0))</f>
        <v>0</v>
      </c>
      <c r="H453" s="359">
        <f t="shared" ca="1" si="64"/>
        <v>0</v>
      </c>
      <c r="I453" s="359">
        <f t="shared" ca="1" si="65"/>
        <v>0</v>
      </c>
      <c r="J453" s="359">
        <f t="shared" ca="1" si="66"/>
        <v>0</v>
      </c>
      <c r="K453" s="360">
        <f t="shared" ca="1" si="67"/>
        <v>0</v>
      </c>
    </row>
    <row r="454" spans="2:13">
      <c r="B454" s="374">
        <v>1</v>
      </c>
      <c r="C454" s="375" t="s">
        <v>1091</v>
      </c>
      <c r="D454" s="376" t="str">
        <f ca="1">IF(ISERROR(OFFSET('HARGA SATUAN'!$D$6,MATCH(RAB!C454,'HARGA SATUAN'!$C$7:$C$1492,0),0)),"",OFFSET('HARGA SATUAN'!$D$6,MATCH(RAB!C454,'HARGA SATUAN'!$C$7:$C$1492,0),0))</f>
        <v>JASA</v>
      </c>
      <c r="E454" s="377" t="str">
        <f ca="1">IF(ISERROR(OFFSET('HARGA SATUAN'!$E$6,MATCH(RAB!C454,'HARGA SATUAN'!$C$7:$C$1492,0),0)),"",OFFSET('HARGA SATUAN'!$E$6,MATCH(RAB!C454,'HARGA SATUAN'!$C$7:$C$1492,0),0))</f>
        <v>Lot</v>
      </c>
      <c r="F454" s="378">
        <v>1</v>
      </c>
      <c r="G454" s="379">
        <f ca="1">IF(ISERROR(OFFSET('HARGA SATUAN'!$I$6,MATCH(RAB!C454,'HARGA SATUAN'!$C$7:$C$1492,0),0)),0,OFFSET('HARGA SATUAN'!$I$6,MATCH(RAB!C454,'HARGA SATUAN'!$C$7:$C$1492,0),0))</f>
        <v>2.5000000000000001E-2</v>
      </c>
      <c r="H454" s="380">
        <f ca="1">SUM(H14:H453)*G454</f>
        <v>6929437.5</v>
      </c>
      <c r="I454" s="380">
        <f ca="1">SUM(I14:I453)*G454</f>
        <v>4729557.088333332</v>
      </c>
      <c r="J454" s="380">
        <f ca="1">SUM(J14:J453)*G454</f>
        <v>715995.1409252868</v>
      </c>
      <c r="K454" s="381">
        <f ca="1">SUM(H454:J454)</f>
        <v>12374989.729258617</v>
      </c>
    </row>
    <row r="455" spans="2:13">
      <c r="B455" s="382"/>
      <c r="C455" s="383"/>
      <c r="D455" s="356" t="str">
        <f ca="1">IF(ISERROR(OFFSET('HARGA SATUAN'!$D$6,MATCH(RAB!C455,'HARGA SATUAN'!$C$7:$C$1492,0),0)),"",OFFSET('HARGA SATUAN'!$D$6,MATCH(RAB!C455,'HARGA SATUAN'!$C$7:$C$1492,0),0))</f>
        <v/>
      </c>
      <c r="E455" s="357" t="str">
        <f ca="1">IF(ISERROR(OFFSET('HARGA SATUAN'!$E$6,MATCH(RAB!C455,'HARGA SATUAN'!$C$7:$C$1492,0),0)),"",OFFSET('HARGA SATUAN'!$E$6,MATCH(RAB!C455,'HARGA SATUAN'!$C$7:$C$1492,0),0))</f>
        <v/>
      </c>
      <c r="F455" s="373"/>
      <c r="G455" s="358" t="str">
        <f ca="1">IF(ISERROR(OFFSET('HARGA SATUAN'!$I$6,MATCH(RAB!C455,'HARGA SATUAN'!$C$7:$C$1492,0),0)),"",OFFSET('HARGA SATUAN'!$I$6,MATCH(RAB!C455,'HARGA SATUAN'!$C$7:$C$1492,0),0))</f>
        <v/>
      </c>
      <c r="H455" s="359">
        <f ca="1">IF(OR(D455="MDU",D455="MDU-KD"),IF(G455="PLN",0,G455*F455),0)</f>
        <v>0</v>
      </c>
      <c r="I455" s="359">
        <f ca="1">IF(D455="HDW",IF(G455="PLN",0,G455*F455),0)</f>
        <v>0</v>
      </c>
      <c r="J455" s="359">
        <f ca="1">IF(D455="JASA",IF(G455="PLN",0,G455*F455),0)</f>
        <v>0</v>
      </c>
      <c r="K455" s="360">
        <f ca="1">SUM(H455:J455)</f>
        <v>0</v>
      </c>
    </row>
    <row r="456" spans="2:13" ht="15.75" thickBot="1">
      <c r="B456" s="384"/>
      <c r="C456" s="385"/>
      <c r="D456" s="386"/>
      <c r="E456" s="387"/>
      <c r="F456" s="387"/>
      <c r="G456" s="387"/>
      <c r="H456" s="388"/>
      <c r="I456" s="388"/>
      <c r="J456" s="388"/>
      <c r="K456" s="389"/>
    </row>
    <row r="457" spans="2:13">
      <c r="B457" s="390"/>
      <c r="C457" s="612" t="s">
        <v>1008</v>
      </c>
      <c r="D457" s="612"/>
      <c r="E457" s="612"/>
      <c r="F457" s="612"/>
      <c r="G457" s="391" t="s">
        <v>9</v>
      </c>
      <c r="H457" s="392">
        <f ca="1">SUM(H14:H455)</f>
        <v>284106937.5</v>
      </c>
      <c r="I457" s="392">
        <f ca="1">SUM(I14:I455)</f>
        <v>193911840.62166661</v>
      </c>
      <c r="J457" s="392">
        <f ca="1">SUM(J14:J455)</f>
        <v>29355800.777936757</v>
      </c>
      <c r="K457" s="392">
        <f ca="1">SUM(K14:K455)</f>
        <v>507374578.89960337</v>
      </c>
    </row>
    <row r="458" spans="2:13">
      <c r="B458" s="393"/>
      <c r="C458" s="595" t="s">
        <v>1457</v>
      </c>
      <c r="D458" s="595"/>
      <c r="E458" s="595"/>
      <c r="F458" s="595"/>
      <c r="G458" s="394" t="s">
        <v>9</v>
      </c>
      <c r="H458" s="395">
        <f ca="1">H457*0.11</f>
        <v>31251763.125</v>
      </c>
      <c r="I458" s="395">
        <f ca="1">I457*0.11</f>
        <v>21330302.468383327</v>
      </c>
      <c r="J458" s="395">
        <f ca="1">J457*0.11</f>
        <v>3229138.0855730432</v>
      </c>
      <c r="K458" s="395">
        <f ca="1">K457*0.11</f>
        <v>55811203.678956367</v>
      </c>
    </row>
    <row r="459" spans="2:13" ht="15.75" thickBot="1">
      <c r="B459" s="393"/>
      <c r="C459" s="593" t="s">
        <v>463</v>
      </c>
      <c r="D459" s="593"/>
      <c r="E459" s="593"/>
      <c r="F459" s="593"/>
      <c r="G459" s="396" t="s">
        <v>9</v>
      </c>
      <c r="H459" s="397">
        <f ca="1">SUM(H457:H458)</f>
        <v>315358700.625</v>
      </c>
      <c r="I459" s="397">
        <f ca="1">SUM(I457:I458)</f>
        <v>215242143.09004992</v>
      </c>
      <c r="J459" s="396">
        <f ca="1">SUM(J457:J458)</f>
        <v>32584938.8635098</v>
      </c>
      <c r="K459" s="396">
        <f ca="1">SUM(K457:K458)</f>
        <v>563185782.57855976</v>
      </c>
      <c r="M459" s="479"/>
    </row>
    <row r="460" spans="2:13">
      <c r="B460" s="596" t="str">
        <f ca="1">"Terbilang : "&amp;PROPER(IF(K459=0,"nol",IF(K459&lt;0,"minus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IF(--MID(TEXT(ABS(K459),"000000000000000"),1,3)=0,"",MID(TEXT(ABS(K459),"000000000000000"),1,1)&amp;" ratus "&amp;MID(TEXT(ABS(K459),"000000000000000"),2,1)&amp;" puluh "&amp;MID(TEXT(ABS(K459),"000000000000000"),3,1)&amp;" trilyun ")&amp; IF(--MID(TEXT(ABS(K459),"000000000000000"),4,3)=0,"",MID(TEXT(ABS(K459),"000000000000000"),4,1)&amp;" ratus "&amp;MID(TEXT(ABS(K459),"000000000000000"),5,1)&amp;" puluh "&amp;MID(TEXT(ABS(K459),"000000000000000"),6,1)&amp;" milyar ")&amp; IF(--MID(TEXT(ABS(K459),"000000000000000"),7,3)=0,"",MID(TEXT(ABS(K459),"000000000000000"),7,1)&amp;" ratus "&amp;MID(TEXT(ABS(K459),"000000000000000"),8,1)&amp;" puluh "&amp;MID(TEXT(ABS(K459),"000000000000000"),9,1)&amp;" juta ")&amp; IF(--MID(TEXT(ABS(K459),"000000000000000"),10,3)=0,"",IF(--MID(TEXT(ABS(K459),"000000000000000"),10,3)=1,"*",MID(TEXT(ABS(K459),"000000000000000"),10,1)&amp;" ratus "&amp;MID(TEXT(ABS(K459),"000000000000000"),11,1)&amp;" puluh ")&amp;MID(TEXT(ABS(K459),"000000000000000"),12,1)&amp;" ribu ")&amp; IF(--MID(TEXT(ABS(K459),"000000000000000"),13,3)=0,"",MID(TEXT(ABS(K459),"000000000000000"),13,1)&amp;" ratus "&amp;MID(TEXT(ABS(K459),"000000000000000"),14,1)&amp;" puluh "&amp;MID(TEXT(ABS(K459),"000000000000000"),15,1)),1,"satu"),2,"dua"),3,"tiga"),4,"empat"),5,"lima"),6,"enam"),7,"tujuh"),8,"delapan"),9,"sembilan"),"0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Ratus Enam Puluh Tiga Juta Seratus Delapan Puluh Lima Ribu Tujuh Ratus Delapan Puluh Tiga Rupiah</v>
      </c>
      <c r="C460" s="597"/>
      <c r="D460" s="597"/>
      <c r="E460" s="597"/>
      <c r="F460" s="597"/>
      <c r="G460" s="597"/>
      <c r="H460" s="597"/>
      <c r="I460" s="597"/>
      <c r="J460" s="597"/>
      <c r="K460" s="598"/>
    </row>
    <row r="461" spans="2:13">
      <c r="B461" s="599"/>
      <c r="C461" s="600"/>
      <c r="D461" s="600"/>
      <c r="E461" s="600"/>
      <c r="F461" s="600"/>
      <c r="G461" s="600"/>
      <c r="H461" s="600"/>
      <c r="I461" s="600"/>
      <c r="J461" s="600"/>
      <c r="K461" s="601"/>
    </row>
    <row r="462" spans="2:13" ht="15.75" thickBot="1">
      <c r="B462" s="398" t="str">
        <f>"Harga yang dipakai adalah "&amp;'HARGA SATUAN'!I5&amp;""</f>
        <v>Harga yang dipakai adalah RAB HSS 2023</v>
      </c>
      <c r="C462" s="399"/>
      <c r="D462" s="400"/>
      <c r="E462" s="400"/>
      <c r="F462" s="400"/>
      <c r="G462" s="401"/>
      <c r="H462" s="401"/>
      <c r="I462" s="401"/>
      <c r="J462" s="401"/>
      <c r="K462" s="402"/>
    </row>
    <row r="463" spans="2:13">
      <c r="C463" s="403"/>
      <c r="E463" s="405"/>
      <c r="F463" s="405"/>
      <c r="G463" s="405"/>
    </row>
    <row r="464" spans="2:13">
      <c r="C464" s="337"/>
      <c r="E464" s="405"/>
      <c r="F464" s="405"/>
      <c r="G464" s="405"/>
      <c r="H464" s="602"/>
      <c r="I464" s="602"/>
      <c r="J464" s="603"/>
      <c r="K464" s="603"/>
    </row>
    <row r="465" spans="3:11">
      <c r="C465" s="337"/>
      <c r="E465" s="405"/>
      <c r="F465" s="405"/>
      <c r="G465" s="405"/>
      <c r="H465" s="406"/>
      <c r="I465" s="592" t="s">
        <v>1610</v>
      </c>
      <c r="J465" s="592"/>
      <c r="K465" s="592"/>
    </row>
    <row r="466" spans="3:11">
      <c r="C466" s="337"/>
      <c r="E466" s="405"/>
      <c r="F466" s="405"/>
      <c r="G466" s="405"/>
      <c r="H466" s="406"/>
      <c r="I466" s="592" t="s">
        <v>1546</v>
      </c>
      <c r="J466" s="592"/>
      <c r="K466" s="592"/>
    </row>
    <row r="467" spans="3:11">
      <c r="C467" s="337"/>
      <c r="E467" s="405"/>
      <c r="F467" s="405"/>
      <c r="G467" s="405"/>
      <c r="H467" s="407"/>
      <c r="I467" s="408"/>
      <c r="J467" s="408"/>
      <c r="K467" s="408"/>
    </row>
    <row r="468" spans="3:11">
      <c r="C468" s="337"/>
      <c r="E468" s="405"/>
      <c r="F468" s="405"/>
      <c r="G468" s="405"/>
      <c r="H468" s="407"/>
      <c r="I468" s="407"/>
      <c r="J468" s="407"/>
      <c r="K468" s="407"/>
    </row>
    <row r="469" spans="3:11">
      <c r="C469" s="337"/>
      <c r="E469" s="405"/>
      <c r="F469" s="405"/>
      <c r="G469" s="405"/>
      <c r="H469" s="407"/>
      <c r="I469" s="407"/>
      <c r="J469" s="407"/>
      <c r="K469" s="407"/>
    </row>
    <row r="470" spans="3:11">
      <c r="C470" s="337"/>
      <c r="E470" s="405"/>
      <c r="F470" s="405"/>
      <c r="G470" s="405"/>
      <c r="H470" s="407"/>
      <c r="I470" s="407"/>
      <c r="J470" s="407"/>
      <c r="K470" s="407"/>
    </row>
    <row r="471" spans="3:11">
      <c r="C471" s="337"/>
      <c r="E471" s="405"/>
      <c r="F471" s="405"/>
      <c r="G471" s="405"/>
      <c r="H471" s="409"/>
      <c r="I471" s="592" t="s">
        <v>1547</v>
      </c>
      <c r="J471" s="592"/>
      <c r="K471" s="592"/>
    </row>
    <row r="472" spans="3:11">
      <c r="C472" s="403"/>
      <c r="E472" s="405"/>
      <c r="F472" s="405"/>
      <c r="G472" s="405"/>
      <c r="H472" s="407"/>
      <c r="I472" s="407"/>
      <c r="J472" s="407"/>
      <c r="K472" s="407"/>
    </row>
    <row r="473" spans="3:11">
      <c r="C473" s="403"/>
      <c r="E473" s="405"/>
      <c r="F473" s="405"/>
      <c r="G473" s="405"/>
      <c r="H473" s="407"/>
      <c r="I473" s="407"/>
      <c r="J473" s="407"/>
      <c r="K473" s="407"/>
    </row>
    <row r="474" spans="3:11">
      <c r="C474" s="403"/>
      <c r="E474" s="405"/>
      <c r="F474" s="405"/>
      <c r="G474" s="405"/>
      <c r="H474" s="407"/>
      <c r="I474" s="407"/>
      <c r="J474" s="407"/>
      <c r="K474" s="407"/>
    </row>
  </sheetData>
  <sheetProtection sort="0" autoFilter="0"/>
  <protectedRanges>
    <protectedRange sqref="B437:B446 B448:B452" name="Range1_1"/>
    <protectedRange sqref="F437:F448 F450 F452:F453" name="Range1_1_2_2"/>
    <protectedRange sqref="C448 C437:C446 C452" name="Range1_1_1"/>
    <protectedRange sqref="B389:C389 B424:C427 B415:C418 B414 B420:C421 B419 B430 B423 B412:C413 B428 B429:C429" name="Range1_26"/>
    <protectedRange sqref="C414" name="Range1_4"/>
    <protectedRange sqref="C419" name="Range1_5"/>
    <protectedRange sqref="C423" name="Range1_7"/>
    <protectedRange sqref="B390 B391:C393 C403 B395:C397 B394 B398:B411" name="Range1_26_1"/>
    <protectedRange sqref="B318:C318 B109:C109 B201:C201" name="Range1_6_1"/>
    <protectedRange sqref="C323 C235 C142" name="Range1_1_2"/>
    <protectedRange sqref="C324 C236 C143" name="Range1_3"/>
    <protectedRange sqref="C325" name="Range1_1_3"/>
    <protectedRange sqref="F388" name="Range1_1_3_1"/>
    <protectedRange sqref="F389:F429" name="Range1_1_5"/>
    <protectedRange sqref="F430" name="Range1_1_5_1"/>
    <protectedRange sqref="C40 C148:C149 C188 C241:C242 C257:C258 C305 C330:C331 C76:C77 C164:C165 C281:C282 C369" name="Range1_1_3_2"/>
    <protectedRange sqref="C41" name="Range1_1_3_3"/>
    <protectedRange sqref="F18" name="Range1_1_3_5"/>
    <protectedRange sqref="C332" name="Range1_1_3_6"/>
    <protectedRange sqref="C259" name="Range1_1_3_7"/>
    <protectedRange sqref="C78 C166 C283" name="Range1_1_3_8"/>
    <protectedRange sqref="C56" name="Range1_1_3_9"/>
    <protectedRange sqref="C354" name="Range1_1_3_2_1"/>
    <protectedRange sqref="C394" name="Range1_1_3_11"/>
    <protectedRange sqref="C398" name="Range1_1_3_12"/>
    <protectedRange sqref="C428" name="Range1_1_3_14"/>
    <protectedRange sqref="G449" name="Range1_3_7"/>
    <protectedRange sqref="C450" name="Range1_1_3_15"/>
    <protectedRange sqref="G451" name="Range1_3_7_1"/>
  </protectedRanges>
  <mergeCells count="22">
    <mergeCell ref="O3:P4"/>
    <mergeCell ref="B4:K4"/>
    <mergeCell ref="C457:F457"/>
    <mergeCell ref="B11:B13"/>
    <mergeCell ref="C11:C13"/>
    <mergeCell ref="D11:D13"/>
    <mergeCell ref="E11:E13"/>
    <mergeCell ref="F11:F13"/>
    <mergeCell ref="G11:G13"/>
    <mergeCell ref="I12:I13"/>
    <mergeCell ref="I466:K466"/>
    <mergeCell ref="I471:K471"/>
    <mergeCell ref="C459:F459"/>
    <mergeCell ref="G6:K6"/>
    <mergeCell ref="I465:K465"/>
    <mergeCell ref="C458:F458"/>
    <mergeCell ref="B460:K461"/>
    <mergeCell ref="H464:K464"/>
    <mergeCell ref="H11:K11"/>
    <mergeCell ref="H12:H13"/>
    <mergeCell ref="J12:J13"/>
    <mergeCell ref="K12:K13"/>
  </mergeCells>
  <phoneticPr fontId="135" type="noConversion"/>
  <conditionalFormatting sqref="C447">
    <cfRule type="cellIs" dxfId="73" priority="87" operator="equal">
      <formula>0</formula>
    </cfRule>
  </conditionalFormatting>
  <conditionalFormatting sqref="E1:E3 G1:G13 H12:I12 O13 E454:G454 H454:K456 E455:H455 E456:F456 F134:F162 F105:F114 F122:F128 F373:F380 S14:V436 E5:E436 G14:K436 E437:K437 E452:K453">
    <cfRule type="cellIs" dxfId="72" priority="1175" stopIfTrue="1" operator="equal">
      <formula>0</formula>
    </cfRule>
  </conditionalFormatting>
  <conditionalFormatting sqref="E438:E445 G438:K445 E446:K448 E450:K450 H449:K449 H451:K451">
    <cfRule type="cellIs" dxfId="71" priority="83" stopIfTrue="1" operator="equal">
      <formula>0</formula>
    </cfRule>
  </conditionalFormatting>
  <conditionalFormatting sqref="G455:G65921 E460:E65921">
    <cfRule type="cellIs" dxfId="70" priority="309" stopIfTrue="1" operator="equal">
      <formula>0</formula>
    </cfRule>
  </conditionalFormatting>
  <conditionalFormatting sqref="C17:C33">
    <cfRule type="cellIs" dxfId="69" priority="77" operator="equal">
      <formula>0</formula>
    </cfRule>
  </conditionalFormatting>
  <conditionalFormatting sqref="C37:C38">
    <cfRule type="cellIs" dxfId="68" priority="76" operator="equal">
      <formula>0</formula>
    </cfRule>
  </conditionalFormatting>
  <conditionalFormatting sqref="C142:C143">
    <cfRule type="cellIs" dxfId="67" priority="71" operator="equal">
      <formula>0</formula>
    </cfRule>
  </conditionalFormatting>
  <conditionalFormatting sqref="C145">
    <cfRule type="cellIs" dxfId="66" priority="75" operator="equal">
      <formula>0</formula>
    </cfRule>
  </conditionalFormatting>
  <conditionalFormatting sqref="C223">
    <cfRule type="cellIs" dxfId="65" priority="73" operator="equal">
      <formula>0</formula>
    </cfRule>
  </conditionalFormatting>
  <conditionalFormatting sqref="C225">
    <cfRule type="cellIs" dxfId="64" priority="74" operator="equal">
      <formula>0</formula>
    </cfRule>
  </conditionalFormatting>
  <conditionalFormatting sqref="C235:C236">
    <cfRule type="cellIs" dxfId="63" priority="72" operator="equal">
      <formula>0</formula>
    </cfRule>
  </conditionalFormatting>
  <conditionalFormatting sqref="C323:C325">
    <cfRule type="cellIs" dxfId="62" priority="69" operator="equal">
      <formula>0</formula>
    </cfRule>
  </conditionalFormatting>
  <conditionalFormatting sqref="C379">
    <cfRule type="cellIs" dxfId="61" priority="68" operator="equal">
      <formula>0</formula>
    </cfRule>
  </conditionalFormatting>
  <conditionalFormatting sqref="C423">
    <cfRule type="cellIs" dxfId="60" priority="81" operator="equal">
      <formula>0</formula>
    </cfRule>
  </conditionalFormatting>
  <conditionalFormatting sqref="C430">
    <cfRule type="cellIs" dxfId="59" priority="82" operator="equal">
      <formula>0</formula>
    </cfRule>
  </conditionalFormatting>
  <conditionalFormatting sqref="F15:F17 F19:F33">
    <cfRule type="cellIs" dxfId="58" priority="67" stopIfTrue="1" operator="equal">
      <formula>0</formula>
    </cfRule>
  </conditionalFormatting>
  <conditionalFormatting sqref="F325:F328">
    <cfRule type="cellIs" dxfId="57" priority="59" stopIfTrue="1" operator="equal">
      <formula>0</formula>
    </cfRule>
  </conditionalFormatting>
  <conditionalFormatting sqref="F352">
    <cfRule type="cellIs" dxfId="56" priority="57" stopIfTrue="1" operator="equal">
      <formula>0</formula>
    </cfRule>
  </conditionalFormatting>
  <conditionalFormatting sqref="F430:F436">
    <cfRule type="cellIs" dxfId="55" priority="55" stopIfTrue="1" operator="equal">
      <formula>0</formula>
    </cfRule>
  </conditionalFormatting>
  <conditionalFormatting sqref="F34:F74 F98">
    <cfRule type="cellIs" dxfId="54" priority="62" stopIfTrue="1" operator="equal">
      <formula>0</formula>
    </cfRule>
  </conditionalFormatting>
  <conditionalFormatting sqref="F186:F260">
    <cfRule type="cellIs" dxfId="53" priority="61" stopIfTrue="1" operator="equal">
      <formula>0</formula>
    </cfRule>
  </conditionalFormatting>
  <conditionalFormatting sqref="F279 F303:F324">
    <cfRule type="cellIs" dxfId="52" priority="60" stopIfTrue="1" operator="equal">
      <formula>0</formula>
    </cfRule>
  </conditionalFormatting>
  <conditionalFormatting sqref="F329:F333">
    <cfRule type="cellIs" dxfId="51" priority="58" stopIfTrue="1" operator="equal">
      <formula>0</formula>
    </cfRule>
  </conditionalFormatting>
  <conditionalFormatting sqref="F381:F389">
    <cfRule type="cellIs" dxfId="50" priority="56" stopIfTrue="1" operator="equal">
      <formula>0</formula>
    </cfRule>
  </conditionalFormatting>
  <conditionalFormatting sqref="F409:F419">
    <cfRule type="cellIs" dxfId="49" priority="66" stopIfTrue="1" operator="equal">
      <formula>0</formula>
    </cfRule>
  </conditionalFormatting>
  <conditionalFormatting sqref="F420">
    <cfRule type="cellIs" dxfId="48" priority="65" operator="equal">
      <formula>0</formula>
    </cfRule>
  </conditionalFormatting>
  <conditionalFormatting sqref="F421:F429">
    <cfRule type="cellIs" dxfId="47" priority="64" stopIfTrue="1" operator="equal">
      <formula>0</formula>
    </cfRule>
  </conditionalFormatting>
  <conditionalFormatting sqref="C40">
    <cfRule type="cellIs" dxfId="46" priority="54" operator="equal">
      <formula>0</formula>
    </cfRule>
  </conditionalFormatting>
  <conditionalFormatting sqref="C41">
    <cfRule type="cellIs" dxfId="45" priority="53" operator="equal">
      <formula>0</formula>
    </cfRule>
  </conditionalFormatting>
  <conditionalFormatting sqref="F18">
    <cfRule type="cellIs" dxfId="44" priority="52" operator="equal">
      <formula>0</formula>
    </cfRule>
  </conditionalFormatting>
  <conditionalFormatting sqref="C148">
    <cfRule type="cellIs" dxfId="43" priority="51" operator="equal">
      <formula>0</formula>
    </cfRule>
  </conditionalFormatting>
  <conditionalFormatting sqref="C149">
    <cfRule type="cellIs" dxfId="42" priority="50" operator="equal">
      <formula>0</formula>
    </cfRule>
  </conditionalFormatting>
  <conditionalFormatting sqref="C188">
    <cfRule type="cellIs" dxfId="41" priority="47" operator="equal">
      <formula>0</formula>
    </cfRule>
  </conditionalFormatting>
  <conditionalFormatting sqref="C241">
    <cfRule type="cellIs" dxfId="40" priority="46" operator="equal">
      <formula>0</formula>
    </cfRule>
  </conditionalFormatting>
  <conditionalFormatting sqref="C242">
    <cfRule type="cellIs" dxfId="39" priority="45" operator="equal">
      <formula>0</formula>
    </cfRule>
  </conditionalFormatting>
  <conditionalFormatting sqref="C257">
    <cfRule type="cellIs" dxfId="38" priority="44" operator="equal">
      <formula>0</formula>
    </cfRule>
  </conditionalFormatting>
  <conditionalFormatting sqref="C258">
    <cfRule type="cellIs" dxfId="37" priority="43" operator="equal">
      <formula>0</formula>
    </cfRule>
  </conditionalFormatting>
  <conditionalFormatting sqref="C305">
    <cfRule type="cellIs" dxfId="36" priority="42" operator="equal">
      <formula>0</formula>
    </cfRule>
  </conditionalFormatting>
  <conditionalFormatting sqref="C330">
    <cfRule type="cellIs" dxfId="35" priority="41" operator="equal">
      <formula>0</formula>
    </cfRule>
  </conditionalFormatting>
  <conditionalFormatting sqref="C331">
    <cfRule type="cellIs" dxfId="34" priority="40" operator="equal">
      <formula>0</formula>
    </cfRule>
  </conditionalFormatting>
  <conditionalFormatting sqref="C332">
    <cfRule type="cellIs" dxfId="33" priority="39" operator="equal">
      <formula>0</formula>
    </cfRule>
  </conditionalFormatting>
  <conditionalFormatting sqref="C259">
    <cfRule type="cellIs" dxfId="32" priority="38" operator="equal">
      <formula>0</formula>
    </cfRule>
  </conditionalFormatting>
  <conditionalFormatting sqref="C56">
    <cfRule type="cellIs" dxfId="31" priority="36" operator="equal">
      <formula>0</formula>
    </cfRule>
  </conditionalFormatting>
  <conditionalFormatting sqref="C76">
    <cfRule type="cellIs" dxfId="30" priority="35" operator="equal">
      <formula>0</formula>
    </cfRule>
  </conditionalFormatting>
  <conditionalFormatting sqref="C77">
    <cfRule type="cellIs" dxfId="29" priority="34" operator="equal">
      <formula>0</formula>
    </cfRule>
  </conditionalFormatting>
  <conditionalFormatting sqref="C78">
    <cfRule type="cellIs" dxfId="28" priority="33" operator="equal">
      <formula>0</formula>
    </cfRule>
  </conditionalFormatting>
  <conditionalFormatting sqref="F115:F121">
    <cfRule type="cellIs" dxfId="27" priority="32" stopIfTrue="1" operator="equal">
      <formula>0</formula>
    </cfRule>
  </conditionalFormatting>
  <conditionalFormatting sqref="F129:F133">
    <cfRule type="cellIs" dxfId="26" priority="31" stopIfTrue="1" operator="equal">
      <formula>0</formula>
    </cfRule>
  </conditionalFormatting>
  <conditionalFormatting sqref="F99:F104">
    <cfRule type="cellIs" dxfId="25" priority="29" stopIfTrue="1" operator="equal">
      <formula>0</formula>
    </cfRule>
  </conditionalFormatting>
  <conditionalFormatting sqref="C164">
    <cfRule type="cellIs" dxfId="24" priority="28" operator="equal">
      <formula>0</formula>
    </cfRule>
  </conditionalFormatting>
  <conditionalFormatting sqref="C165">
    <cfRule type="cellIs" dxfId="23" priority="27" operator="equal">
      <formula>0</formula>
    </cfRule>
  </conditionalFormatting>
  <conditionalFormatting sqref="C166">
    <cfRule type="cellIs" dxfId="22" priority="26" operator="equal">
      <formula>0</formula>
    </cfRule>
  </conditionalFormatting>
  <conditionalFormatting sqref="C238">
    <cfRule type="cellIs" dxfId="21" priority="25" operator="equal">
      <formula>0</formula>
    </cfRule>
  </conditionalFormatting>
  <conditionalFormatting sqref="C281">
    <cfRule type="cellIs" dxfId="20" priority="24" operator="equal">
      <formula>0</formula>
    </cfRule>
  </conditionalFormatting>
  <conditionalFormatting sqref="C282">
    <cfRule type="cellIs" dxfId="19" priority="23" operator="equal">
      <formula>0</formula>
    </cfRule>
  </conditionalFormatting>
  <conditionalFormatting sqref="C283">
    <cfRule type="cellIs" dxfId="18" priority="22" operator="equal">
      <formula>0</formula>
    </cfRule>
  </conditionalFormatting>
  <conditionalFormatting sqref="C327">
    <cfRule type="cellIs" dxfId="17" priority="21" operator="equal">
      <formula>0</formula>
    </cfRule>
  </conditionalFormatting>
  <conditionalFormatting sqref="C354">
    <cfRule type="cellIs" dxfId="16" priority="17" operator="equal">
      <formula>0</formula>
    </cfRule>
  </conditionalFormatting>
  <conditionalFormatting sqref="F353:F366">
    <cfRule type="cellIs" dxfId="15" priority="16" stopIfTrue="1" operator="equal">
      <formula>0</formula>
    </cfRule>
  </conditionalFormatting>
  <conditionalFormatting sqref="F368:F372">
    <cfRule type="cellIs" dxfId="14" priority="15" stopIfTrue="1" operator="equal">
      <formula>0</formula>
    </cfRule>
  </conditionalFormatting>
  <conditionalFormatting sqref="C369">
    <cfRule type="cellIs" dxfId="13" priority="14" operator="equal">
      <formula>0</formula>
    </cfRule>
  </conditionalFormatting>
  <conditionalFormatting sqref="C391">
    <cfRule type="cellIs" dxfId="12" priority="13" operator="equal">
      <formula>0</formula>
    </cfRule>
  </conditionalFormatting>
  <conditionalFormatting sqref="C395">
    <cfRule type="cellIs" dxfId="11" priority="12" operator="equal">
      <formula>0</formula>
    </cfRule>
  </conditionalFormatting>
  <conditionalFormatting sqref="F390:F408">
    <cfRule type="cellIs" dxfId="10" priority="11" stopIfTrue="1" operator="equal">
      <formula>0</formula>
    </cfRule>
  </conditionalFormatting>
  <conditionalFormatting sqref="C394">
    <cfRule type="cellIs" dxfId="9" priority="10" operator="equal">
      <formula>0</formula>
    </cfRule>
  </conditionalFormatting>
  <conditionalFormatting sqref="C398">
    <cfRule type="cellIs" dxfId="8" priority="9" operator="equal">
      <formula>0</formula>
    </cfRule>
  </conditionalFormatting>
  <conditionalFormatting sqref="C425">
    <cfRule type="cellIs" dxfId="7" priority="8" operator="equal">
      <formula>0</formula>
    </cfRule>
  </conditionalFormatting>
  <conditionalFormatting sqref="C428">
    <cfRule type="cellIs" dxfId="6" priority="7" operator="equal">
      <formula>0</formula>
    </cfRule>
  </conditionalFormatting>
  <conditionalFormatting sqref="F438:F445">
    <cfRule type="cellIs" dxfId="5" priority="6" stopIfTrue="1" operator="equal">
      <formula>0</formula>
    </cfRule>
  </conditionalFormatting>
  <conditionalFormatting sqref="G449">
    <cfRule type="cellIs" dxfId="4" priority="4" operator="equal">
      <formula>0</formula>
    </cfRule>
  </conditionalFormatting>
  <conditionalFormatting sqref="C449:F449">
    <cfRule type="cellIs" dxfId="3" priority="5" operator="equal">
      <formula>0</formula>
    </cfRule>
  </conditionalFormatting>
  <conditionalFormatting sqref="C450">
    <cfRule type="cellIs" dxfId="2" priority="3" operator="equal">
      <formula>0</formula>
    </cfRule>
  </conditionalFormatting>
  <conditionalFormatting sqref="G451">
    <cfRule type="cellIs" dxfId="1" priority="1" operator="equal">
      <formula>0</formula>
    </cfRule>
  </conditionalFormatting>
  <conditionalFormatting sqref="C451:F451">
    <cfRule type="cellIs" dxfId="0" priority="2" operator="equal">
      <formula>0</formula>
    </cfRule>
  </conditionalFormatting>
  <dataValidations count="4">
    <dataValidation allowBlank="1" showInputMessage="1" showErrorMessage="1" errorTitle="PERINGATAN !!!" error="MDU / UPAH SALAH BOZ...." sqref="O11:Q11 F431:F436 F410:F419 F39:F53 F199:F203 F107:F112 F126 F147:F161 F99:F104 F190:F195 F197 F218 F207:F214 F220:F226 F135:F139 F228:F232 F235:F236 F314 F316:F320 F240:F254 F260 F256:F258 F307:F312 F323:F325 F329:F331 F333 F374:F379 F381:F387 F115:F122 F129:F133 F368:F372 F390:F408 C392:C393 F442:F445 H14:K45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49 D451" xr:uid="{EC209CC2-E2FC-4FC3-A801-328AD4146F93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AC41" sqref="AC41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21" t="s">
        <v>1528</v>
      </c>
      <c r="E4" s="622"/>
      <c r="F4" s="622"/>
      <c r="G4" s="622"/>
      <c r="H4" s="622"/>
      <c r="I4" s="622"/>
      <c r="J4" s="622"/>
      <c r="K4" s="622"/>
      <c r="L4" s="622"/>
      <c r="M4" s="622"/>
      <c r="N4" s="622"/>
      <c r="O4" s="622"/>
      <c r="P4" s="622"/>
      <c r="Q4" s="622"/>
      <c r="R4" s="622"/>
      <c r="S4" s="622"/>
      <c r="T4" s="622"/>
      <c r="U4" s="622"/>
      <c r="V4" s="622"/>
      <c r="W4" s="622"/>
      <c r="X4" s="622"/>
      <c r="Y4" s="622"/>
      <c r="Z4" s="622"/>
      <c r="AA4" s="622"/>
      <c r="AB4" s="622"/>
      <c r="AC4" s="623"/>
      <c r="AD4" s="217"/>
      <c r="AE4" s="216"/>
      <c r="AF4" s="216"/>
    </row>
    <row r="5" spans="2:32" ht="13.5" customHeight="1">
      <c r="B5" s="215"/>
      <c r="C5" s="215"/>
      <c r="D5" s="624"/>
      <c r="E5" s="625"/>
      <c r="F5" s="625"/>
      <c r="G5" s="625"/>
      <c r="H5" s="625"/>
      <c r="I5" s="625"/>
      <c r="J5" s="625"/>
      <c r="K5" s="625"/>
      <c r="L5" s="625"/>
      <c r="M5" s="625"/>
      <c r="N5" s="625"/>
      <c r="O5" s="625"/>
      <c r="P5" s="625"/>
      <c r="Q5" s="625"/>
      <c r="R5" s="625"/>
      <c r="S5" s="625"/>
      <c r="T5" s="625"/>
      <c r="U5" s="625"/>
      <c r="V5" s="625"/>
      <c r="W5" s="625"/>
      <c r="X5" s="625"/>
      <c r="Y5" s="625"/>
      <c r="Z5" s="625"/>
      <c r="AA5" s="625"/>
      <c r="AB5" s="625"/>
      <c r="AC5" s="626"/>
      <c r="AD5" s="217"/>
      <c r="AE5" s="216"/>
      <c r="AF5" s="216"/>
    </row>
    <row r="6" spans="2:32" ht="12.75" customHeight="1">
      <c r="B6" s="215"/>
      <c r="C6" s="215"/>
      <c r="D6" s="624"/>
      <c r="E6" s="625"/>
      <c r="F6" s="625"/>
      <c r="G6" s="625"/>
      <c r="H6" s="625"/>
      <c r="I6" s="625"/>
      <c r="J6" s="625"/>
      <c r="K6" s="625"/>
      <c r="L6" s="625"/>
      <c r="M6" s="625"/>
      <c r="N6" s="625"/>
      <c r="O6" s="625"/>
      <c r="P6" s="625"/>
      <c r="Q6" s="625"/>
      <c r="R6" s="625"/>
      <c r="S6" s="625"/>
      <c r="T6" s="625"/>
      <c r="U6" s="625"/>
      <c r="V6" s="625"/>
      <c r="W6" s="625"/>
      <c r="X6" s="625"/>
      <c r="Y6" s="625"/>
      <c r="Z6" s="625"/>
      <c r="AA6" s="625"/>
      <c r="AB6" s="625"/>
      <c r="AC6" s="626"/>
      <c r="AE6" s="216"/>
      <c r="AF6" s="216"/>
    </row>
    <row r="7" spans="2:32" ht="12.75" customHeight="1" thickBot="1">
      <c r="B7" s="215"/>
      <c r="C7" s="215"/>
      <c r="D7" s="627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223"/>
  <sheetViews>
    <sheetView showGridLines="0" tabSelected="1" view="pageBreakPreview" zoomScale="115" zoomScaleNormal="115" zoomScaleSheetLayoutView="115" workbookViewId="0">
      <selection activeCell="J5" sqref="J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1" t="s">
        <v>1439</v>
      </c>
      <c r="X2" s="682"/>
      <c r="Y2" s="682"/>
      <c r="Z2" s="682"/>
      <c r="AA2" s="682"/>
      <c r="AB2" s="682"/>
      <c r="AC2" s="682"/>
      <c r="AD2" s="683"/>
    </row>
    <row r="3" spans="3:30">
      <c r="C3" s="238"/>
      <c r="W3" s="684"/>
      <c r="X3" s="685"/>
      <c r="Y3" s="685"/>
      <c r="Z3" s="685"/>
      <c r="AA3" s="685"/>
      <c r="AB3" s="685"/>
      <c r="AC3" s="685"/>
      <c r="AD3" s="68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3" t="s">
        <v>990</v>
      </c>
      <c r="Y5" s="633"/>
      <c r="Z5" s="633"/>
      <c r="AA5" s="633" t="s">
        <v>988</v>
      </c>
      <c r="AB5" s="633"/>
      <c r="AC5" s="633" t="s">
        <v>989</v>
      </c>
      <c r="AD5" s="634"/>
    </row>
    <row r="6" spans="3:30">
      <c r="C6" s="238"/>
      <c r="W6" s="241">
        <v>1</v>
      </c>
      <c r="X6" s="633" t="s">
        <v>993</v>
      </c>
      <c r="Y6" s="633"/>
      <c r="Z6" s="633"/>
      <c r="AA6" s="633"/>
      <c r="AB6" s="633"/>
      <c r="AC6" s="633"/>
      <c r="AD6" s="634"/>
    </row>
    <row r="7" spans="3:30">
      <c r="C7" s="238"/>
      <c r="E7" s="485" t="str">
        <f>PETA!C6</f>
        <v>KOORDINAT : -6.915846, 110.732295</v>
      </c>
      <c r="W7" s="241">
        <v>2</v>
      </c>
      <c r="X7" s="633" t="s">
        <v>994</v>
      </c>
      <c r="Y7" s="633"/>
      <c r="Z7" s="633"/>
      <c r="AA7" s="633"/>
      <c r="AB7" s="633"/>
      <c r="AC7" s="633"/>
      <c r="AD7" s="634"/>
    </row>
    <row r="8" spans="3:30">
      <c r="C8" s="238"/>
      <c r="W8" s="241">
        <v>3</v>
      </c>
      <c r="X8" s="633" t="s">
        <v>995</v>
      </c>
      <c r="Y8" s="633"/>
      <c r="Z8" s="633"/>
      <c r="AA8" s="633"/>
      <c r="AB8" s="633"/>
      <c r="AC8" s="633"/>
      <c r="AD8" s="634"/>
    </row>
    <row r="9" spans="3:30">
      <c r="C9" s="238"/>
      <c r="W9" s="241">
        <v>4</v>
      </c>
      <c r="X9" s="633" t="s">
        <v>996</v>
      </c>
      <c r="Y9" s="633"/>
      <c r="Z9" s="633"/>
      <c r="AA9" s="633"/>
      <c r="AB9" s="633"/>
      <c r="AC9" s="633"/>
      <c r="AD9" s="634"/>
    </row>
    <row r="10" spans="3:30">
      <c r="C10" s="238"/>
      <c r="W10" s="241">
        <v>5</v>
      </c>
      <c r="X10" s="633" t="s">
        <v>997</v>
      </c>
      <c r="Y10" s="633"/>
      <c r="Z10" s="633"/>
      <c r="AA10" s="633"/>
      <c r="AB10" s="633"/>
      <c r="AC10" s="633"/>
      <c r="AD10" s="634"/>
    </row>
    <row r="11" spans="3:30">
      <c r="C11" s="238"/>
      <c r="W11" s="241">
        <v>6</v>
      </c>
      <c r="X11" s="633" t="s">
        <v>998</v>
      </c>
      <c r="Y11" s="633"/>
      <c r="Z11" s="633"/>
      <c r="AA11" s="633"/>
      <c r="AB11" s="633"/>
      <c r="AC11" s="633"/>
      <c r="AD11" s="634"/>
    </row>
    <row r="12" spans="3:30">
      <c r="C12" s="238"/>
      <c r="W12" s="241">
        <v>7</v>
      </c>
      <c r="X12" s="633" t="s">
        <v>999</v>
      </c>
      <c r="Y12" s="633"/>
      <c r="Z12" s="633"/>
      <c r="AA12" s="633"/>
      <c r="AB12" s="633"/>
      <c r="AC12" s="633"/>
      <c r="AD12" s="634"/>
    </row>
    <row r="13" spans="3:30" ht="12.75" customHeight="1">
      <c r="C13" s="238"/>
      <c r="W13" s="241">
        <v>8</v>
      </c>
      <c r="X13" s="633" t="s">
        <v>1000</v>
      </c>
      <c r="Y13" s="633"/>
      <c r="Z13" s="633"/>
      <c r="AA13" s="633"/>
      <c r="AB13" s="633"/>
      <c r="AC13" s="633"/>
      <c r="AD13" s="634"/>
    </row>
    <row r="14" spans="3:30">
      <c r="C14" s="238"/>
      <c r="W14" s="241">
        <v>9</v>
      </c>
      <c r="X14" s="633" t="s">
        <v>1001</v>
      </c>
      <c r="Y14" s="633"/>
      <c r="Z14" s="633"/>
      <c r="AA14" s="633"/>
      <c r="AB14" s="633"/>
      <c r="AC14" s="633"/>
      <c r="AD14" s="634"/>
    </row>
    <row r="15" spans="3:30">
      <c r="C15" s="238"/>
      <c r="W15" s="241">
        <v>10</v>
      </c>
      <c r="X15" s="633" t="s">
        <v>1010</v>
      </c>
      <c r="Y15" s="633"/>
      <c r="Z15" s="633"/>
      <c r="AA15" s="633"/>
      <c r="AB15" s="633"/>
      <c r="AC15" s="633"/>
      <c r="AD15" s="634"/>
    </row>
    <row r="16" spans="3:30">
      <c r="C16" s="238"/>
      <c r="W16" s="241">
        <v>11</v>
      </c>
      <c r="X16" s="633" t="s">
        <v>1455</v>
      </c>
      <c r="Y16" s="633"/>
      <c r="Z16" s="633"/>
      <c r="AA16" s="633"/>
      <c r="AB16" s="633"/>
      <c r="AC16" s="633"/>
      <c r="AD16" s="634"/>
    </row>
    <row r="17" spans="3:30">
      <c r="C17" s="238"/>
      <c r="S17" s="242"/>
      <c r="W17" s="241">
        <v>12</v>
      </c>
      <c r="X17" s="633" t="s">
        <v>1011</v>
      </c>
      <c r="Y17" s="633"/>
      <c r="Z17" s="633"/>
      <c r="AA17" s="633"/>
      <c r="AB17" s="633"/>
      <c r="AC17" s="633"/>
      <c r="AD17" s="634"/>
    </row>
    <row r="18" spans="3:30">
      <c r="C18" s="243"/>
      <c r="D18" s="244"/>
      <c r="E18" s="244"/>
      <c r="W18" s="241">
        <v>13</v>
      </c>
      <c r="X18" s="633"/>
      <c r="Y18" s="633"/>
      <c r="Z18" s="633"/>
      <c r="AA18" s="633"/>
      <c r="AB18" s="633"/>
      <c r="AC18" s="633"/>
      <c r="AD18" s="634"/>
    </row>
    <row r="19" spans="3:30">
      <c r="C19" s="238"/>
      <c r="W19" s="245"/>
      <c r="X19" s="679"/>
      <c r="Y19" s="679"/>
      <c r="Z19" s="679"/>
      <c r="AA19" s="679"/>
      <c r="AB19" s="679"/>
      <c r="AC19" s="679"/>
      <c r="AD19" s="680"/>
    </row>
    <row r="20" spans="3:30">
      <c r="C20" s="238"/>
      <c r="O20" s="493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238"/>
      <c r="O21" s="493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238"/>
      <c r="O22" s="493"/>
      <c r="W22" s="723" t="s">
        <v>1640</v>
      </c>
      <c r="X22" s="724"/>
      <c r="Y22" s="725" t="s">
        <v>1641</v>
      </c>
      <c r="Z22" s="726">
        <v>4</v>
      </c>
      <c r="AA22" s="677"/>
      <c r="AB22" s="678"/>
      <c r="AC22" s="248"/>
      <c r="AD22" s="249"/>
    </row>
    <row r="23" spans="3:30">
      <c r="C23" s="238"/>
      <c r="O23" s="493"/>
      <c r="W23" s="727" t="s">
        <v>1642</v>
      </c>
      <c r="X23" s="728"/>
      <c r="Y23" s="725" t="s">
        <v>1641</v>
      </c>
      <c r="Z23" s="726">
        <v>2</v>
      </c>
      <c r="AA23" s="666"/>
      <c r="AB23" s="667"/>
      <c r="AC23" s="248"/>
      <c r="AD23" s="249"/>
    </row>
    <row r="24" spans="3:30">
      <c r="C24" s="238"/>
      <c r="O24" s="493"/>
      <c r="W24" s="727" t="s">
        <v>1643</v>
      </c>
      <c r="X24" s="728"/>
      <c r="Y24" s="725" t="s">
        <v>1058</v>
      </c>
      <c r="Z24" s="726">
        <v>8</v>
      </c>
      <c r="AA24" s="664"/>
      <c r="AB24" s="665"/>
      <c r="AC24" s="248"/>
      <c r="AD24" s="249"/>
    </row>
    <row r="25" spans="3:30">
      <c r="C25" s="238"/>
      <c r="O25" s="493"/>
      <c r="W25" s="727" t="s">
        <v>1622</v>
      </c>
      <c r="X25" s="728"/>
      <c r="Y25" s="725" t="s">
        <v>1058</v>
      </c>
      <c r="Z25" s="726">
        <v>1</v>
      </c>
      <c r="AA25" s="666"/>
      <c r="AB25" s="667"/>
      <c r="AC25" s="248"/>
      <c r="AD25" s="249"/>
    </row>
    <row r="26" spans="3:30">
      <c r="C26" s="238"/>
      <c r="O26" s="493"/>
      <c r="W26" s="727" t="s">
        <v>1653</v>
      </c>
      <c r="X26" s="728"/>
      <c r="Y26" s="725" t="s">
        <v>1058</v>
      </c>
      <c r="Z26" s="726">
        <v>1</v>
      </c>
      <c r="AA26" s="666"/>
      <c r="AB26" s="667"/>
      <c r="AC26" s="248"/>
      <c r="AD26" s="249"/>
    </row>
    <row r="27" spans="3:30">
      <c r="C27" s="238"/>
      <c r="W27" s="729" t="s">
        <v>1623</v>
      </c>
      <c r="X27" s="730"/>
      <c r="Y27" s="725" t="s">
        <v>1058</v>
      </c>
      <c r="Z27" s="726">
        <v>9</v>
      </c>
      <c r="AA27" s="661"/>
      <c r="AB27" s="656"/>
      <c r="AC27" s="248"/>
      <c r="AD27" s="249"/>
    </row>
    <row r="28" spans="3:30">
      <c r="C28" s="238"/>
      <c r="W28" s="723" t="s">
        <v>1644</v>
      </c>
      <c r="X28" s="724"/>
      <c r="Y28" s="725" t="s">
        <v>579</v>
      </c>
      <c r="Z28" s="726">
        <f>(210*9)</f>
        <v>1890</v>
      </c>
      <c r="AA28" s="661"/>
      <c r="AB28" s="656"/>
      <c r="AC28" s="248"/>
      <c r="AD28" s="249"/>
    </row>
    <row r="29" spans="3:30">
      <c r="C29" s="238"/>
      <c r="W29" s="729" t="s">
        <v>1654</v>
      </c>
      <c r="X29" s="730"/>
      <c r="Y29" s="725" t="s">
        <v>1058</v>
      </c>
      <c r="Z29" s="726">
        <v>1</v>
      </c>
      <c r="AA29" s="661"/>
      <c r="AB29" s="656"/>
      <c r="AC29" s="248"/>
      <c r="AD29" s="249"/>
    </row>
    <row r="30" spans="3:30" ht="11.25" customHeight="1">
      <c r="C30" s="238"/>
      <c r="W30" s="729" t="s">
        <v>1655</v>
      </c>
      <c r="X30" s="730"/>
      <c r="Y30" s="725" t="s">
        <v>1058</v>
      </c>
      <c r="Z30" s="726">
        <v>1</v>
      </c>
      <c r="AA30" s="661"/>
      <c r="AB30" s="656"/>
      <c r="AC30" s="248"/>
      <c r="AD30" s="249"/>
    </row>
    <row r="31" spans="3:30">
      <c r="C31" s="238"/>
      <c r="U31" s="250"/>
      <c r="W31" s="727" t="s">
        <v>1626</v>
      </c>
      <c r="X31" s="731"/>
      <c r="Y31" s="725" t="s">
        <v>1058</v>
      </c>
      <c r="Z31" s="726">
        <v>3</v>
      </c>
      <c r="AA31" s="661"/>
      <c r="AB31" s="656"/>
      <c r="AC31" s="248"/>
      <c r="AD31" s="249"/>
    </row>
    <row r="32" spans="3:30">
      <c r="C32" s="238"/>
      <c r="U32" s="250"/>
      <c r="W32" s="727" t="s">
        <v>1633</v>
      </c>
      <c r="X32" s="731"/>
      <c r="Y32" s="725" t="s">
        <v>1058</v>
      </c>
      <c r="Z32" s="726">
        <v>1</v>
      </c>
      <c r="AA32" s="661"/>
      <c r="AB32" s="656"/>
      <c r="AC32" s="248"/>
      <c r="AD32" s="249"/>
    </row>
    <row r="33" spans="3:30">
      <c r="C33" s="238"/>
      <c r="W33" s="727" t="s">
        <v>1637</v>
      </c>
      <c r="X33" s="731"/>
      <c r="Y33" s="725" t="s">
        <v>1058</v>
      </c>
      <c r="Z33" s="726">
        <v>2</v>
      </c>
      <c r="AA33" s="661"/>
      <c r="AB33" s="656"/>
      <c r="AC33" s="248"/>
      <c r="AD33" s="249"/>
    </row>
    <row r="34" spans="3:30">
      <c r="C34" s="238"/>
      <c r="W34" s="727" t="s">
        <v>1645</v>
      </c>
      <c r="X34" s="731"/>
      <c r="Y34" s="725" t="s">
        <v>1058</v>
      </c>
      <c r="Z34" s="726">
        <v>2</v>
      </c>
      <c r="AA34" s="661"/>
      <c r="AB34" s="656"/>
      <c r="AC34" s="248"/>
      <c r="AD34" s="249"/>
    </row>
    <row r="35" spans="3:30">
      <c r="C35" s="238"/>
      <c r="W35" s="727" t="s">
        <v>1625</v>
      </c>
      <c r="X35" s="731"/>
      <c r="Y35" s="725" t="s">
        <v>1058</v>
      </c>
      <c r="Z35" s="726">
        <v>2</v>
      </c>
      <c r="AA35" s="661"/>
      <c r="AB35" s="656"/>
      <c r="AC35" s="248"/>
      <c r="AD35" s="249"/>
    </row>
    <row r="36" spans="3:30">
      <c r="C36" s="238"/>
      <c r="W36" s="653" t="s">
        <v>1656</v>
      </c>
      <c r="X36" s="654"/>
      <c r="Y36" s="246" t="s">
        <v>1058</v>
      </c>
      <c r="Z36" s="251">
        <v>1</v>
      </c>
      <c r="AA36" s="655"/>
      <c r="AB36" s="656"/>
      <c r="AC36" s="248"/>
      <c r="AD36" s="249"/>
    </row>
    <row r="37" spans="3:30" ht="12.75" customHeight="1">
      <c r="C37" s="238"/>
      <c r="W37" s="657" t="s">
        <v>1652</v>
      </c>
      <c r="X37" s="658"/>
      <c r="Y37" s="246" t="s">
        <v>1058</v>
      </c>
      <c r="Z37" s="251">
        <v>4</v>
      </c>
      <c r="AA37" s="659"/>
      <c r="AB37" s="660"/>
      <c r="AC37" s="252"/>
      <c r="AD37" s="253"/>
    </row>
    <row r="38" spans="3:30" ht="12.75" customHeight="1">
      <c r="C38" s="238"/>
      <c r="W38" s="657" t="s">
        <v>1657</v>
      </c>
      <c r="X38" s="658"/>
      <c r="Y38" s="254" t="s">
        <v>1058</v>
      </c>
      <c r="Z38" s="251">
        <v>3</v>
      </c>
      <c r="AA38" s="255"/>
      <c r="AB38" s="256"/>
      <c r="AC38" s="252"/>
      <c r="AD38" s="253"/>
    </row>
    <row r="39" spans="3:30" ht="12" customHeight="1">
      <c r="C39" s="238"/>
      <c r="D39" s="492"/>
      <c r="W39" s="657"/>
      <c r="X39" s="658"/>
      <c r="Y39" s="254"/>
      <c r="Z39" s="257"/>
      <c r="AA39" s="649"/>
      <c r="AB39" s="650"/>
      <c r="AC39" s="252"/>
      <c r="AD39" s="253"/>
    </row>
    <row r="40" spans="3:30" ht="12" customHeight="1">
      <c r="C40" s="238"/>
      <c r="D40" s="492"/>
      <c r="W40" s="645"/>
      <c r="X40" s="646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492"/>
      <c r="W41" s="647"/>
      <c r="X41" s="648"/>
      <c r="Y41" s="260"/>
      <c r="Z41" s="261"/>
      <c r="AA41" s="649"/>
      <c r="AB41" s="650"/>
      <c r="AC41" s="252"/>
      <c r="AD41" s="253"/>
    </row>
    <row r="42" spans="3:30" ht="12" customHeight="1">
      <c r="C42" s="238"/>
      <c r="D42" s="492"/>
      <c r="W42" s="651" t="s">
        <v>1456</v>
      </c>
      <c r="X42" s="652"/>
      <c r="Y42" s="652"/>
      <c r="Z42" s="652"/>
      <c r="AA42" s="262"/>
      <c r="AB42" s="262"/>
      <c r="AC42" s="262"/>
      <c r="AD42" s="263"/>
    </row>
    <row r="43" spans="3:30" ht="12" customHeight="1">
      <c r="C43" s="238"/>
      <c r="D43" s="492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492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0" t="s">
        <v>11</v>
      </c>
      <c r="X44" s="631"/>
      <c r="Y44" s="633"/>
      <c r="Z44" s="633"/>
      <c r="AA44" s="633"/>
      <c r="AB44" s="633"/>
      <c r="AC44" s="633"/>
      <c r="AD44" s="634"/>
    </row>
    <row r="45" spans="3:30">
      <c r="C45" s="268"/>
      <c r="D45" s="492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0" t="s">
        <v>984</v>
      </c>
      <c r="X45" s="631"/>
      <c r="Y45" s="633">
        <v>1</v>
      </c>
      <c r="Z45" s="633"/>
      <c r="AA45" s="633"/>
      <c r="AB45" s="633" t="s">
        <v>12</v>
      </c>
      <c r="AC45" s="63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0" t="s">
        <v>15</v>
      </c>
      <c r="X46" s="631"/>
      <c r="Y46" s="644"/>
      <c r="Z46" s="644"/>
      <c r="AA46" s="644"/>
      <c r="AB46" s="633" t="s">
        <v>16</v>
      </c>
      <c r="AC46" s="63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38" t="s">
        <v>17</v>
      </c>
      <c r="X47" s="638"/>
      <c r="Y47" s="638"/>
      <c r="Z47" s="638"/>
      <c r="AA47" s="638"/>
      <c r="AB47" s="638"/>
      <c r="AC47" s="638"/>
      <c r="AD47" s="63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0" t="str">
        <f>RAB!G6</f>
        <v>AGR SITI MUKAROMAH</v>
      </c>
      <c r="X48" s="640"/>
      <c r="Y48" s="640"/>
      <c r="Z48" s="640"/>
      <c r="AA48" s="640"/>
      <c r="AB48" s="640"/>
      <c r="AC48" s="640"/>
      <c r="AD48" s="64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0"/>
      <c r="X49" s="640"/>
      <c r="Y49" s="640"/>
      <c r="Z49" s="640"/>
      <c r="AA49" s="640"/>
      <c r="AB49" s="640"/>
      <c r="AC49" s="640"/>
      <c r="AD49" s="64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0"/>
      <c r="X50" s="640"/>
      <c r="Y50" s="640"/>
      <c r="Z50" s="640"/>
      <c r="AA50" s="640"/>
      <c r="AB50" s="640"/>
      <c r="AC50" s="640"/>
      <c r="AD50" s="64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42"/>
      <c r="X51" s="642"/>
      <c r="Y51" s="642"/>
      <c r="Z51" s="642"/>
      <c r="AA51" s="642"/>
      <c r="AB51" s="642"/>
      <c r="AC51" s="642"/>
      <c r="AD51" s="64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0" t="s">
        <v>18</v>
      </c>
      <c r="X52" s="631"/>
      <c r="Y52" s="633" t="s">
        <v>1549</v>
      </c>
      <c r="Z52" s="633"/>
      <c r="AA52" s="633"/>
      <c r="AB52" s="633"/>
      <c r="AC52" s="633"/>
      <c r="AD52" s="63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0" t="s">
        <v>19</v>
      </c>
      <c r="X53" s="631"/>
      <c r="Y53" s="633" t="s">
        <v>1549</v>
      </c>
      <c r="Z53" s="633"/>
      <c r="AA53" s="633"/>
      <c r="AB53" s="633"/>
      <c r="AC53" s="633"/>
      <c r="AD53" s="63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0" t="s">
        <v>20</v>
      </c>
      <c r="X54" s="631"/>
      <c r="Y54" s="632" t="s">
        <v>1550</v>
      </c>
      <c r="Z54" s="632"/>
      <c r="AA54" s="632"/>
      <c r="AB54" s="633"/>
      <c r="AC54" s="633"/>
      <c r="AD54" s="63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35" t="s">
        <v>21</v>
      </c>
      <c r="X55" s="636"/>
      <c r="Y55" s="632" t="s">
        <v>1551</v>
      </c>
      <c r="Z55" s="632"/>
      <c r="AA55" s="632"/>
      <c r="AB55" s="632"/>
      <c r="AC55" s="632"/>
      <c r="AD55" s="637"/>
    </row>
    <row r="56" spans="3:30" ht="12.75" thickBot="1"/>
    <row r="57" spans="3:30">
      <c r="C57" s="236"/>
      <c r="D57" s="237"/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681" t="s">
        <v>1439</v>
      </c>
      <c r="X57" s="682"/>
      <c r="Y57" s="682"/>
      <c r="Z57" s="682"/>
      <c r="AA57" s="682"/>
      <c r="AB57" s="682"/>
      <c r="AC57" s="682"/>
      <c r="AD57" s="683"/>
    </row>
    <row r="58" spans="3:30">
      <c r="C58" s="238"/>
      <c r="W58" s="684"/>
      <c r="X58" s="685"/>
      <c r="Y58" s="685"/>
      <c r="Z58" s="685"/>
      <c r="AA58" s="685"/>
      <c r="AB58" s="685"/>
      <c r="AC58" s="685"/>
      <c r="AD58" s="686"/>
    </row>
    <row r="59" spans="3:30">
      <c r="C59" s="238"/>
      <c r="W59" s="239" t="s">
        <v>987</v>
      </c>
      <c r="AD59" s="240"/>
    </row>
    <row r="60" spans="3:30">
      <c r="C60" s="238"/>
      <c r="W60" s="241" t="s">
        <v>991</v>
      </c>
      <c r="X60" s="633" t="s">
        <v>990</v>
      </c>
      <c r="Y60" s="633"/>
      <c r="Z60" s="633"/>
      <c r="AA60" s="633" t="s">
        <v>988</v>
      </c>
      <c r="AB60" s="633"/>
      <c r="AC60" s="633" t="s">
        <v>989</v>
      </c>
      <c r="AD60" s="634"/>
    </row>
    <row r="61" spans="3:30">
      <c r="C61" s="238"/>
      <c r="W61" s="241">
        <v>1</v>
      </c>
      <c r="X61" s="633" t="s">
        <v>993</v>
      </c>
      <c r="Y61" s="633"/>
      <c r="Z61" s="633"/>
      <c r="AA61" s="633"/>
      <c r="AB61" s="633"/>
      <c r="AC61" s="633"/>
      <c r="AD61" s="634"/>
    </row>
    <row r="62" spans="3:30">
      <c r="C62" s="238"/>
      <c r="E62" s="485">
        <f>PETA!C61</f>
        <v>0</v>
      </c>
      <c r="W62" s="241">
        <v>2</v>
      </c>
      <c r="X62" s="633" t="s">
        <v>994</v>
      </c>
      <c r="Y62" s="633"/>
      <c r="Z62" s="633"/>
      <c r="AA62" s="633"/>
      <c r="AB62" s="633"/>
      <c r="AC62" s="633"/>
      <c r="AD62" s="634"/>
    </row>
    <row r="63" spans="3:30">
      <c r="C63" s="238"/>
      <c r="W63" s="241">
        <v>3</v>
      </c>
      <c r="X63" s="633" t="s">
        <v>995</v>
      </c>
      <c r="Y63" s="633"/>
      <c r="Z63" s="633"/>
      <c r="AA63" s="633"/>
      <c r="AB63" s="633"/>
      <c r="AC63" s="633"/>
      <c r="AD63" s="634"/>
    </row>
    <row r="64" spans="3:30">
      <c r="C64" s="238"/>
      <c r="W64" s="241">
        <v>4</v>
      </c>
      <c r="X64" s="633" t="s">
        <v>996</v>
      </c>
      <c r="Y64" s="633"/>
      <c r="Z64" s="633"/>
      <c r="AA64" s="633"/>
      <c r="AB64" s="633"/>
      <c r="AC64" s="633"/>
      <c r="AD64" s="634"/>
    </row>
    <row r="65" spans="3:30">
      <c r="C65" s="238"/>
      <c r="W65" s="241">
        <v>5</v>
      </c>
      <c r="X65" s="633" t="s">
        <v>997</v>
      </c>
      <c r="Y65" s="633"/>
      <c r="Z65" s="633"/>
      <c r="AA65" s="633"/>
      <c r="AB65" s="633"/>
      <c r="AC65" s="633"/>
      <c r="AD65" s="634"/>
    </row>
    <row r="66" spans="3:30">
      <c r="C66" s="238"/>
      <c r="W66" s="241">
        <v>6</v>
      </c>
      <c r="X66" s="633" t="s">
        <v>998</v>
      </c>
      <c r="Y66" s="633"/>
      <c r="Z66" s="633"/>
      <c r="AA66" s="633"/>
      <c r="AB66" s="633"/>
      <c r="AC66" s="633"/>
      <c r="AD66" s="634"/>
    </row>
    <row r="67" spans="3:30">
      <c r="C67" s="238"/>
      <c r="W67" s="241">
        <v>7</v>
      </c>
      <c r="X67" s="633" t="s">
        <v>999</v>
      </c>
      <c r="Y67" s="633"/>
      <c r="Z67" s="633"/>
      <c r="AA67" s="633"/>
      <c r="AB67" s="633"/>
      <c r="AC67" s="633"/>
      <c r="AD67" s="634"/>
    </row>
    <row r="68" spans="3:30">
      <c r="C68" s="238"/>
      <c r="W68" s="241">
        <v>8</v>
      </c>
      <c r="X68" s="633" t="s">
        <v>1000</v>
      </c>
      <c r="Y68" s="633"/>
      <c r="Z68" s="633"/>
      <c r="AA68" s="633"/>
      <c r="AB68" s="633"/>
      <c r="AC68" s="633"/>
      <c r="AD68" s="634"/>
    </row>
    <row r="69" spans="3:30">
      <c r="C69" s="238"/>
      <c r="W69" s="241">
        <v>9</v>
      </c>
      <c r="X69" s="633" t="s">
        <v>1001</v>
      </c>
      <c r="Y69" s="633"/>
      <c r="Z69" s="633"/>
      <c r="AA69" s="633"/>
      <c r="AB69" s="633"/>
      <c r="AC69" s="633"/>
      <c r="AD69" s="634"/>
    </row>
    <row r="70" spans="3:30">
      <c r="C70" s="238"/>
      <c r="W70" s="241">
        <v>10</v>
      </c>
      <c r="X70" s="633" t="s">
        <v>1010</v>
      </c>
      <c r="Y70" s="633"/>
      <c r="Z70" s="633"/>
      <c r="AA70" s="633"/>
      <c r="AB70" s="633"/>
      <c r="AC70" s="633"/>
      <c r="AD70" s="634"/>
    </row>
    <row r="71" spans="3:30">
      <c r="C71" s="238"/>
      <c r="W71" s="241">
        <v>11</v>
      </c>
      <c r="X71" s="633" t="s">
        <v>1455</v>
      </c>
      <c r="Y71" s="633"/>
      <c r="Z71" s="633"/>
      <c r="AA71" s="633"/>
      <c r="AB71" s="633"/>
      <c r="AC71" s="633"/>
      <c r="AD71" s="634"/>
    </row>
    <row r="72" spans="3:30">
      <c r="C72" s="238"/>
      <c r="S72" s="242"/>
      <c r="W72" s="241">
        <v>12</v>
      </c>
      <c r="X72" s="633" t="s">
        <v>1011</v>
      </c>
      <c r="Y72" s="633"/>
      <c r="Z72" s="633"/>
      <c r="AA72" s="633"/>
      <c r="AB72" s="633"/>
      <c r="AC72" s="633"/>
      <c r="AD72" s="634"/>
    </row>
    <row r="73" spans="3:30">
      <c r="C73" s="243"/>
      <c r="D73" s="244"/>
      <c r="E73" s="244"/>
      <c r="W73" s="241">
        <v>13</v>
      </c>
      <c r="X73" s="633"/>
      <c r="Y73" s="633"/>
      <c r="Z73" s="633"/>
      <c r="AA73" s="633"/>
      <c r="AB73" s="633"/>
      <c r="AC73" s="633"/>
      <c r="AD73" s="634"/>
    </row>
    <row r="74" spans="3:30">
      <c r="C74" s="238"/>
      <c r="W74" s="245"/>
      <c r="X74" s="679"/>
      <c r="Y74" s="679"/>
      <c r="Z74" s="679"/>
      <c r="AA74" s="679"/>
      <c r="AB74" s="679"/>
      <c r="AC74" s="679"/>
      <c r="AD74" s="680"/>
    </row>
    <row r="75" spans="3:30">
      <c r="C75" s="238"/>
      <c r="O75" s="493"/>
      <c r="W75" s="668" t="s">
        <v>992</v>
      </c>
      <c r="X75" s="669"/>
      <c r="Y75" s="669"/>
      <c r="Z75" s="669"/>
      <c r="AA75" s="669"/>
      <c r="AB75" s="669"/>
      <c r="AC75" s="669"/>
      <c r="AD75" s="670"/>
    </row>
    <row r="76" spans="3:30">
      <c r="C76" s="238"/>
      <c r="O76" s="493"/>
      <c r="W76" s="671" t="s">
        <v>985</v>
      </c>
      <c r="X76" s="672"/>
      <c r="Y76" s="672"/>
      <c r="Z76" s="673"/>
      <c r="AA76" s="674" t="s">
        <v>986</v>
      </c>
      <c r="AB76" s="675"/>
      <c r="AC76" s="675"/>
      <c r="AD76" s="676"/>
    </row>
    <row r="77" spans="3:30">
      <c r="C77" s="238"/>
      <c r="O77" s="493"/>
      <c r="W77" s="723" t="s">
        <v>1653</v>
      </c>
      <c r="X77" s="724"/>
      <c r="Y77" s="725" t="s">
        <v>1058</v>
      </c>
      <c r="Z77" s="725">
        <v>1</v>
      </c>
      <c r="AA77" s="677"/>
      <c r="AB77" s="678"/>
      <c r="AC77" s="248"/>
      <c r="AD77" s="249"/>
    </row>
    <row r="78" spans="3:30">
      <c r="C78" s="238"/>
      <c r="O78" s="493"/>
      <c r="W78" s="727" t="s">
        <v>1621</v>
      </c>
      <c r="X78" s="731"/>
      <c r="Y78" s="725" t="s">
        <v>1058</v>
      </c>
      <c r="Z78" s="726">
        <v>5</v>
      </c>
      <c r="AA78" s="666"/>
      <c r="AB78" s="667"/>
      <c r="AC78" s="248"/>
      <c r="AD78" s="249"/>
    </row>
    <row r="79" spans="3:30">
      <c r="C79" s="238"/>
      <c r="O79" s="493"/>
      <c r="W79" s="727" t="s">
        <v>1646</v>
      </c>
      <c r="X79" s="728"/>
      <c r="Y79" s="725" t="s">
        <v>1058</v>
      </c>
      <c r="Z79" s="725">
        <v>13</v>
      </c>
      <c r="AA79" s="664"/>
      <c r="AB79" s="665"/>
      <c r="AC79" s="248"/>
      <c r="AD79" s="249"/>
    </row>
    <row r="80" spans="3:30">
      <c r="C80" s="238"/>
      <c r="O80" s="493"/>
      <c r="W80" s="727" t="s">
        <v>1647</v>
      </c>
      <c r="X80" s="728"/>
      <c r="Y80" s="725" t="s">
        <v>1641</v>
      </c>
      <c r="Z80" s="726">
        <v>5</v>
      </c>
      <c r="AA80" s="666"/>
      <c r="AB80" s="667"/>
      <c r="AC80" s="248"/>
      <c r="AD80" s="249"/>
    </row>
    <row r="81" spans="3:30">
      <c r="C81" s="238"/>
      <c r="O81" s="493"/>
      <c r="W81" s="729" t="s">
        <v>1648</v>
      </c>
      <c r="X81" s="730"/>
      <c r="Y81" s="725" t="s">
        <v>1641</v>
      </c>
      <c r="Z81" s="726">
        <v>1</v>
      </c>
      <c r="AA81" s="666"/>
      <c r="AB81" s="667"/>
      <c r="AC81" s="248"/>
      <c r="AD81" s="249"/>
    </row>
    <row r="82" spans="3:30">
      <c r="C82" s="238"/>
      <c r="W82" s="727" t="s">
        <v>1623</v>
      </c>
      <c r="X82" s="728"/>
      <c r="Y82" s="725" t="s">
        <v>1058</v>
      </c>
      <c r="Z82" s="725">
        <v>6</v>
      </c>
      <c r="AA82" s="661"/>
      <c r="AB82" s="656"/>
      <c r="AC82" s="248"/>
      <c r="AD82" s="249"/>
    </row>
    <row r="83" spans="3:30">
      <c r="C83" s="238"/>
      <c r="W83" s="727" t="s">
        <v>1630</v>
      </c>
      <c r="X83" s="731"/>
      <c r="Y83" s="725" t="s">
        <v>1058</v>
      </c>
      <c r="Z83" s="726">
        <v>6</v>
      </c>
      <c r="AA83" s="661"/>
      <c r="AB83" s="656"/>
      <c r="AC83" s="248"/>
      <c r="AD83" s="249"/>
    </row>
    <row r="84" spans="3:30">
      <c r="C84" s="238"/>
      <c r="W84" s="723" t="s">
        <v>1624</v>
      </c>
      <c r="X84" s="724"/>
      <c r="Y84" s="725" t="s">
        <v>1058</v>
      </c>
      <c r="Z84" s="726">
        <v>1</v>
      </c>
      <c r="AA84" s="661"/>
      <c r="AB84" s="656"/>
      <c r="AC84" s="248"/>
      <c r="AD84" s="249"/>
    </row>
    <row r="85" spans="3:30">
      <c r="C85" s="238"/>
      <c r="W85" s="729" t="s">
        <v>1625</v>
      </c>
      <c r="X85" s="730"/>
      <c r="Y85" s="725" t="s">
        <v>1058</v>
      </c>
      <c r="Z85" s="726">
        <v>1</v>
      </c>
      <c r="AA85" s="661"/>
      <c r="AB85" s="656"/>
      <c r="AC85" s="248"/>
      <c r="AD85" s="249"/>
    </row>
    <row r="86" spans="3:30">
      <c r="C86" s="238"/>
      <c r="U86" s="250"/>
      <c r="W86" s="729" t="s">
        <v>1626</v>
      </c>
      <c r="X86" s="730"/>
      <c r="Y86" s="725" t="s">
        <v>1058</v>
      </c>
      <c r="Z86" s="726">
        <v>1</v>
      </c>
      <c r="AA86" s="661"/>
      <c r="AB86" s="656"/>
      <c r="AC86" s="248"/>
      <c r="AD86" s="249"/>
    </row>
    <row r="87" spans="3:30">
      <c r="C87" s="238"/>
      <c r="U87" s="250"/>
      <c r="W87" s="727" t="s">
        <v>1649</v>
      </c>
      <c r="X87" s="728"/>
      <c r="Y87" s="725" t="s">
        <v>579</v>
      </c>
      <c r="Z87" s="725">
        <f>(110*20)</f>
        <v>2200</v>
      </c>
      <c r="AA87" s="661"/>
      <c r="AB87" s="656"/>
      <c r="AC87" s="248"/>
      <c r="AD87" s="249"/>
    </row>
    <row r="88" spans="3:30">
      <c r="C88" s="238"/>
      <c r="W88" s="475"/>
      <c r="X88" s="476"/>
      <c r="Y88" s="246"/>
      <c r="Z88" s="247"/>
      <c r="AA88" s="661"/>
      <c r="AB88" s="656"/>
      <c r="AC88" s="248"/>
      <c r="AD88" s="249"/>
    </row>
    <row r="89" spans="3:30">
      <c r="C89" s="238"/>
      <c r="W89" s="475"/>
      <c r="X89" s="476"/>
      <c r="Y89" s="246"/>
      <c r="Z89" s="247"/>
      <c r="AA89" s="661"/>
      <c r="AB89" s="656"/>
      <c r="AC89" s="248"/>
      <c r="AD89" s="249"/>
    </row>
    <row r="90" spans="3:30">
      <c r="C90" s="238"/>
      <c r="W90" s="662"/>
      <c r="X90" s="663"/>
      <c r="Y90" s="246"/>
      <c r="Z90" s="247"/>
      <c r="AA90" s="661"/>
      <c r="AB90" s="656"/>
      <c r="AC90" s="248"/>
      <c r="AD90" s="249"/>
    </row>
    <row r="91" spans="3:30">
      <c r="C91" s="238"/>
      <c r="W91" s="653"/>
      <c r="X91" s="654"/>
      <c r="Y91" s="246"/>
      <c r="Z91" s="251"/>
      <c r="AA91" s="655"/>
      <c r="AB91" s="656"/>
      <c r="AC91" s="248"/>
      <c r="AD91" s="249"/>
    </row>
    <row r="92" spans="3:30">
      <c r="C92" s="238"/>
      <c r="W92" s="657"/>
      <c r="X92" s="658"/>
      <c r="Y92" s="246"/>
      <c r="Z92" s="251"/>
      <c r="AA92" s="659"/>
      <c r="AB92" s="660"/>
      <c r="AC92" s="252"/>
      <c r="AD92" s="253"/>
    </row>
    <row r="93" spans="3:30">
      <c r="C93" s="238"/>
      <c r="W93" s="657"/>
      <c r="X93" s="658"/>
      <c r="Y93" s="254"/>
      <c r="Z93" s="251"/>
      <c r="AA93" s="255"/>
      <c r="AB93" s="256"/>
      <c r="AC93" s="252"/>
      <c r="AD93" s="253"/>
    </row>
    <row r="94" spans="3:30">
      <c r="C94" s="238"/>
      <c r="D94" s="492"/>
      <c r="W94" s="657"/>
      <c r="X94" s="658"/>
      <c r="Y94" s="254"/>
      <c r="Z94" s="257"/>
      <c r="AA94" s="649"/>
      <c r="AB94" s="650"/>
      <c r="AC94" s="252"/>
      <c r="AD94" s="253"/>
    </row>
    <row r="95" spans="3:30">
      <c r="C95" s="238"/>
      <c r="D95" s="492"/>
      <c r="W95" s="645"/>
      <c r="X95" s="646"/>
      <c r="Y95" s="254"/>
      <c r="Z95" s="257"/>
      <c r="AA95" s="258"/>
      <c r="AB95" s="259"/>
      <c r="AC95" s="252"/>
      <c r="AD95" s="253"/>
    </row>
    <row r="96" spans="3:30">
      <c r="C96" s="238"/>
      <c r="D96" s="492"/>
      <c r="W96" s="647"/>
      <c r="X96" s="648"/>
      <c r="Y96" s="260"/>
      <c r="Z96" s="261"/>
      <c r="AA96" s="649"/>
      <c r="AB96" s="650"/>
      <c r="AC96" s="252"/>
      <c r="AD96" s="253"/>
    </row>
    <row r="97" spans="3:30">
      <c r="C97" s="238"/>
      <c r="D97" s="492"/>
      <c r="W97" s="651" t="s">
        <v>1456</v>
      </c>
      <c r="X97" s="652"/>
      <c r="Y97" s="652"/>
      <c r="Z97" s="652"/>
      <c r="AA97" s="262"/>
      <c r="AB97" s="262"/>
      <c r="AC97" s="262"/>
      <c r="AD97" s="263"/>
    </row>
    <row r="98" spans="3:30">
      <c r="C98" s="238"/>
      <c r="D98" s="492"/>
      <c r="V98" s="264"/>
      <c r="W98" s="265"/>
      <c r="X98" s="266"/>
      <c r="Y98" s="266"/>
      <c r="Z98" s="266"/>
      <c r="AA98" s="266"/>
      <c r="AB98" s="266"/>
      <c r="AC98" s="266"/>
      <c r="AD98" s="267"/>
    </row>
    <row r="99" spans="3:30">
      <c r="C99" s="268"/>
      <c r="D99" s="492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4"/>
      <c r="W99" s="630" t="s">
        <v>11</v>
      </c>
      <c r="X99" s="631"/>
      <c r="Y99" s="633"/>
      <c r="Z99" s="633"/>
      <c r="AA99" s="633"/>
      <c r="AB99" s="633"/>
      <c r="AC99" s="633"/>
      <c r="AD99" s="634"/>
    </row>
    <row r="100" spans="3:30">
      <c r="C100" s="268"/>
      <c r="D100" s="492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4"/>
      <c r="W100" s="630" t="s">
        <v>984</v>
      </c>
      <c r="X100" s="631"/>
      <c r="Y100" s="633">
        <v>1</v>
      </c>
      <c r="Z100" s="633"/>
      <c r="AA100" s="633"/>
      <c r="AB100" s="633" t="s">
        <v>12</v>
      </c>
      <c r="AC100" s="633"/>
      <c r="AD100" s="270" t="s">
        <v>13</v>
      </c>
    </row>
    <row r="101" spans="3:30">
      <c r="C101" s="268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4"/>
      <c r="W101" s="630" t="s">
        <v>15</v>
      </c>
      <c r="X101" s="631"/>
      <c r="Y101" s="644"/>
      <c r="Z101" s="644"/>
      <c r="AA101" s="644"/>
      <c r="AB101" s="633" t="s">
        <v>16</v>
      </c>
      <c r="AC101" s="633"/>
      <c r="AD101" s="271"/>
    </row>
    <row r="102" spans="3:30">
      <c r="C102" s="268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4"/>
      <c r="W102" s="638" t="s">
        <v>17</v>
      </c>
      <c r="X102" s="638"/>
      <c r="Y102" s="638"/>
      <c r="Z102" s="638"/>
      <c r="AA102" s="638"/>
      <c r="AB102" s="638"/>
      <c r="AC102" s="638"/>
      <c r="AD102" s="639"/>
    </row>
    <row r="103" spans="3:30">
      <c r="C103" s="268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4"/>
      <c r="W103" s="640">
        <f ca="1">RAB!G61</f>
        <v>45000</v>
      </c>
      <c r="X103" s="640"/>
      <c r="Y103" s="640"/>
      <c r="Z103" s="640"/>
      <c r="AA103" s="640"/>
      <c r="AB103" s="640"/>
      <c r="AC103" s="640"/>
      <c r="AD103" s="641"/>
    </row>
    <row r="104" spans="3:30">
      <c r="C104" s="268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72"/>
      <c r="W104" s="640"/>
      <c r="X104" s="640"/>
      <c r="Y104" s="640"/>
      <c r="Z104" s="640"/>
      <c r="AA104" s="640"/>
      <c r="AB104" s="640"/>
      <c r="AC104" s="640"/>
      <c r="AD104" s="641"/>
    </row>
    <row r="105" spans="3:30">
      <c r="C105" s="268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72"/>
      <c r="W105" s="640"/>
      <c r="X105" s="640"/>
      <c r="Y105" s="640"/>
      <c r="Z105" s="640"/>
      <c r="AA105" s="640"/>
      <c r="AB105" s="640"/>
      <c r="AC105" s="640"/>
      <c r="AD105" s="641"/>
    </row>
    <row r="106" spans="3:30">
      <c r="C106" s="268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72"/>
      <c r="W106" s="642"/>
      <c r="X106" s="642"/>
      <c r="Y106" s="642"/>
      <c r="Z106" s="642"/>
      <c r="AA106" s="642"/>
      <c r="AB106" s="642"/>
      <c r="AC106" s="642"/>
      <c r="AD106" s="643"/>
    </row>
    <row r="107" spans="3:30">
      <c r="C107" s="268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4"/>
      <c r="W107" s="630" t="s">
        <v>18</v>
      </c>
      <c r="X107" s="631"/>
      <c r="Y107" s="633" t="s">
        <v>1549</v>
      </c>
      <c r="Z107" s="633"/>
      <c r="AA107" s="633"/>
      <c r="AB107" s="633"/>
      <c r="AC107" s="633"/>
      <c r="AD107" s="634"/>
    </row>
    <row r="108" spans="3:30">
      <c r="C108" s="268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V108" s="264"/>
      <c r="W108" s="630" t="s">
        <v>19</v>
      </c>
      <c r="X108" s="631"/>
      <c r="Y108" s="633" t="s">
        <v>1549</v>
      </c>
      <c r="Z108" s="633"/>
      <c r="AA108" s="633"/>
      <c r="AB108" s="633"/>
      <c r="AC108" s="633"/>
      <c r="AD108" s="634"/>
    </row>
    <row r="109" spans="3:30" ht="12.75" thickBot="1">
      <c r="C109" s="268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V109" s="264"/>
      <c r="W109" s="630" t="s">
        <v>20</v>
      </c>
      <c r="X109" s="631"/>
      <c r="Y109" s="632" t="s">
        <v>1550</v>
      </c>
      <c r="Z109" s="632"/>
      <c r="AA109" s="632"/>
      <c r="AB109" s="633"/>
      <c r="AC109" s="633"/>
      <c r="AD109" s="634"/>
    </row>
    <row r="110" spans="3:30" ht="12.75" thickBot="1">
      <c r="C110" s="273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5"/>
      <c r="V110" s="276"/>
      <c r="W110" s="635" t="s">
        <v>21</v>
      </c>
      <c r="X110" s="636"/>
      <c r="Y110" s="632" t="s">
        <v>1551</v>
      </c>
      <c r="Z110" s="632"/>
      <c r="AA110" s="632"/>
      <c r="AB110" s="632"/>
      <c r="AC110" s="632"/>
      <c r="AD110" s="637"/>
    </row>
    <row r="111" spans="3:30">
      <c r="C111" s="721"/>
      <c r="D111" s="721"/>
      <c r="E111" s="721"/>
      <c r="F111" s="721"/>
      <c r="G111" s="721"/>
      <c r="H111" s="721"/>
      <c r="I111" s="721"/>
      <c r="J111" s="721"/>
      <c r="K111" s="721"/>
      <c r="L111" s="721"/>
      <c r="M111" s="721"/>
      <c r="N111" s="721"/>
      <c r="O111" s="721"/>
      <c r="P111" s="721"/>
      <c r="Q111" s="721"/>
      <c r="R111" s="721"/>
      <c r="S111" s="721"/>
      <c r="T111" s="721"/>
      <c r="U111" s="722"/>
      <c r="V111" s="722"/>
      <c r="W111" s="722"/>
      <c r="X111" s="722"/>
      <c r="Y111" s="722"/>
      <c r="Z111" s="722"/>
      <c r="AA111" s="722"/>
      <c r="AB111" s="722"/>
      <c r="AC111" s="722"/>
      <c r="AD111" s="722"/>
    </row>
    <row r="112" spans="3:30">
      <c r="C112" s="721"/>
      <c r="D112" s="721"/>
      <c r="E112" s="721"/>
      <c r="F112" s="721"/>
      <c r="G112" s="721"/>
      <c r="H112" s="721"/>
      <c r="I112" s="721"/>
      <c r="J112" s="721"/>
      <c r="K112" s="721"/>
      <c r="L112" s="721"/>
      <c r="M112" s="721"/>
      <c r="N112" s="721"/>
      <c r="O112" s="721"/>
      <c r="P112" s="721"/>
      <c r="Q112" s="721"/>
      <c r="R112" s="721"/>
      <c r="S112" s="721"/>
      <c r="T112" s="721"/>
      <c r="U112" s="722"/>
      <c r="V112" s="722"/>
      <c r="W112" s="722"/>
      <c r="X112" s="722"/>
      <c r="Y112" s="722"/>
      <c r="Z112" s="722"/>
      <c r="AA112" s="722"/>
      <c r="AB112" s="722"/>
      <c r="AC112" s="722"/>
      <c r="AD112" s="722"/>
    </row>
    <row r="113" spans="3:30" ht="12.75" thickBot="1"/>
    <row r="114" spans="3:30">
      <c r="C114" s="236"/>
      <c r="D114" s="237"/>
      <c r="E114" s="237"/>
      <c r="F114" s="237"/>
      <c r="G114" s="237"/>
      <c r="H114" s="237"/>
      <c r="I114" s="237"/>
      <c r="J114" s="237"/>
      <c r="K114" s="237"/>
      <c r="L114" s="237"/>
      <c r="M114" s="237"/>
      <c r="N114" s="237"/>
      <c r="O114" s="237"/>
      <c r="P114" s="237"/>
      <c r="Q114" s="237"/>
      <c r="R114" s="237"/>
      <c r="S114" s="237"/>
      <c r="T114" s="237"/>
      <c r="U114" s="237"/>
      <c r="V114" s="237"/>
      <c r="W114" s="681" t="s">
        <v>1439</v>
      </c>
      <c r="X114" s="682"/>
      <c r="Y114" s="682"/>
      <c r="Z114" s="682"/>
      <c r="AA114" s="682"/>
      <c r="AB114" s="682"/>
      <c r="AC114" s="682"/>
      <c r="AD114" s="683"/>
    </row>
    <row r="115" spans="3:30">
      <c r="C115" s="238"/>
      <c r="W115" s="684"/>
      <c r="X115" s="685"/>
      <c r="Y115" s="685"/>
      <c r="Z115" s="685"/>
      <c r="AA115" s="685"/>
      <c r="AB115" s="685"/>
      <c r="AC115" s="685"/>
      <c r="AD115" s="686"/>
    </row>
    <row r="116" spans="3:30">
      <c r="C116" s="238"/>
      <c r="W116" s="239" t="s">
        <v>987</v>
      </c>
      <c r="AD116" s="240"/>
    </row>
    <row r="117" spans="3:30">
      <c r="C117" s="238"/>
      <c r="W117" s="241" t="s">
        <v>991</v>
      </c>
      <c r="X117" s="633" t="s">
        <v>990</v>
      </c>
      <c r="Y117" s="633"/>
      <c r="Z117" s="633"/>
      <c r="AA117" s="633" t="s">
        <v>988</v>
      </c>
      <c r="AB117" s="633"/>
      <c r="AC117" s="633" t="s">
        <v>989</v>
      </c>
      <c r="AD117" s="634"/>
    </row>
    <row r="118" spans="3:30">
      <c r="C118" s="238"/>
      <c r="W118" s="241">
        <v>1</v>
      </c>
      <c r="X118" s="633" t="s">
        <v>993</v>
      </c>
      <c r="Y118" s="633"/>
      <c r="Z118" s="633"/>
      <c r="AA118" s="633"/>
      <c r="AB118" s="633"/>
      <c r="AC118" s="633"/>
      <c r="AD118" s="634"/>
    </row>
    <row r="119" spans="3:30">
      <c r="C119" s="238"/>
      <c r="E119" s="485">
        <f>PETA!C116</f>
        <v>0</v>
      </c>
      <c r="W119" s="241">
        <v>2</v>
      </c>
      <c r="X119" s="633" t="s">
        <v>994</v>
      </c>
      <c r="Y119" s="633"/>
      <c r="Z119" s="633"/>
      <c r="AA119" s="633"/>
      <c r="AB119" s="633"/>
      <c r="AC119" s="633"/>
      <c r="AD119" s="634"/>
    </row>
    <row r="120" spans="3:30">
      <c r="C120" s="238"/>
      <c r="W120" s="241">
        <v>3</v>
      </c>
      <c r="X120" s="633" t="s">
        <v>995</v>
      </c>
      <c r="Y120" s="633"/>
      <c r="Z120" s="633"/>
      <c r="AA120" s="633"/>
      <c r="AB120" s="633"/>
      <c r="AC120" s="633"/>
      <c r="AD120" s="634"/>
    </row>
    <row r="121" spans="3:30">
      <c r="C121" s="238"/>
      <c r="W121" s="241">
        <v>4</v>
      </c>
      <c r="X121" s="633" t="s">
        <v>996</v>
      </c>
      <c r="Y121" s="633"/>
      <c r="Z121" s="633"/>
      <c r="AA121" s="633"/>
      <c r="AB121" s="633"/>
      <c r="AC121" s="633"/>
      <c r="AD121" s="634"/>
    </row>
    <row r="122" spans="3:30">
      <c r="C122" s="238"/>
      <c r="W122" s="241">
        <v>5</v>
      </c>
      <c r="X122" s="633" t="s">
        <v>997</v>
      </c>
      <c r="Y122" s="633"/>
      <c r="Z122" s="633"/>
      <c r="AA122" s="633"/>
      <c r="AB122" s="633"/>
      <c r="AC122" s="633"/>
      <c r="AD122" s="634"/>
    </row>
    <row r="123" spans="3:30">
      <c r="C123" s="238"/>
      <c r="W123" s="241">
        <v>6</v>
      </c>
      <c r="X123" s="633" t="s">
        <v>998</v>
      </c>
      <c r="Y123" s="633"/>
      <c r="Z123" s="633"/>
      <c r="AA123" s="633"/>
      <c r="AB123" s="633"/>
      <c r="AC123" s="633"/>
      <c r="AD123" s="634"/>
    </row>
    <row r="124" spans="3:30">
      <c r="C124" s="238"/>
      <c r="W124" s="241">
        <v>7</v>
      </c>
      <c r="X124" s="633" t="s">
        <v>999</v>
      </c>
      <c r="Y124" s="633"/>
      <c r="Z124" s="633"/>
      <c r="AA124" s="633"/>
      <c r="AB124" s="633"/>
      <c r="AC124" s="633"/>
      <c r="AD124" s="634"/>
    </row>
    <row r="125" spans="3:30">
      <c r="C125" s="238"/>
      <c r="W125" s="241">
        <v>8</v>
      </c>
      <c r="X125" s="633" t="s">
        <v>1000</v>
      </c>
      <c r="Y125" s="633"/>
      <c r="Z125" s="633"/>
      <c r="AA125" s="633"/>
      <c r="AB125" s="633"/>
      <c r="AC125" s="633"/>
      <c r="AD125" s="634"/>
    </row>
    <row r="126" spans="3:30">
      <c r="C126" s="238"/>
      <c r="W126" s="241">
        <v>9</v>
      </c>
      <c r="X126" s="633" t="s">
        <v>1001</v>
      </c>
      <c r="Y126" s="633"/>
      <c r="Z126" s="633"/>
      <c r="AA126" s="633"/>
      <c r="AB126" s="633"/>
      <c r="AC126" s="633"/>
      <c r="AD126" s="634"/>
    </row>
    <row r="127" spans="3:30">
      <c r="C127" s="238"/>
      <c r="W127" s="241">
        <v>10</v>
      </c>
      <c r="X127" s="633" t="s">
        <v>1010</v>
      </c>
      <c r="Y127" s="633"/>
      <c r="Z127" s="633"/>
      <c r="AA127" s="633"/>
      <c r="AB127" s="633"/>
      <c r="AC127" s="633"/>
      <c r="AD127" s="634"/>
    </row>
    <row r="128" spans="3:30">
      <c r="C128" s="238"/>
      <c r="W128" s="241">
        <v>11</v>
      </c>
      <c r="X128" s="633" t="s">
        <v>1455</v>
      </c>
      <c r="Y128" s="633"/>
      <c r="Z128" s="633"/>
      <c r="AA128" s="633"/>
      <c r="AB128" s="633"/>
      <c r="AC128" s="633"/>
      <c r="AD128" s="634"/>
    </row>
    <row r="129" spans="3:30">
      <c r="C129" s="238"/>
      <c r="S129" s="242"/>
      <c r="W129" s="241">
        <v>12</v>
      </c>
      <c r="X129" s="633" t="s">
        <v>1011</v>
      </c>
      <c r="Y129" s="633"/>
      <c r="Z129" s="633"/>
      <c r="AA129" s="633"/>
      <c r="AB129" s="633"/>
      <c r="AC129" s="633"/>
      <c r="AD129" s="634"/>
    </row>
    <row r="130" spans="3:30">
      <c r="C130" s="243"/>
      <c r="D130" s="244"/>
      <c r="E130" s="244"/>
      <c r="W130" s="241">
        <v>13</v>
      </c>
      <c r="X130" s="633"/>
      <c r="Y130" s="633"/>
      <c r="Z130" s="633"/>
      <c r="AA130" s="633"/>
      <c r="AB130" s="633"/>
      <c r="AC130" s="633"/>
      <c r="AD130" s="634"/>
    </row>
    <row r="131" spans="3:30">
      <c r="C131" s="238"/>
      <c r="W131" s="245"/>
      <c r="X131" s="679"/>
      <c r="Y131" s="679"/>
      <c r="Z131" s="679"/>
      <c r="AA131" s="679"/>
      <c r="AB131" s="679"/>
      <c r="AC131" s="679"/>
      <c r="AD131" s="680"/>
    </row>
    <row r="132" spans="3:30">
      <c r="C132" s="238"/>
      <c r="O132" s="493"/>
      <c r="W132" s="668" t="s">
        <v>992</v>
      </c>
      <c r="X132" s="669"/>
      <c r="Y132" s="669"/>
      <c r="Z132" s="669"/>
      <c r="AA132" s="669"/>
      <c r="AB132" s="669"/>
      <c r="AC132" s="669"/>
      <c r="AD132" s="670"/>
    </row>
    <row r="133" spans="3:30">
      <c r="C133" s="238"/>
      <c r="O133" s="493"/>
      <c r="W133" s="671" t="s">
        <v>985</v>
      </c>
      <c r="X133" s="672"/>
      <c r="Y133" s="672"/>
      <c r="Z133" s="673"/>
      <c r="AA133" s="674" t="s">
        <v>986</v>
      </c>
      <c r="AB133" s="675"/>
      <c r="AC133" s="675"/>
      <c r="AD133" s="676"/>
    </row>
    <row r="134" spans="3:30">
      <c r="C134" s="238"/>
      <c r="O134" s="493"/>
      <c r="W134" s="723" t="s">
        <v>1628</v>
      </c>
      <c r="X134" s="724"/>
      <c r="Y134" s="725" t="s">
        <v>1058</v>
      </c>
      <c r="Z134" s="726">
        <v>2</v>
      </c>
      <c r="AA134" s="677" t="s">
        <v>1658</v>
      </c>
      <c r="AB134" s="678"/>
      <c r="AC134" s="248"/>
      <c r="AD134" s="249"/>
    </row>
    <row r="135" spans="3:30">
      <c r="C135" s="238"/>
      <c r="O135" s="493"/>
      <c r="W135" s="723" t="s">
        <v>1621</v>
      </c>
      <c r="X135" s="724"/>
      <c r="Y135" s="725" t="s">
        <v>1058</v>
      </c>
      <c r="Z135" s="726">
        <v>4</v>
      </c>
      <c r="AA135" s="666" t="s">
        <v>1659</v>
      </c>
      <c r="AB135" s="667"/>
      <c r="AC135" s="248"/>
      <c r="AD135" s="249"/>
    </row>
    <row r="136" spans="3:30">
      <c r="C136" s="238"/>
      <c r="O136" s="493"/>
      <c r="W136" s="727" t="s">
        <v>1650</v>
      </c>
      <c r="X136" s="728"/>
      <c r="Y136" s="725" t="s">
        <v>1058</v>
      </c>
      <c r="Z136" s="726">
        <v>3</v>
      </c>
      <c r="AA136" s="664"/>
      <c r="AB136" s="665"/>
      <c r="AC136" s="248"/>
      <c r="AD136" s="249"/>
    </row>
    <row r="137" spans="3:30">
      <c r="C137" s="238"/>
      <c r="O137" s="493"/>
      <c r="W137" s="727" t="s">
        <v>1651</v>
      </c>
      <c r="X137" s="728"/>
      <c r="Y137" s="725" t="s">
        <v>1058</v>
      </c>
      <c r="Z137" s="726">
        <v>1</v>
      </c>
      <c r="AA137" s="666"/>
      <c r="AB137" s="667"/>
      <c r="AC137" s="248"/>
      <c r="AD137" s="249"/>
    </row>
    <row r="138" spans="3:30">
      <c r="C138" s="238"/>
      <c r="O138" s="493"/>
      <c r="W138" s="727" t="s">
        <v>1649</v>
      </c>
      <c r="X138" s="728"/>
      <c r="Y138" s="725" t="s">
        <v>579</v>
      </c>
      <c r="Z138" s="726">
        <f>(110*9)</f>
        <v>990</v>
      </c>
      <c r="AA138" s="666"/>
      <c r="AB138" s="667"/>
      <c r="AC138" s="248"/>
      <c r="AD138" s="249"/>
    </row>
    <row r="139" spans="3:30">
      <c r="C139" s="238"/>
      <c r="W139" s="729" t="s">
        <v>1647</v>
      </c>
      <c r="X139" s="730"/>
      <c r="Y139" s="725" t="s">
        <v>1058</v>
      </c>
      <c r="Z139" s="726">
        <v>5</v>
      </c>
      <c r="AA139" s="661"/>
      <c r="AB139" s="656"/>
      <c r="AC139" s="248"/>
      <c r="AD139" s="249"/>
    </row>
    <row r="140" spans="3:30">
      <c r="C140" s="238"/>
      <c r="W140" s="727" t="s">
        <v>1623</v>
      </c>
      <c r="X140" s="728"/>
      <c r="Y140" s="725" t="s">
        <v>1058</v>
      </c>
      <c r="Z140" s="726">
        <v>3</v>
      </c>
      <c r="AA140" s="661"/>
      <c r="AB140" s="656"/>
      <c r="AC140" s="248"/>
      <c r="AD140" s="249"/>
    </row>
    <row r="141" spans="3:30">
      <c r="C141" s="238"/>
      <c r="W141" s="475"/>
      <c r="X141" s="476"/>
      <c r="Y141" s="246"/>
      <c r="Z141" s="247"/>
      <c r="AA141" s="661"/>
      <c r="AB141" s="656"/>
      <c r="AC141" s="248"/>
      <c r="AD141" s="249"/>
    </row>
    <row r="142" spans="3:30">
      <c r="C142" s="238"/>
      <c r="W142" s="477"/>
      <c r="X142" s="478"/>
      <c r="Y142" s="246"/>
      <c r="Z142" s="247"/>
      <c r="AA142" s="661"/>
      <c r="AB142" s="656"/>
      <c r="AC142" s="248"/>
      <c r="AD142" s="249"/>
    </row>
    <row r="143" spans="3:30">
      <c r="C143" s="238"/>
      <c r="U143" s="250"/>
      <c r="W143" s="475"/>
      <c r="X143" s="476"/>
      <c r="Y143" s="246"/>
      <c r="Z143" s="247"/>
      <c r="AA143" s="661"/>
      <c r="AB143" s="656"/>
      <c r="AC143" s="248"/>
      <c r="AD143" s="249"/>
    </row>
    <row r="144" spans="3:30">
      <c r="C144" s="238"/>
      <c r="U144" s="250"/>
      <c r="W144" s="475"/>
      <c r="X144" s="476"/>
      <c r="Y144" s="246"/>
      <c r="Z144" s="247"/>
      <c r="AA144" s="661"/>
      <c r="AB144" s="656"/>
      <c r="AC144" s="248"/>
      <c r="AD144" s="249"/>
    </row>
    <row r="145" spans="3:30">
      <c r="C145" s="238"/>
      <c r="W145" s="475"/>
      <c r="X145" s="476"/>
      <c r="Y145" s="246"/>
      <c r="Z145" s="247"/>
      <c r="AA145" s="661"/>
      <c r="AB145" s="656"/>
      <c r="AC145" s="248"/>
      <c r="AD145" s="249"/>
    </row>
    <row r="146" spans="3:30">
      <c r="C146" s="238"/>
      <c r="W146" s="475"/>
      <c r="X146" s="476"/>
      <c r="Y146" s="246"/>
      <c r="Z146" s="247"/>
      <c r="AA146" s="661"/>
      <c r="AB146" s="656"/>
      <c r="AC146" s="248"/>
      <c r="AD146" s="249"/>
    </row>
    <row r="147" spans="3:30">
      <c r="C147" s="238"/>
      <c r="W147" s="662"/>
      <c r="X147" s="663"/>
      <c r="Y147" s="246"/>
      <c r="Z147" s="247"/>
      <c r="AA147" s="661"/>
      <c r="AB147" s="656"/>
      <c r="AC147" s="248"/>
      <c r="AD147" s="249"/>
    </row>
    <row r="148" spans="3:30">
      <c r="C148" s="238"/>
      <c r="W148" s="653"/>
      <c r="X148" s="654"/>
      <c r="Y148" s="246"/>
      <c r="Z148" s="251"/>
      <c r="AA148" s="655"/>
      <c r="AB148" s="656"/>
      <c r="AC148" s="248"/>
      <c r="AD148" s="249"/>
    </row>
    <row r="149" spans="3:30">
      <c r="C149" s="238"/>
      <c r="W149" s="657"/>
      <c r="X149" s="658"/>
      <c r="Y149" s="246"/>
      <c r="Z149" s="251"/>
      <c r="AA149" s="659"/>
      <c r="AB149" s="660"/>
      <c r="AC149" s="252"/>
      <c r="AD149" s="253"/>
    </row>
    <row r="150" spans="3:30">
      <c r="C150" s="238"/>
      <c r="W150" s="657"/>
      <c r="X150" s="658"/>
      <c r="Y150" s="254"/>
      <c r="Z150" s="251"/>
      <c r="AA150" s="255"/>
      <c r="AB150" s="256"/>
      <c r="AC150" s="252"/>
      <c r="AD150" s="253"/>
    </row>
    <row r="151" spans="3:30">
      <c r="C151" s="238"/>
      <c r="D151" s="492"/>
      <c r="W151" s="657"/>
      <c r="X151" s="658"/>
      <c r="Y151" s="254"/>
      <c r="Z151" s="257"/>
      <c r="AA151" s="649"/>
      <c r="AB151" s="650"/>
      <c r="AC151" s="252"/>
      <c r="AD151" s="253"/>
    </row>
    <row r="152" spans="3:30">
      <c r="C152" s="238"/>
      <c r="D152" s="492"/>
      <c r="W152" s="645"/>
      <c r="X152" s="646"/>
      <c r="Y152" s="254"/>
      <c r="Z152" s="257"/>
      <c r="AA152" s="258"/>
      <c r="AB152" s="259"/>
      <c r="AC152" s="252"/>
      <c r="AD152" s="253"/>
    </row>
    <row r="153" spans="3:30">
      <c r="C153" s="238"/>
      <c r="D153" s="492"/>
      <c r="W153" s="647"/>
      <c r="X153" s="648"/>
      <c r="Y153" s="260"/>
      <c r="Z153" s="261"/>
      <c r="AA153" s="649"/>
      <c r="AB153" s="650"/>
      <c r="AC153" s="252"/>
      <c r="AD153" s="253"/>
    </row>
    <row r="154" spans="3:30">
      <c r="C154" s="238"/>
      <c r="D154" s="492"/>
      <c r="W154" s="651" t="s">
        <v>1456</v>
      </c>
      <c r="X154" s="652"/>
      <c r="Y154" s="652"/>
      <c r="Z154" s="652"/>
      <c r="AA154" s="262"/>
      <c r="AB154" s="262"/>
      <c r="AC154" s="262"/>
      <c r="AD154" s="263"/>
    </row>
    <row r="155" spans="3:30">
      <c r="C155" s="238"/>
      <c r="D155" s="492"/>
      <c r="V155" s="264"/>
      <c r="W155" s="265"/>
      <c r="X155" s="266"/>
      <c r="Y155" s="266"/>
      <c r="Z155" s="266"/>
      <c r="AA155" s="266"/>
      <c r="AB155" s="266"/>
      <c r="AC155" s="266"/>
      <c r="AD155" s="267"/>
    </row>
    <row r="156" spans="3:30">
      <c r="C156" s="268"/>
      <c r="D156" s="492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4"/>
      <c r="W156" s="630" t="s">
        <v>11</v>
      </c>
      <c r="X156" s="631"/>
      <c r="Y156" s="633"/>
      <c r="Z156" s="633"/>
      <c r="AA156" s="633"/>
      <c r="AB156" s="633"/>
      <c r="AC156" s="633"/>
      <c r="AD156" s="634"/>
    </row>
    <row r="157" spans="3:30">
      <c r="C157" s="268"/>
      <c r="D157" s="492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4"/>
      <c r="W157" s="630" t="s">
        <v>984</v>
      </c>
      <c r="X157" s="631"/>
      <c r="Y157" s="633">
        <v>1</v>
      </c>
      <c r="Z157" s="633"/>
      <c r="AA157" s="633"/>
      <c r="AB157" s="633" t="s">
        <v>12</v>
      </c>
      <c r="AC157" s="633"/>
      <c r="AD157" s="270" t="s">
        <v>13</v>
      </c>
    </row>
    <row r="158" spans="3:30">
      <c r="C158" s="268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4"/>
      <c r="W158" s="630" t="s">
        <v>15</v>
      </c>
      <c r="X158" s="631"/>
      <c r="Y158" s="644"/>
      <c r="Z158" s="644"/>
      <c r="AA158" s="644"/>
      <c r="AB158" s="633" t="s">
        <v>16</v>
      </c>
      <c r="AC158" s="633"/>
      <c r="AD158" s="271"/>
    </row>
    <row r="159" spans="3:30">
      <c r="C159" s="268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4"/>
      <c r="W159" s="638" t="s">
        <v>17</v>
      </c>
      <c r="X159" s="638"/>
      <c r="Y159" s="638"/>
      <c r="Z159" s="638"/>
      <c r="AA159" s="638"/>
      <c r="AB159" s="638"/>
      <c r="AC159" s="638"/>
      <c r="AD159" s="639"/>
    </row>
    <row r="160" spans="3:30">
      <c r="C160" s="268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4"/>
      <c r="W160" s="640">
        <f ca="1">RAB!G154</f>
        <v>95000</v>
      </c>
      <c r="X160" s="640"/>
      <c r="Y160" s="640"/>
      <c r="Z160" s="640"/>
      <c r="AA160" s="640"/>
      <c r="AB160" s="640"/>
      <c r="AC160" s="640"/>
      <c r="AD160" s="641"/>
    </row>
    <row r="161" spans="3:30">
      <c r="C161" s="268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72"/>
      <c r="W161" s="640"/>
      <c r="X161" s="640"/>
      <c r="Y161" s="640"/>
      <c r="Z161" s="640"/>
      <c r="AA161" s="640"/>
      <c r="AB161" s="640"/>
      <c r="AC161" s="640"/>
      <c r="AD161" s="641"/>
    </row>
    <row r="162" spans="3:30">
      <c r="C162" s="268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72"/>
      <c r="W162" s="640"/>
      <c r="X162" s="640"/>
      <c r="Y162" s="640"/>
      <c r="Z162" s="640"/>
      <c r="AA162" s="640"/>
      <c r="AB162" s="640"/>
      <c r="AC162" s="640"/>
      <c r="AD162" s="641"/>
    </row>
    <row r="163" spans="3:30">
      <c r="C163" s="268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72"/>
      <c r="W163" s="642"/>
      <c r="X163" s="642"/>
      <c r="Y163" s="642"/>
      <c r="Z163" s="642"/>
      <c r="AA163" s="642"/>
      <c r="AB163" s="642"/>
      <c r="AC163" s="642"/>
      <c r="AD163" s="643"/>
    </row>
    <row r="164" spans="3:30">
      <c r="C164" s="268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4"/>
      <c r="W164" s="630" t="s">
        <v>18</v>
      </c>
      <c r="X164" s="631"/>
      <c r="Y164" s="633" t="s">
        <v>1549</v>
      </c>
      <c r="Z164" s="633"/>
      <c r="AA164" s="633"/>
      <c r="AB164" s="633"/>
      <c r="AC164" s="633"/>
      <c r="AD164" s="634"/>
    </row>
    <row r="165" spans="3:30">
      <c r="C165" s="268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V165" s="264"/>
      <c r="W165" s="630" t="s">
        <v>19</v>
      </c>
      <c r="X165" s="631"/>
      <c r="Y165" s="633" t="s">
        <v>1549</v>
      </c>
      <c r="Z165" s="633"/>
      <c r="AA165" s="633"/>
      <c r="AB165" s="633"/>
      <c r="AC165" s="633"/>
      <c r="AD165" s="634"/>
    </row>
    <row r="166" spans="3:30" ht="12.75" thickBot="1">
      <c r="C166" s="268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V166" s="264"/>
      <c r="W166" s="630" t="s">
        <v>20</v>
      </c>
      <c r="X166" s="631"/>
      <c r="Y166" s="632" t="s">
        <v>1550</v>
      </c>
      <c r="Z166" s="632"/>
      <c r="AA166" s="632"/>
      <c r="AB166" s="633"/>
      <c r="AC166" s="633"/>
      <c r="AD166" s="634"/>
    </row>
    <row r="167" spans="3:30" ht="12.75" thickBot="1">
      <c r="C167" s="273"/>
      <c r="D167" s="274"/>
      <c r="E167" s="274"/>
      <c r="F167" s="274"/>
      <c r="G167" s="274"/>
      <c r="H167" s="274"/>
      <c r="I167" s="274"/>
      <c r="J167" s="274"/>
      <c r="K167" s="274"/>
      <c r="L167" s="274"/>
      <c r="M167" s="274"/>
      <c r="N167" s="274"/>
      <c r="O167" s="274"/>
      <c r="P167" s="274"/>
      <c r="Q167" s="274"/>
      <c r="R167" s="274"/>
      <c r="S167" s="274"/>
      <c r="T167" s="274"/>
      <c r="U167" s="275"/>
      <c r="V167" s="276"/>
      <c r="W167" s="635" t="s">
        <v>21</v>
      </c>
      <c r="X167" s="636"/>
      <c r="Y167" s="632" t="s">
        <v>1551</v>
      </c>
      <c r="Z167" s="632"/>
      <c r="AA167" s="632"/>
      <c r="AB167" s="632"/>
      <c r="AC167" s="632"/>
      <c r="AD167" s="637"/>
    </row>
    <row r="169" spans="3:30" ht="12.75" thickBot="1"/>
    <row r="170" spans="3:30">
      <c r="C170" s="236"/>
      <c r="D170" s="237"/>
      <c r="E170" s="237"/>
      <c r="F170" s="237"/>
      <c r="G170" s="237"/>
      <c r="H170" s="237"/>
      <c r="I170" s="237"/>
      <c r="J170" s="237"/>
      <c r="K170" s="237"/>
      <c r="L170" s="237"/>
      <c r="M170" s="237"/>
      <c r="N170" s="237"/>
      <c r="O170" s="237"/>
      <c r="P170" s="237"/>
      <c r="Q170" s="237"/>
      <c r="R170" s="237"/>
      <c r="S170" s="237"/>
      <c r="T170" s="237"/>
      <c r="U170" s="237"/>
      <c r="V170" s="237"/>
      <c r="W170" s="681" t="s">
        <v>1439</v>
      </c>
      <c r="X170" s="682"/>
      <c r="Y170" s="682"/>
      <c r="Z170" s="682"/>
      <c r="AA170" s="682"/>
      <c r="AB170" s="682"/>
      <c r="AC170" s="682"/>
      <c r="AD170" s="683"/>
    </row>
    <row r="171" spans="3:30">
      <c r="C171" s="238"/>
      <c r="W171" s="684"/>
      <c r="X171" s="685"/>
      <c r="Y171" s="685"/>
      <c r="Z171" s="685"/>
      <c r="AA171" s="685"/>
      <c r="AB171" s="685"/>
      <c r="AC171" s="685"/>
      <c r="AD171" s="686"/>
    </row>
    <row r="172" spans="3:30">
      <c r="C172" s="238"/>
      <c r="W172" s="239" t="s">
        <v>987</v>
      </c>
      <c r="AD172" s="240"/>
    </row>
    <row r="173" spans="3:30">
      <c r="C173" s="238"/>
      <c r="W173" s="241" t="s">
        <v>991</v>
      </c>
      <c r="X173" s="633" t="s">
        <v>990</v>
      </c>
      <c r="Y173" s="633"/>
      <c r="Z173" s="633"/>
      <c r="AA173" s="633" t="s">
        <v>988</v>
      </c>
      <c r="AB173" s="633"/>
      <c r="AC173" s="633" t="s">
        <v>989</v>
      </c>
      <c r="AD173" s="634"/>
    </row>
    <row r="174" spans="3:30">
      <c r="C174" s="238"/>
      <c r="W174" s="241">
        <v>1</v>
      </c>
      <c r="X174" s="633" t="s">
        <v>993</v>
      </c>
      <c r="Y174" s="633"/>
      <c r="Z174" s="633"/>
      <c r="AA174" s="633"/>
      <c r="AB174" s="633"/>
      <c r="AC174" s="633"/>
      <c r="AD174" s="634"/>
    </row>
    <row r="175" spans="3:30">
      <c r="C175" s="238"/>
      <c r="E175" s="485">
        <f>PETA!C172</f>
        <v>0</v>
      </c>
      <c r="W175" s="241">
        <v>2</v>
      </c>
      <c r="X175" s="633" t="s">
        <v>994</v>
      </c>
      <c r="Y175" s="633"/>
      <c r="Z175" s="633"/>
      <c r="AA175" s="633"/>
      <c r="AB175" s="633"/>
      <c r="AC175" s="633"/>
      <c r="AD175" s="634"/>
    </row>
    <row r="176" spans="3:30">
      <c r="C176" s="238"/>
      <c r="W176" s="241">
        <v>3</v>
      </c>
      <c r="X176" s="633" t="s">
        <v>995</v>
      </c>
      <c r="Y176" s="633"/>
      <c r="Z176" s="633"/>
      <c r="AA176" s="633"/>
      <c r="AB176" s="633"/>
      <c r="AC176" s="633"/>
      <c r="AD176" s="634"/>
    </row>
    <row r="177" spans="3:30">
      <c r="C177" s="238"/>
      <c r="W177" s="241">
        <v>4</v>
      </c>
      <c r="X177" s="633" t="s">
        <v>996</v>
      </c>
      <c r="Y177" s="633"/>
      <c r="Z177" s="633"/>
      <c r="AA177" s="633"/>
      <c r="AB177" s="633"/>
      <c r="AC177" s="633"/>
      <c r="AD177" s="634"/>
    </row>
    <row r="178" spans="3:30">
      <c r="C178" s="238"/>
      <c r="W178" s="241">
        <v>5</v>
      </c>
      <c r="X178" s="633" t="s">
        <v>997</v>
      </c>
      <c r="Y178" s="633"/>
      <c r="Z178" s="633"/>
      <c r="AA178" s="633"/>
      <c r="AB178" s="633"/>
      <c r="AC178" s="633"/>
      <c r="AD178" s="634"/>
    </row>
    <row r="179" spans="3:30">
      <c r="C179" s="238"/>
      <c r="W179" s="241">
        <v>6</v>
      </c>
      <c r="X179" s="633" t="s">
        <v>998</v>
      </c>
      <c r="Y179" s="633"/>
      <c r="Z179" s="633"/>
      <c r="AA179" s="633"/>
      <c r="AB179" s="633"/>
      <c r="AC179" s="633"/>
      <c r="AD179" s="634"/>
    </row>
    <row r="180" spans="3:30">
      <c r="C180" s="238"/>
      <c r="W180" s="241">
        <v>7</v>
      </c>
      <c r="X180" s="633" t="s">
        <v>999</v>
      </c>
      <c r="Y180" s="633"/>
      <c r="Z180" s="633"/>
      <c r="AA180" s="633"/>
      <c r="AB180" s="633"/>
      <c r="AC180" s="633"/>
      <c r="AD180" s="634"/>
    </row>
    <row r="181" spans="3:30">
      <c r="C181" s="238"/>
      <c r="W181" s="241">
        <v>8</v>
      </c>
      <c r="X181" s="633" t="s">
        <v>1000</v>
      </c>
      <c r="Y181" s="633"/>
      <c r="Z181" s="633"/>
      <c r="AA181" s="633"/>
      <c r="AB181" s="633"/>
      <c r="AC181" s="633"/>
      <c r="AD181" s="634"/>
    </row>
    <row r="182" spans="3:30">
      <c r="C182" s="238"/>
      <c r="W182" s="241">
        <v>9</v>
      </c>
      <c r="X182" s="633" t="s">
        <v>1001</v>
      </c>
      <c r="Y182" s="633"/>
      <c r="Z182" s="633"/>
      <c r="AA182" s="633"/>
      <c r="AB182" s="633"/>
      <c r="AC182" s="633"/>
      <c r="AD182" s="634"/>
    </row>
    <row r="183" spans="3:30">
      <c r="C183" s="238"/>
      <c r="W183" s="241">
        <v>10</v>
      </c>
      <c r="X183" s="633" t="s">
        <v>1010</v>
      </c>
      <c r="Y183" s="633"/>
      <c r="Z183" s="633"/>
      <c r="AA183" s="633"/>
      <c r="AB183" s="633"/>
      <c r="AC183" s="633"/>
      <c r="AD183" s="634"/>
    </row>
    <row r="184" spans="3:30">
      <c r="C184" s="238"/>
      <c r="W184" s="241">
        <v>11</v>
      </c>
      <c r="X184" s="633" t="s">
        <v>1455</v>
      </c>
      <c r="Y184" s="633"/>
      <c r="Z184" s="633"/>
      <c r="AA184" s="633"/>
      <c r="AB184" s="633"/>
      <c r="AC184" s="633"/>
      <c r="AD184" s="634"/>
    </row>
    <row r="185" spans="3:30">
      <c r="C185" s="238"/>
      <c r="S185" s="242"/>
      <c r="W185" s="241">
        <v>12</v>
      </c>
      <c r="X185" s="633" t="s">
        <v>1011</v>
      </c>
      <c r="Y185" s="633"/>
      <c r="Z185" s="633"/>
      <c r="AA185" s="633"/>
      <c r="AB185" s="633"/>
      <c r="AC185" s="633"/>
      <c r="AD185" s="634"/>
    </row>
    <row r="186" spans="3:30">
      <c r="C186" s="243"/>
      <c r="D186" s="244"/>
      <c r="E186" s="244"/>
      <c r="W186" s="241">
        <v>13</v>
      </c>
      <c r="X186" s="633"/>
      <c r="Y186" s="633"/>
      <c r="Z186" s="633"/>
      <c r="AA186" s="633"/>
      <c r="AB186" s="633"/>
      <c r="AC186" s="633"/>
      <c r="AD186" s="634"/>
    </row>
    <row r="187" spans="3:30">
      <c r="C187" s="238"/>
      <c r="W187" s="245"/>
      <c r="X187" s="679"/>
      <c r="Y187" s="679"/>
      <c r="Z187" s="679"/>
      <c r="AA187" s="679"/>
      <c r="AB187" s="679"/>
      <c r="AC187" s="679"/>
      <c r="AD187" s="680"/>
    </row>
    <row r="188" spans="3:30">
      <c r="C188" s="238"/>
      <c r="O188" s="493"/>
      <c r="W188" s="668" t="s">
        <v>992</v>
      </c>
      <c r="X188" s="669"/>
      <c r="Y188" s="669"/>
      <c r="Z188" s="669"/>
      <c r="AA188" s="669"/>
      <c r="AB188" s="669"/>
      <c r="AC188" s="669"/>
      <c r="AD188" s="670"/>
    </row>
    <row r="189" spans="3:30">
      <c r="C189" s="238"/>
      <c r="O189" s="493"/>
      <c r="W189" s="671" t="s">
        <v>985</v>
      </c>
      <c r="X189" s="672"/>
      <c r="Y189" s="672"/>
      <c r="Z189" s="673"/>
      <c r="AA189" s="674" t="s">
        <v>986</v>
      </c>
      <c r="AB189" s="675"/>
      <c r="AC189" s="675"/>
      <c r="AD189" s="676"/>
    </row>
    <row r="190" spans="3:30">
      <c r="C190" s="238"/>
      <c r="O190" s="493"/>
      <c r="W190" s="723"/>
      <c r="X190" s="724"/>
      <c r="Y190" s="725"/>
      <c r="Z190" s="725"/>
      <c r="AA190" s="677"/>
      <c r="AB190" s="678"/>
      <c r="AC190" s="248"/>
      <c r="AD190" s="249"/>
    </row>
    <row r="191" spans="3:30">
      <c r="C191" s="238"/>
      <c r="O191" s="493"/>
      <c r="W191" s="727" t="s">
        <v>1628</v>
      </c>
      <c r="X191" s="728"/>
      <c r="Y191" s="725" t="s">
        <v>1058</v>
      </c>
      <c r="Z191" s="725">
        <v>1</v>
      </c>
      <c r="AA191" s="666"/>
      <c r="AB191" s="667"/>
      <c r="AC191" s="248"/>
      <c r="AD191" s="249"/>
    </row>
    <row r="192" spans="3:30">
      <c r="C192" s="238"/>
      <c r="O192" s="493"/>
      <c r="W192" s="723" t="s">
        <v>1633</v>
      </c>
      <c r="X192" s="724"/>
      <c r="Y192" s="725" t="s">
        <v>1058</v>
      </c>
      <c r="Z192" s="726">
        <v>1</v>
      </c>
      <c r="AA192" s="664"/>
      <c r="AB192" s="665"/>
      <c r="AC192" s="248"/>
      <c r="AD192" s="249"/>
    </row>
    <row r="193" spans="3:30">
      <c r="C193" s="238"/>
      <c r="O193" s="493"/>
      <c r="W193" s="729" t="s">
        <v>1647</v>
      </c>
      <c r="X193" s="730"/>
      <c r="Y193" s="725" t="s">
        <v>1641</v>
      </c>
      <c r="Z193" s="726">
        <v>1</v>
      </c>
      <c r="AA193" s="666"/>
      <c r="AB193" s="667"/>
      <c r="AC193" s="248"/>
      <c r="AD193" s="249"/>
    </row>
    <row r="194" spans="3:30">
      <c r="C194" s="238"/>
      <c r="O194" s="493"/>
      <c r="W194" s="727" t="s">
        <v>1010</v>
      </c>
      <c r="X194" s="731"/>
      <c r="Y194" s="725" t="s">
        <v>1058</v>
      </c>
      <c r="Z194" s="726">
        <v>1</v>
      </c>
      <c r="AA194" s="666"/>
      <c r="AB194" s="667"/>
      <c r="AC194" s="248"/>
      <c r="AD194" s="249"/>
    </row>
    <row r="195" spans="3:30">
      <c r="C195" s="238"/>
      <c r="W195" s="729" t="s">
        <v>1622</v>
      </c>
      <c r="X195" s="730"/>
      <c r="Y195" s="725" t="s">
        <v>1058</v>
      </c>
      <c r="Z195" s="726">
        <v>1</v>
      </c>
      <c r="AA195" s="661"/>
      <c r="AB195" s="656"/>
      <c r="AC195" s="248"/>
      <c r="AD195" s="249"/>
    </row>
    <row r="196" spans="3:30">
      <c r="C196" s="238"/>
      <c r="W196" s="723" t="s">
        <v>1660</v>
      </c>
      <c r="X196" s="724"/>
      <c r="Y196" s="725" t="s">
        <v>1058</v>
      </c>
      <c r="Z196" s="726">
        <v>2</v>
      </c>
      <c r="AA196" s="661"/>
      <c r="AB196" s="656"/>
      <c r="AC196" s="248"/>
      <c r="AD196" s="249"/>
    </row>
    <row r="197" spans="3:30">
      <c r="C197" s="238"/>
      <c r="W197" s="729"/>
      <c r="X197" s="730"/>
      <c r="Y197" s="725"/>
      <c r="Z197" s="726"/>
      <c r="AA197" s="661"/>
      <c r="AB197" s="656"/>
      <c r="AC197" s="248"/>
      <c r="AD197" s="249"/>
    </row>
    <row r="198" spans="3:30">
      <c r="C198" s="238"/>
      <c r="W198" s="729"/>
      <c r="X198" s="730"/>
      <c r="Y198" s="725"/>
      <c r="Z198" s="726"/>
      <c r="AA198" s="661"/>
      <c r="AB198" s="656"/>
      <c r="AC198" s="248"/>
      <c r="AD198" s="249"/>
    </row>
    <row r="199" spans="3:30">
      <c r="C199" s="238"/>
      <c r="U199" s="250"/>
      <c r="W199" s="727"/>
      <c r="X199" s="731"/>
      <c r="Y199" s="725"/>
      <c r="Z199" s="726"/>
      <c r="AA199" s="661"/>
      <c r="AB199" s="656"/>
      <c r="AC199" s="248"/>
      <c r="AD199" s="249"/>
    </row>
    <row r="200" spans="3:30">
      <c r="C200" s="238"/>
      <c r="U200" s="250"/>
      <c r="W200" s="727"/>
      <c r="X200" s="731"/>
      <c r="Y200" s="725"/>
      <c r="Z200" s="726"/>
      <c r="AA200" s="661"/>
      <c r="AB200" s="656"/>
      <c r="AC200" s="248"/>
      <c r="AD200" s="249"/>
    </row>
    <row r="201" spans="3:30">
      <c r="C201" s="238"/>
      <c r="W201" s="475"/>
      <c r="X201" s="476"/>
      <c r="Y201" s="246"/>
      <c r="Z201" s="247"/>
      <c r="AA201" s="661"/>
      <c r="AB201" s="656"/>
      <c r="AC201" s="248"/>
      <c r="AD201" s="249"/>
    </row>
    <row r="202" spans="3:30">
      <c r="C202" s="238"/>
      <c r="W202" s="475"/>
      <c r="X202" s="476"/>
      <c r="Y202" s="246"/>
      <c r="Z202" s="247"/>
      <c r="AA202" s="661"/>
      <c r="AB202" s="656"/>
      <c r="AC202" s="248"/>
      <c r="AD202" s="249"/>
    </row>
    <row r="203" spans="3:30">
      <c r="C203" s="238"/>
      <c r="W203" s="662"/>
      <c r="X203" s="663"/>
      <c r="Y203" s="246"/>
      <c r="Z203" s="247"/>
      <c r="AA203" s="661"/>
      <c r="AB203" s="656"/>
      <c r="AC203" s="248"/>
      <c r="AD203" s="249"/>
    </row>
    <row r="204" spans="3:30">
      <c r="C204" s="238"/>
      <c r="W204" s="653"/>
      <c r="X204" s="654"/>
      <c r="Y204" s="246"/>
      <c r="Z204" s="251"/>
      <c r="AA204" s="655"/>
      <c r="AB204" s="656"/>
      <c r="AC204" s="248"/>
      <c r="AD204" s="249"/>
    </row>
    <row r="205" spans="3:30">
      <c r="C205" s="238"/>
      <c r="W205" s="657"/>
      <c r="X205" s="658"/>
      <c r="Y205" s="246"/>
      <c r="Z205" s="251"/>
      <c r="AA205" s="659"/>
      <c r="AB205" s="660"/>
      <c r="AC205" s="252"/>
      <c r="AD205" s="253"/>
    </row>
    <row r="206" spans="3:30">
      <c r="C206" s="238"/>
      <c r="W206" s="657"/>
      <c r="X206" s="658"/>
      <c r="Y206" s="254"/>
      <c r="Z206" s="251"/>
      <c r="AA206" s="255"/>
      <c r="AB206" s="256"/>
      <c r="AC206" s="252"/>
      <c r="AD206" s="253"/>
    </row>
    <row r="207" spans="3:30">
      <c r="C207" s="238"/>
      <c r="D207" s="492"/>
      <c r="W207" s="657"/>
      <c r="X207" s="658"/>
      <c r="Y207" s="254"/>
      <c r="Z207" s="257"/>
      <c r="AA207" s="649"/>
      <c r="AB207" s="650"/>
      <c r="AC207" s="252"/>
      <c r="AD207" s="253"/>
    </row>
    <row r="208" spans="3:30">
      <c r="C208" s="238"/>
      <c r="D208" s="492"/>
      <c r="W208" s="645"/>
      <c r="X208" s="646"/>
      <c r="Y208" s="254"/>
      <c r="Z208" s="257"/>
      <c r="AA208" s="258"/>
      <c r="AB208" s="259"/>
      <c r="AC208" s="252"/>
      <c r="AD208" s="253"/>
    </row>
    <row r="209" spans="3:30">
      <c r="C209" s="238"/>
      <c r="D209" s="492"/>
      <c r="W209" s="647"/>
      <c r="X209" s="648"/>
      <c r="Y209" s="260"/>
      <c r="Z209" s="261"/>
      <c r="AA209" s="649"/>
      <c r="AB209" s="650"/>
      <c r="AC209" s="252"/>
      <c r="AD209" s="253"/>
    </row>
    <row r="210" spans="3:30">
      <c r="C210" s="238"/>
      <c r="D210" s="492"/>
      <c r="W210" s="651" t="s">
        <v>1456</v>
      </c>
      <c r="X210" s="652"/>
      <c r="Y210" s="652"/>
      <c r="Z210" s="652"/>
      <c r="AA210" s="262"/>
      <c r="AB210" s="262"/>
      <c r="AC210" s="262"/>
      <c r="AD210" s="263"/>
    </row>
    <row r="211" spans="3:30">
      <c r="C211" s="238"/>
      <c r="D211" s="492"/>
      <c r="V211" s="264"/>
      <c r="W211" s="265"/>
      <c r="X211" s="266"/>
      <c r="Y211" s="266"/>
      <c r="Z211" s="266"/>
      <c r="AA211" s="266"/>
      <c r="AB211" s="266"/>
      <c r="AC211" s="266"/>
      <c r="AD211" s="267"/>
    </row>
    <row r="212" spans="3:30">
      <c r="C212" s="268"/>
      <c r="D212" s="492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4"/>
      <c r="W212" s="630" t="s">
        <v>11</v>
      </c>
      <c r="X212" s="631"/>
      <c r="Y212" s="633"/>
      <c r="Z212" s="633"/>
      <c r="AA212" s="633"/>
      <c r="AB212" s="633"/>
      <c r="AC212" s="633"/>
      <c r="AD212" s="634"/>
    </row>
    <row r="213" spans="3:30">
      <c r="C213" s="268"/>
      <c r="D213" s="492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4"/>
      <c r="W213" s="630" t="s">
        <v>984</v>
      </c>
      <c r="X213" s="631"/>
      <c r="Y213" s="633">
        <v>1</v>
      </c>
      <c r="Z213" s="633"/>
      <c r="AA213" s="633"/>
      <c r="AB213" s="633" t="s">
        <v>12</v>
      </c>
      <c r="AC213" s="633"/>
      <c r="AD213" s="270" t="s">
        <v>13</v>
      </c>
    </row>
    <row r="214" spans="3:30">
      <c r="C214" s="268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4"/>
      <c r="W214" s="630" t="s">
        <v>15</v>
      </c>
      <c r="X214" s="631"/>
      <c r="Y214" s="644"/>
      <c r="Z214" s="644"/>
      <c r="AA214" s="644"/>
      <c r="AB214" s="633" t="s">
        <v>16</v>
      </c>
      <c r="AC214" s="633"/>
      <c r="AD214" s="271"/>
    </row>
    <row r="215" spans="3:30">
      <c r="C215" s="268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4"/>
      <c r="W215" s="638" t="s">
        <v>17</v>
      </c>
      <c r="X215" s="638"/>
      <c r="Y215" s="638"/>
      <c r="Z215" s="638"/>
      <c r="AA215" s="638"/>
      <c r="AB215" s="638"/>
      <c r="AC215" s="638"/>
      <c r="AD215" s="639"/>
    </row>
    <row r="216" spans="3:30">
      <c r="C216" s="268"/>
      <c r="D216" s="269"/>
      <c r="E216" s="269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69"/>
      <c r="T216" s="269"/>
      <c r="U216" s="269"/>
      <c r="V216" s="264"/>
      <c r="W216" s="640">
        <f ca="1">RAB!G211</f>
        <v>40000</v>
      </c>
      <c r="X216" s="640"/>
      <c r="Y216" s="640"/>
      <c r="Z216" s="640"/>
      <c r="AA216" s="640"/>
      <c r="AB216" s="640"/>
      <c r="AC216" s="640"/>
      <c r="AD216" s="641"/>
    </row>
    <row r="217" spans="3:30">
      <c r="C217" s="268"/>
      <c r="D217" s="269"/>
      <c r="E217" s="269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69"/>
      <c r="T217" s="269"/>
      <c r="U217" s="269"/>
      <c r="V217" s="272"/>
      <c r="W217" s="640"/>
      <c r="X217" s="640"/>
      <c r="Y217" s="640"/>
      <c r="Z217" s="640"/>
      <c r="AA217" s="640"/>
      <c r="AB217" s="640"/>
      <c r="AC217" s="640"/>
      <c r="AD217" s="641"/>
    </row>
    <row r="218" spans="3:30">
      <c r="C218" s="268"/>
      <c r="D218" s="269"/>
      <c r="E218" s="269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69"/>
      <c r="T218" s="269"/>
      <c r="U218" s="269"/>
      <c r="V218" s="272"/>
      <c r="W218" s="640"/>
      <c r="X218" s="640"/>
      <c r="Y218" s="640"/>
      <c r="Z218" s="640"/>
      <c r="AA218" s="640"/>
      <c r="AB218" s="640"/>
      <c r="AC218" s="640"/>
      <c r="AD218" s="641"/>
    </row>
    <row r="219" spans="3:30">
      <c r="C219" s="268"/>
      <c r="D219" s="269"/>
      <c r="E219" s="269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69"/>
      <c r="T219" s="269"/>
      <c r="U219" s="269"/>
      <c r="V219" s="272"/>
      <c r="W219" s="642"/>
      <c r="X219" s="642"/>
      <c r="Y219" s="642"/>
      <c r="Z219" s="642"/>
      <c r="AA219" s="642"/>
      <c r="AB219" s="642"/>
      <c r="AC219" s="642"/>
      <c r="AD219" s="643"/>
    </row>
    <row r="220" spans="3:30">
      <c r="C220" s="268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269"/>
      <c r="T220" s="269"/>
      <c r="U220" s="269"/>
      <c r="V220" s="264"/>
      <c r="W220" s="630" t="s">
        <v>18</v>
      </c>
      <c r="X220" s="631"/>
      <c r="Y220" s="633" t="s">
        <v>1549</v>
      </c>
      <c r="Z220" s="633"/>
      <c r="AA220" s="633"/>
      <c r="AB220" s="633"/>
      <c r="AC220" s="633"/>
      <c r="AD220" s="634"/>
    </row>
    <row r="221" spans="3:30">
      <c r="C221" s="268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269"/>
      <c r="T221" s="269"/>
      <c r="V221" s="264"/>
      <c r="W221" s="630" t="s">
        <v>19</v>
      </c>
      <c r="X221" s="631"/>
      <c r="Y221" s="633" t="s">
        <v>1549</v>
      </c>
      <c r="Z221" s="633"/>
      <c r="AA221" s="633"/>
      <c r="AB221" s="633"/>
      <c r="AC221" s="633"/>
      <c r="AD221" s="634"/>
    </row>
    <row r="222" spans="3:30" ht="12.75" thickBot="1">
      <c r="C222" s="268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V222" s="264"/>
      <c r="W222" s="630" t="s">
        <v>20</v>
      </c>
      <c r="X222" s="631"/>
      <c r="Y222" s="632" t="s">
        <v>1550</v>
      </c>
      <c r="Z222" s="632"/>
      <c r="AA222" s="632"/>
      <c r="AB222" s="633"/>
      <c r="AC222" s="633"/>
      <c r="AD222" s="634"/>
    </row>
    <row r="223" spans="3:30" ht="12.75" thickBot="1">
      <c r="C223" s="273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274"/>
      <c r="T223" s="274"/>
      <c r="U223" s="275"/>
      <c r="V223" s="276"/>
      <c r="W223" s="635" t="s">
        <v>21</v>
      </c>
      <c r="X223" s="636"/>
      <c r="Y223" s="632" t="s">
        <v>1551</v>
      </c>
      <c r="Z223" s="632"/>
      <c r="AA223" s="632"/>
      <c r="AB223" s="632"/>
      <c r="AC223" s="632"/>
      <c r="AD223" s="637"/>
    </row>
  </sheetData>
  <mergeCells count="430">
    <mergeCell ref="W26:X26"/>
    <mergeCell ref="W27:X27"/>
    <mergeCell ref="W28:X28"/>
    <mergeCell ref="W29:X29"/>
    <mergeCell ref="W30:X30"/>
    <mergeCell ref="W31:X31"/>
    <mergeCell ref="W32:X32"/>
    <mergeCell ref="W33:X33"/>
    <mergeCell ref="W34:X34"/>
    <mergeCell ref="W81:X81"/>
    <mergeCell ref="W82:X82"/>
    <mergeCell ref="W83:X83"/>
    <mergeCell ref="W84:X84"/>
    <mergeCell ref="W85:X85"/>
    <mergeCell ref="W86:X86"/>
    <mergeCell ref="W87:X87"/>
    <mergeCell ref="W138:X138"/>
    <mergeCell ref="W139:X139"/>
    <mergeCell ref="W114:AD115"/>
    <mergeCell ref="X117:Z117"/>
    <mergeCell ref="AA117:AB117"/>
    <mergeCell ref="AC117:AD117"/>
    <mergeCell ref="X118:Z118"/>
    <mergeCell ref="AA118:AB118"/>
    <mergeCell ref="AC118:AD118"/>
    <mergeCell ref="X119:Z119"/>
    <mergeCell ref="AA119:AB119"/>
    <mergeCell ref="AC119:AD119"/>
    <mergeCell ref="X120:Z120"/>
    <mergeCell ref="AA120:AB120"/>
    <mergeCell ref="AC120:AD120"/>
    <mergeCell ref="X121:Z121"/>
    <mergeCell ref="AA121:AB121"/>
    <mergeCell ref="AC121:AD121"/>
    <mergeCell ref="X122:Z122"/>
    <mergeCell ref="AA122:AB122"/>
    <mergeCell ref="W221:X221"/>
    <mergeCell ref="Y221:AA221"/>
    <mergeCell ref="AB221:AD221"/>
    <mergeCell ref="W222:X222"/>
    <mergeCell ref="Y222:AA222"/>
    <mergeCell ref="AB222:AD222"/>
    <mergeCell ref="W223:X223"/>
    <mergeCell ref="Y223:AA223"/>
    <mergeCell ref="AB223:AD223"/>
    <mergeCell ref="W213:X213"/>
    <mergeCell ref="Y213:AA213"/>
    <mergeCell ref="AB213:AC213"/>
    <mergeCell ref="W214:X214"/>
    <mergeCell ref="Y214:AA214"/>
    <mergeCell ref="AB214:AC214"/>
    <mergeCell ref="W215:AD215"/>
    <mergeCell ref="W216:AD219"/>
    <mergeCell ref="W220:X220"/>
    <mergeCell ref="Y220:AA220"/>
    <mergeCell ref="AB220:AD220"/>
    <mergeCell ref="W206:X206"/>
    <mergeCell ref="W207:X207"/>
    <mergeCell ref="AA207:AB207"/>
    <mergeCell ref="W208:X208"/>
    <mergeCell ref="W209:X209"/>
    <mergeCell ref="AA209:AB209"/>
    <mergeCell ref="W210:Z210"/>
    <mergeCell ref="W212:X212"/>
    <mergeCell ref="Y212:AD212"/>
    <mergeCell ref="AA199:AB199"/>
    <mergeCell ref="AA200:AB200"/>
    <mergeCell ref="AA201:AB201"/>
    <mergeCell ref="AA202:AB202"/>
    <mergeCell ref="W203:X203"/>
    <mergeCell ref="AA203:AB203"/>
    <mergeCell ref="W204:X204"/>
    <mergeCell ref="AA204:AB204"/>
    <mergeCell ref="W205:X205"/>
    <mergeCell ref="AA205:AB205"/>
    <mergeCell ref="W197:X197"/>
    <mergeCell ref="W198:X198"/>
    <mergeCell ref="W199:X199"/>
    <mergeCell ref="W200:X200"/>
    <mergeCell ref="W192:X192"/>
    <mergeCell ref="AA192:AB192"/>
    <mergeCell ref="W193:X193"/>
    <mergeCell ref="AA193:AB193"/>
    <mergeCell ref="AA194:AB194"/>
    <mergeCell ref="AA195:AB195"/>
    <mergeCell ref="AA196:AB196"/>
    <mergeCell ref="AA197:AB197"/>
    <mergeCell ref="AA198:AB198"/>
    <mergeCell ref="W194:X194"/>
    <mergeCell ref="W195:X195"/>
    <mergeCell ref="W196:X196"/>
    <mergeCell ref="X187:Z187"/>
    <mergeCell ref="AA187:AB187"/>
    <mergeCell ref="AC187:AD187"/>
    <mergeCell ref="W188:AD188"/>
    <mergeCell ref="W189:Z189"/>
    <mergeCell ref="AA189:AD189"/>
    <mergeCell ref="W190:X190"/>
    <mergeCell ref="AA190:AB190"/>
    <mergeCell ref="W191:X191"/>
    <mergeCell ref="AA191:AB191"/>
    <mergeCell ref="X184:Z184"/>
    <mergeCell ref="AA184:AB184"/>
    <mergeCell ref="AC184:AD184"/>
    <mergeCell ref="X185:Z185"/>
    <mergeCell ref="AA185:AB185"/>
    <mergeCell ref="AC185:AD185"/>
    <mergeCell ref="X186:Z186"/>
    <mergeCell ref="AA186:AB186"/>
    <mergeCell ref="AC186:AD186"/>
    <mergeCell ref="X181:Z181"/>
    <mergeCell ref="AA181:AB181"/>
    <mergeCell ref="AC181:AD181"/>
    <mergeCell ref="X182:Z182"/>
    <mergeCell ref="AA182:AB182"/>
    <mergeCell ref="AC182:AD182"/>
    <mergeCell ref="X183:Z183"/>
    <mergeCell ref="AA183:AB183"/>
    <mergeCell ref="AC183:AD183"/>
    <mergeCell ref="X178:Z178"/>
    <mergeCell ref="AA178:AB178"/>
    <mergeCell ref="AC178:AD178"/>
    <mergeCell ref="X179:Z179"/>
    <mergeCell ref="AA179:AB179"/>
    <mergeCell ref="AC179:AD179"/>
    <mergeCell ref="X180:Z180"/>
    <mergeCell ref="AA180:AB180"/>
    <mergeCell ref="AC180:AD180"/>
    <mergeCell ref="X175:Z175"/>
    <mergeCell ref="AA175:AB175"/>
    <mergeCell ref="AC175:AD175"/>
    <mergeCell ref="X176:Z176"/>
    <mergeCell ref="AA176:AB176"/>
    <mergeCell ref="AC176:AD176"/>
    <mergeCell ref="X177:Z177"/>
    <mergeCell ref="AA177:AB177"/>
    <mergeCell ref="AC177:AD177"/>
    <mergeCell ref="W167:X167"/>
    <mergeCell ref="Y167:AA167"/>
    <mergeCell ref="AB167:AD167"/>
    <mergeCell ref="W170:AD171"/>
    <mergeCell ref="X173:Z173"/>
    <mergeCell ref="AA173:AB173"/>
    <mergeCell ref="AC173:AD173"/>
    <mergeCell ref="X174:Z174"/>
    <mergeCell ref="AA174:AB174"/>
    <mergeCell ref="AC174:AD174"/>
    <mergeCell ref="W159:AD159"/>
    <mergeCell ref="W160:AD163"/>
    <mergeCell ref="W164:X164"/>
    <mergeCell ref="Y164:AA164"/>
    <mergeCell ref="AB164:AD164"/>
    <mergeCell ref="W165:X165"/>
    <mergeCell ref="Y165:AA165"/>
    <mergeCell ref="AB165:AD165"/>
    <mergeCell ref="W166:X166"/>
    <mergeCell ref="Y166:AA166"/>
    <mergeCell ref="AB166:AD166"/>
    <mergeCell ref="W154:Z154"/>
    <mergeCell ref="W156:X156"/>
    <mergeCell ref="Y156:AD156"/>
    <mergeCell ref="W157:X157"/>
    <mergeCell ref="Y157:AA157"/>
    <mergeCell ref="AB157:AC157"/>
    <mergeCell ref="W158:X158"/>
    <mergeCell ref="Y158:AA158"/>
    <mergeCell ref="AB158:AC158"/>
    <mergeCell ref="W148:X148"/>
    <mergeCell ref="AA148:AB148"/>
    <mergeCell ref="W149:X149"/>
    <mergeCell ref="AA149:AB149"/>
    <mergeCell ref="W150:X150"/>
    <mergeCell ref="W151:X151"/>
    <mergeCell ref="AA151:AB151"/>
    <mergeCell ref="W152:X152"/>
    <mergeCell ref="W153:X153"/>
    <mergeCell ref="AA153:AB153"/>
    <mergeCell ref="AA139:AB139"/>
    <mergeCell ref="AA140:AB140"/>
    <mergeCell ref="AA141:AB141"/>
    <mergeCell ref="AA142:AB142"/>
    <mergeCell ref="AA143:AB143"/>
    <mergeCell ref="AA144:AB144"/>
    <mergeCell ref="AA145:AB145"/>
    <mergeCell ref="AA146:AB146"/>
    <mergeCell ref="W147:X147"/>
    <mergeCell ref="AA147:AB147"/>
    <mergeCell ref="W140:X140"/>
    <mergeCell ref="W134:X134"/>
    <mergeCell ref="AA134:AB134"/>
    <mergeCell ref="W135:X135"/>
    <mergeCell ref="AA135:AB135"/>
    <mergeCell ref="W136:X136"/>
    <mergeCell ref="AA136:AB136"/>
    <mergeCell ref="W137:X137"/>
    <mergeCell ref="AA137:AB137"/>
    <mergeCell ref="AA138:AB138"/>
    <mergeCell ref="X130:Z130"/>
    <mergeCell ref="AA130:AB130"/>
    <mergeCell ref="AC130:AD130"/>
    <mergeCell ref="X131:Z131"/>
    <mergeCell ref="AA131:AB131"/>
    <mergeCell ref="AC131:AD131"/>
    <mergeCell ref="W132:AD132"/>
    <mergeCell ref="W133:Z133"/>
    <mergeCell ref="AA133:AD133"/>
    <mergeCell ref="X127:Z127"/>
    <mergeCell ref="AA127:AB127"/>
    <mergeCell ref="AC127:AD127"/>
    <mergeCell ref="X128:Z128"/>
    <mergeCell ref="AA128:AB128"/>
    <mergeCell ref="AC128:AD128"/>
    <mergeCell ref="X129:Z129"/>
    <mergeCell ref="AA129:AB129"/>
    <mergeCell ref="AC129:AD129"/>
    <mergeCell ref="X124:Z124"/>
    <mergeCell ref="AA124:AB124"/>
    <mergeCell ref="AC124:AD124"/>
    <mergeCell ref="X125:Z125"/>
    <mergeCell ref="AA125:AB125"/>
    <mergeCell ref="AC125:AD125"/>
    <mergeCell ref="X126:Z126"/>
    <mergeCell ref="AA126:AB126"/>
    <mergeCell ref="AC126:AD126"/>
    <mergeCell ref="AC122:AD122"/>
    <mergeCell ref="X123:Z123"/>
    <mergeCell ref="AA123:AB123"/>
    <mergeCell ref="AC123:AD123"/>
    <mergeCell ref="W109:X109"/>
    <mergeCell ref="Y109:AA109"/>
    <mergeCell ref="AB109:AD109"/>
    <mergeCell ref="W110:X110"/>
    <mergeCell ref="Y110:AA110"/>
    <mergeCell ref="AB110:AD110"/>
    <mergeCell ref="W101:X101"/>
    <mergeCell ref="Y101:AA101"/>
    <mergeCell ref="AB101:AC101"/>
    <mergeCell ref="W102:AD102"/>
    <mergeCell ref="W103:AD106"/>
    <mergeCell ref="W107:X107"/>
    <mergeCell ref="Y107:AA107"/>
    <mergeCell ref="AB107:AD107"/>
    <mergeCell ref="W108:X108"/>
    <mergeCell ref="Y108:AA108"/>
    <mergeCell ref="AB108:AD108"/>
    <mergeCell ref="W94:X94"/>
    <mergeCell ref="AA94:AB94"/>
    <mergeCell ref="W95:X95"/>
    <mergeCell ref="W96:X96"/>
    <mergeCell ref="AA96:AB96"/>
    <mergeCell ref="W97:Z97"/>
    <mergeCell ref="W99:X99"/>
    <mergeCell ref="Y99:AD99"/>
    <mergeCell ref="W100:X100"/>
    <mergeCell ref="Y100:AA100"/>
    <mergeCell ref="AB100:AC100"/>
    <mergeCell ref="AA88:AB88"/>
    <mergeCell ref="AA89:AB89"/>
    <mergeCell ref="W90:X90"/>
    <mergeCell ref="AA90:AB90"/>
    <mergeCell ref="W91:X91"/>
    <mergeCell ref="AA91:AB91"/>
    <mergeCell ref="W92:X92"/>
    <mergeCell ref="AA92:AB92"/>
    <mergeCell ref="W93:X93"/>
    <mergeCell ref="W80:X80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W75:AD75"/>
    <mergeCell ref="W76:Z76"/>
    <mergeCell ref="AA76:AD76"/>
    <mergeCell ref="W77:X77"/>
    <mergeCell ref="AA77:AB77"/>
    <mergeCell ref="W78:X78"/>
    <mergeCell ref="AA78:AB78"/>
    <mergeCell ref="W79:X79"/>
    <mergeCell ref="AA79:AB79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W57:AD58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C8" sqref="C8"/>
    </sheetView>
  </sheetViews>
  <sheetFormatPr defaultRowHeight="12.75"/>
  <cols>
    <col min="1" max="1" width="1.7109375" style="420" customWidth="1"/>
    <col min="2" max="2" width="10.7109375" style="420" customWidth="1"/>
    <col min="3" max="3" width="2.5703125" style="420" customWidth="1"/>
    <col min="4" max="20" width="9.140625" style="420"/>
    <col min="21" max="21" width="14.5703125" style="420" customWidth="1"/>
    <col min="22" max="22" width="3.140625" style="420" customWidth="1"/>
    <col min="23" max="26" width="9.140625" style="420"/>
    <col min="27" max="27" width="2.85546875" style="420" customWidth="1"/>
    <col min="28" max="30" width="4.7109375" style="420" customWidth="1"/>
    <col min="31" max="31" width="1.7109375" style="420" customWidth="1"/>
    <col min="32" max="16384" width="9.140625" style="42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25" t="s">
        <v>1527</v>
      </c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182"/>
      <c r="X3" s="431"/>
      <c r="Y3" s="431"/>
      <c r="Z3" s="431"/>
      <c r="AA3" s="431"/>
      <c r="AB3" s="431"/>
      <c r="AC3" s="421"/>
    </row>
    <row r="4" spans="1:29" ht="18.75" customHeight="1">
      <c r="A4" s="181"/>
      <c r="C4" s="625"/>
      <c r="D4" s="625"/>
      <c r="E4" s="625"/>
      <c r="F4" s="625"/>
      <c r="G4" s="625"/>
      <c r="H4" s="625"/>
      <c r="I4" s="625"/>
      <c r="J4" s="625"/>
      <c r="K4" s="625"/>
      <c r="L4" s="625"/>
      <c r="M4" s="625"/>
      <c r="N4" s="625"/>
      <c r="O4" s="625"/>
      <c r="P4" s="625"/>
      <c r="Q4" s="625"/>
      <c r="R4" s="625"/>
      <c r="S4" s="625"/>
      <c r="T4" s="625"/>
      <c r="U4" s="625"/>
      <c r="V4" s="625"/>
      <c r="W4" s="182"/>
      <c r="X4" s="431"/>
      <c r="Y4" s="431"/>
      <c r="Z4" s="431"/>
      <c r="AA4" s="431"/>
      <c r="AB4" s="431"/>
      <c r="AC4" s="421"/>
    </row>
    <row r="5" spans="1:29" ht="12.75" customHeight="1">
      <c r="A5" s="181"/>
      <c r="C5" s="422"/>
      <c r="W5" s="182"/>
    </row>
    <row r="6" spans="1:29" ht="12.75" customHeight="1">
      <c r="A6" s="181"/>
      <c r="C6" s="687" t="s">
        <v>1678</v>
      </c>
      <c r="D6" s="687"/>
      <c r="E6" s="687"/>
      <c r="F6" s="687"/>
      <c r="G6" s="687"/>
      <c r="H6" s="687"/>
      <c r="I6" s="687"/>
      <c r="J6" s="687"/>
      <c r="K6" s="687"/>
      <c r="L6" s="687"/>
      <c r="M6" s="687"/>
      <c r="W6" s="182"/>
      <c r="Y6" s="423"/>
      <c r="Z6" s="423"/>
      <c r="AA6" s="423"/>
      <c r="AB6" s="424"/>
      <c r="AC6" s="424"/>
    </row>
    <row r="7" spans="1:29" ht="18" customHeight="1">
      <c r="A7" s="181"/>
      <c r="C7" s="687"/>
      <c r="D7" s="687"/>
      <c r="E7" s="687"/>
      <c r="F7" s="687"/>
      <c r="G7" s="687"/>
      <c r="H7" s="687"/>
      <c r="I7" s="687"/>
      <c r="J7" s="687"/>
      <c r="K7" s="687"/>
      <c r="L7" s="687"/>
      <c r="M7" s="687"/>
      <c r="W7" s="182"/>
      <c r="Y7" s="423"/>
      <c r="Z7" s="423"/>
      <c r="AA7" s="423"/>
      <c r="AB7" s="424"/>
      <c r="AC7" s="42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6"/>
      <c r="S54" s="426"/>
      <c r="T54" s="426"/>
      <c r="U54" s="427"/>
      <c r="V54" s="427"/>
      <c r="W54" s="183"/>
      <c r="X54" s="427"/>
      <c r="Y54" s="427"/>
      <c r="Z54" s="427"/>
      <c r="AA54" s="427"/>
      <c r="AB54" s="427"/>
      <c r="AC54" s="427"/>
      <c r="AD54" s="42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2"/>
      <c r="S55" s="433"/>
      <c r="T55" s="433"/>
      <c r="U55" s="186"/>
      <c r="V55" s="187"/>
      <c r="W55" s="188"/>
      <c r="X55" s="427"/>
      <c r="Y55" s="427"/>
      <c r="Z55" s="427"/>
      <c r="AA55" s="428"/>
      <c r="AB55" s="428"/>
      <c r="AC55" s="428"/>
      <c r="AD55" s="428"/>
    </row>
    <row r="56" spans="1:30">
      <c r="U56" s="427"/>
      <c r="V56" s="428"/>
      <c r="W56" s="427"/>
      <c r="X56" s="427"/>
      <c r="Y56" s="427"/>
      <c r="Z56" s="427"/>
      <c r="AA56" s="428"/>
      <c r="AB56" s="427"/>
      <c r="AC56" s="427"/>
      <c r="AD56" s="427"/>
    </row>
    <row r="57" spans="1:30">
      <c r="U57" s="427"/>
      <c r="V57" s="428"/>
      <c r="W57" s="427"/>
      <c r="X57" s="427"/>
      <c r="Y57" s="427"/>
      <c r="Z57" s="427"/>
      <c r="AA57" s="427"/>
      <c r="AB57" s="427"/>
      <c r="AC57" s="427"/>
      <c r="AD57" s="427"/>
    </row>
    <row r="58" spans="1:30">
      <c r="U58" s="427"/>
      <c r="V58" s="428"/>
      <c r="W58" s="427"/>
      <c r="X58" s="427"/>
      <c r="Y58" s="427"/>
      <c r="Z58" s="427"/>
      <c r="AA58" s="427"/>
      <c r="AB58" s="427"/>
      <c r="AC58" s="427"/>
      <c r="AD58" s="427"/>
    </row>
    <row r="59" spans="1:30">
      <c r="U59" s="427"/>
      <c r="V59" s="428"/>
      <c r="W59" s="427"/>
      <c r="X59" s="427"/>
      <c r="Y59" s="427"/>
      <c r="Z59" s="427"/>
      <c r="AA59" s="427"/>
      <c r="AB59" s="427"/>
      <c r="AC59" s="427"/>
      <c r="AD59" s="427"/>
    </row>
    <row r="60" spans="1:30">
      <c r="U60" s="427"/>
      <c r="V60" s="428"/>
      <c r="W60" s="427"/>
      <c r="X60" s="427"/>
      <c r="Y60" s="427"/>
      <c r="Z60" s="427"/>
      <c r="AA60" s="428"/>
      <c r="AB60" s="427"/>
      <c r="AC60" s="427"/>
      <c r="AD60" s="427"/>
    </row>
    <row r="61" spans="1:30">
      <c r="U61" s="427"/>
      <c r="V61" s="428"/>
      <c r="W61" s="427"/>
      <c r="X61" s="427"/>
      <c r="Y61" s="427"/>
      <c r="Z61" s="427"/>
      <c r="AA61" s="427"/>
      <c r="AB61" s="427"/>
      <c r="AC61" s="427"/>
      <c r="AD61" s="427"/>
    </row>
    <row r="62" spans="1:30">
      <c r="U62" s="427"/>
      <c r="V62" s="428"/>
      <c r="W62" s="427"/>
      <c r="X62" s="427"/>
      <c r="Y62" s="427"/>
      <c r="Z62" s="427"/>
      <c r="AA62" s="427"/>
      <c r="AB62" s="427"/>
      <c r="AC62" s="427"/>
      <c r="AD62" s="427"/>
    </row>
    <row r="63" spans="1:30">
      <c r="U63" s="427"/>
      <c r="V63" s="428"/>
      <c r="W63" s="427"/>
      <c r="X63" s="427"/>
      <c r="Y63" s="427"/>
      <c r="Z63" s="427"/>
      <c r="AA63" s="427"/>
      <c r="AB63" s="427"/>
      <c r="AC63" s="427"/>
      <c r="AD63" s="427"/>
    </row>
    <row r="64" spans="1:30">
      <c r="U64" s="427"/>
      <c r="V64" s="428"/>
      <c r="W64" s="427"/>
      <c r="X64" s="427"/>
      <c r="Y64" s="427"/>
      <c r="Z64" s="427"/>
      <c r="AA64" s="427"/>
      <c r="AB64" s="427"/>
      <c r="AC64" s="427"/>
      <c r="AD64" s="427"/>
    </row>
    <row r="65" spans="5:30">
      <c r="U65" s="427"/>
      <c r="V65" s="428"/>
      <c r="W65" s="427"/>
      <c r="X65" s="427"/>
      <c r="Y65" s="427"/>
      <c r="Z65" s="427"/>
      <c r="AA65" s="427"/>
      <c r="AB65" s="427"/>
      <c r="AC65" s="427"/>
      <c r="AD65" s="427"/>
    </row>
    <row r="66" spans="5:30" ht="6" customHeight="1"/>
    <row r="73" spans="5:30">
      <c r="M73" s="429"/>
    </row>
    <row r="74" spans="5:30" ht="15" customHeight="1">
      <c r="E74" s="430"/>
      <c r="M74" s="429"/>
    </row>
    <row r="75" spans="5:30" ht="15" customHeight="1">
      <c r="E75" s="430"/>
      <c r="M75" s="429"/>
    </row>
    <row r="76" spans="5:30" ht="15" customHeight="1">
      <c r="E76" s="430"/>
      <c r="M76" s="429"/>
    </row>
    <row r="77" spans="5:30" ht="15" customHeight="1">
      <c r="E77" s="430"/>
      <c r="M77" s="429"/>
    </row>
    <row r="78" spans="5:30" ht="15" customHeight="1">
      <c r="E78" s="430"/>
      <c r="M78" s="429"/>
    </row>
    <row r="79" spans="5:30" ht="15" customHeight="1">
      <c r="E79" s="430"/>
      <c r="M79" s="429"/>
    </row>
    <row r="80" spans="5:30" ht="15" customHeight="1">
      <c r="E80" s="430"/>
      <c r="M80" s="429"/>
    </row>
    <row r="81" spans="5:13" ht="15" customHeight="1">
      <c r="E81" s="430"/>
      <c r="M81" s="429"/>
    </row>
    <row r="82" spans="5:13" ht="15" customHeight="1">
      <c r="E82" s="430"/>
      <c r="M82" s="429"/>
    </row>
    <row r="83" spans="5:13" ht="15" customHeight="1">
      <c r="E83" s="430"/>
      <c r="M83" s="429"/>
    </row>
    <row r="84" spans="5:13" ht="15" customHeight="1">
      <c r="E84" s="430"/>
      <c r="M84" s="429"/>
    </row>
    <row r="85" spans="5:13" ht="15" customHeight="1">
      <c r="E85" s="430"/>
      <c r="M85" s="429"/>
    </row>
    <row r="86" spans="5:13" ht="15" customHeight="1">
      <c r="E86" s="430"/>
      <c r="M86" s="429"/>
    </row>
    <row r="87" spans="5:13" ht="15" customHeight="1">
      <c r="E87" s="430"/>
      <c r="M87" s="429"/>
    </row>
    <row r="88" spans="5:13" ht="15" customHeight="1">
      <c r="E88" s="430"/>
      <c r="M88" s="429"/>
    </row>
    <row r="89" spans="5:13" ht="15" customHeight="1">
      <c r="E89" s="430"/>
      <c r="M89" s="429"/>
    </row>
    <row r="90" spans="5:13" ht="15" customHeight="1">
      <c r="E90" s="430"/>
      <c r="M90" s="429"/>
    </row>
    <row r="91" spans="5:13" ht="15" customHeight="1">
      <c r="E91" s="430"/>
      <c r="M91" s="429"/>
    </row>
    <row r="92" spans="5:13" ht="15" customHeight="1">
      <c r="E92" s="430"/>
      <c r="M92" s="429"/>
    </row>
    <row r="93" spans="5:13" ht="15" customHeight="1">
      <c r="E93" s="430"/>
      <c r="M93" s="429"/>
    </row>
    <row r="94" spans="5:13" ht="15" customHeight="1">
      <c r="E94" s="430"/>
      <c r="M94" s="429"/>
    </row>
    <row r="95" spans="5:13" ht="15" customHeight="1">
      <c r="E95" s="430"/>
      <c r="M95" s="429"/>
    </row>
    <row r="96" spans="5:13" ht="15" customHeight="1">
      <c r="E96" s="430"/>
    </row>
    <row r="97" spans="5:5" ht="15" customHeight="1">
      <c r="E97" s="430"/>
    </row>
    <row r="98" spans="5:5" ht="15" customHeight="1">
      <c r="E98" s="430"/>
    </row>
    <row r="99" spans="5:5" ht="15" customHeight="1">
      <c r="E99" s="430"/>
    </row>
    <row r="100" spans="5:5" ht="15" customHeight="1">
      <c r="E100" s="430"/>
    </row>
    <row r="101" spans="5:5" ht="15" customHeight="1">
      <c r="E101" s="430"/>
    </row>
    <row r="102" spans="5:5" ht="15" customHeight="1">
      <c r="E102" s="430"/>
    </row>
    <row r="103" spans="5:5" ht="15" customHeight="1">
      <c r="E103" s="430"/>
    </row>
    <row r="104" spans="5:5" ht="15" customHeight="1">
      <c r="E104" s="430"/>
    </row>
    <row r="105" spans="5:5" ht="15" customHeight="1">
      <c r="E105" s="430"/>
    </row>
    <row r="106" spans="5:5" ht="15" customHeight="1">
      <c r="E106" s="430"/>
    </row>
    <row r="107" spans="5:5" ht="15" customHeight="1">
      <c r="E107" s="430"/>
    </row>
    <row r="108" spans="5:5" ht="15" customHeight="1">
      <c r="E108" s="430"/>
    </row>
    <row r="109" spans="5:5" ht="15" customHeight="1">
      <c r="E109" s="430"/>
    </row>
    <row r="110" spans="5:5" ht="15" customHeight="1">
      <c r="E110" s="430"/>
    </row>
    <row r="111" spans="5:5" ht="15" customHeight="1">
      <c r="E111" s="430"/>
    </row>
    <row r="112" spans="5:5" ht="15" customHeight="1">
      <c r="E112" s="430"/>
    </row>
    <row r="113" spans="5:5" ht="15" customHeight="1">
      <c r="E113" s="430"/>
    </row>
    <row r="114" spans="5:5" ht="15" customHeight="1">
      <c r="E114" s="430"/>
    </row>
    <row r="115" spans="5:5" ht="15" customHeight="1">
      <c r="E115" s="430"/>
    </row>
    <row r="116" spans="5:5" ht="15" customHeight="1">
      <c r="E116" s="430"/>
    </row>
    <row r="117" spans="5:5" ht="15" customHeight="1">
      <c r="E117" s="430"/>
    </row>
    <row r="118" spans="5:5" ht="15" customHeight="1">
      <c r="E118" s="430"/>
    </row>
    <row r="119" spans="5:5" ht="15" customHeight="1">
      <c r="E119" s="430"/>
    </row>
    <row r="120" spans="5:5">
      <c r="E120" s="43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2">
        <v>1</v>
      </c>
    </row>
    <row r="2" spans="1:11" ht="48" customHeight="1">
      <c r="A2" s="452">
        <v>3</v>
      </c>
    </row>
    <row r="4" spans="1:11" ht="48" customHeight="1">
      <c r="C4" s="452">
        <v>1</v>
      </c>
    </row>
    <row r="5" spans="1:11" ht="48" customHeight="1">
      <c r="C5" s="452">
        <v>3</v>
      </c>
    </row>
    <row r="7" spans="1:11" ht="48" customHeight="1">
      <c r="E7" s="452">
        <v>1</v>
      </c>
    </row>
    <row r="8" spans="1:11" ht="48" customHeight="1">
      <c r="E8" s="452">
        <v>3</v>
      </c>
    </row>
    <row r="10" spans="1:11" ht="48" customHeight="1">
      <c r="G10" s="452">
        <v>3</v>
      </c>
    </row>
    <row r="11" spans="1:11" ht="48" customHeight="1">
      <c r="G11" s="452">
        <v>1</v>
      </c>
    </row>
    <row r="13" spans="1:11" ht="48" customHeight="1">
      <c r="I13" s="452">
        <v>3</v>
      </c>
    </row>
    <row r="14" spans="1:11" ht="48" customHeight="1">
      <c r="I14" s="452">
        <v>1</v>
      </c>
    </row>
    <row r="16" spans="1:11" ht="48" customHeight="1">
      <c r="K16" s="452">
        <v>3</v>
      </c>
    </row>
    <row r="17" spans="11:21" ht="48" customHeight="1">
      <c r="K17" s="452">
        <v>1</v>
      </c>
    </row>
    <row r="19" spans="11:21" ht="48" customHeight="1">
      <c r="M19" s="452">
        <v>3</v>
      </c>
    </row>
    <row r="20" spans="11:21" ht="48" customHeight="1">
      <c r="M20" s="452">
        <v>1</v>
      </c>
    </row>
    <row r="22" spans="11:21" ht="48" customHeight="1">
      <c r="O22" s="452">
        <v>3</v>
      </c>
    </row>
    <row r="23" spans="11:21" ht="48" customHeight="1">
      <c r="O23" s="452">
        <v>1</v>
      </c>
    </row>
    <row r="25" spans="11:21" ht="57" customHeight="1">
      <c r="Q25" s="452">
        <v>3</v>
      </c>
    </row>
    <row r="26" spans="11:21" ht="57" customHeight="1">
      <c r="Q26" s="452">
        <v>1</v>
      </c>
    </row>
    <row r="28" spans="11:21" ht="57" customHeight="1">
      <c r="S28" s="452">
        <v>3</v>
      </c>
    </row>
    <row r="29" spans="11:21" ht="57" customHeight="1">
      <c r="S29" s="452">
        <v>1</v>
      </c>
    </row>
    <row r="31" spans="11:21" ht="57" customHeight="1">
      <c r="U31" s="452">
        <v>3</v>
      </c>
    </row>
    <row r="32" spans="11:21" ht="57" customHeight="1">
      <c r="U32" s="45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SLD</vt:lpstr>
      <vt:lpstr>GAMBAR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2024-03-15T09:50:26Z</dcterms:modified>
</cp:coreProperties>
</file>