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970E1D9-18A2-4AF6-BD1B-4A824AEFED1E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RAB!$A$1:$K$214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7" i="11" l="1"/>
  <c r="E128" i="11"/>
  <c r="P41" i="64"/>
  <c r="E7" i="64" l="1"/>
  <c r="F130" i="11" l="1"/>
  <c r="F129" i="11"/>
  <c r="F128" i="11"/>
  <c r="F127" i="11"/>
  <c r="D126" i="11"/>
  <c r="J126" i="11" s="1"/>
  <c r="E126" i="11"/>
  <c r="G126" i="11"/>
  <c r="D127" i="11"/>
  <c r="J127" i="11" s="1"/>
  <c r="G127" i="11"/>
  <c r="D128" i="11"/>
  <c r="H128" i="11" s="1"/>
  <c r="G128" i="11"/>
  <c r="D129" i="11"/>
  <c r="J129" i="11" s="1"/>
  <c r="E129" i="11"/>
  <c r="G129" i="11"/>
  <c r="D130" i="11"/>
  <c r="H130" i="11" s="1"/>
  <c r="E130" i="11"/>
  <c r="G130" i="11"/>
  <c r="D132" i="11"/>
  <c r="J132" i="11" s="1"/>
  <c r="E132" i="11"/>
  <c r="G132" i="11"/>
  <c r="D133" i="11"/>
  <c r="H133" i="11" s="1"/>
  <c r="E133" i="11"/>
  <c r="G133" i="11"/>
  <c r="D134" i="11"/>
  <c r="H134" i="11" s="1"/>
  <c r="E134" i="11"/>
  <c r="G134" i="11"/>
  <c r="F112" i="11"/>
  <c r="F106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D60" i="11"/>
  <c r="J60" i="11" s="1"/>
  <c r="E60" i="11"/>
  <c r="G60" i="11"/>
  <c r="D61" i="11"/>
  <c r="J61" i="11" s="1"/>
  <c r="E61" i="11"/>
  <c r="G61" i="11"/>
  <c r="D62" i="11"/>
  <c r="E62" i="11"/>
  <c r="G62" i="11"/>
  <c r="D63" i="11"/>
  <c r="E63" i="11"/>
  <c r="G63" i="11"/>
  <c r="D64" i="11"/>
  <c r="J64" i="11" s="1"/>
  <c r="E64" i="11"/>
  <c r="G64" i="11"/>
  <c r="D65" i="1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E69" i="11"/>
  <c r="G69" i="11"/>
  <c r="D70" i="11"/>
  <c r="H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E73" i="11"/>
  <c r="G73" i="11"/>
  <c r="D74" i="11"/>
  <c r="H74" i="11" s="1"/>
  <c r="E74" i="11"/>
  <c r="G74" i="11"/>
  <c r="D75" i="11"/>
  <c r="H75" i="11" s="1"/>
  <c r="E75" i="11"/>
  <c r="G75" i="11"/>
  <c r="D76" i="11"/>
  <c r="J76" i="11" s="1"/>
  <c r="E76" i="11"/>
  <c r="G76" i="11"/>
  <c r="D77" i="1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E81" i="11"/>
  <c r="G81" i="11"/>
  <c r="D82" i="11"/>
  <c r="H82" i="11" s="1"/>
  <c r="E82" i="11"/>
  <c r="G82" i="11"/>
  <c r="D83" i="11"/>
  <c r="H83" i="11" s="1"/>
  <c r="E83" i="11"/>
  <c r="G83" i="11"/>
  <c r="J130" i="11" l="1"/>
  <c r="I128" i="11"/>
  <c r="I130" i="11"/>
  <c r="I134" i="11"/>
  <c r="I126" i="11"/>
  <c r="J133" i="11"/>
  <c r="I133" i="11"/>
  <c r="J128" i="11"/>
  <c r="H126" i="11"/>
  <c r="I129" i="11"/>
  <c r="J134" i="11"/>
  <c r="H129" i="11"/>
  <c r="H132" i="11"/>
  <c r="H127" i="11"/>
  <c r="I132" i="11"/>
  <c r="I127" i="11"/>
  <c r="I73" i="11"/>
  <c r="H62" i="11"/>
  <c r="H63" i="11"/>
  <c r="I64" i="11"/>
  <c r="J66" i="11"/>
  <c r="J72" i="11"/>
  <c r="I66" i="11"/>
  <c r="H64" i="11"/>
  <c r="J79" i="11"/>
  <c r="J71" i="11"/>
  <c r="I79" i="11"/>
  <c r="I71" i="11"/>
  <c r="J83" i="11"/>
  <c r="I76" i="11"/>
  <c r="I60" i="11"/>
  <c r="J82" i="11"/>
  <c r="J78" i="11"/>
  <c r="J70" i="11"/>
  <c r="I83" i="11"/>
  <c r="I82" i="11"/>
  <c r="I78" i="11"/>
  <c r="K78" i="11" s="1"/>
  <c r="I75" i="11"/>
  <c r="I70" i="11"/>
  <c r="J75" i="11"/>
  <c r="I74" i="11"/>
  <c r="I80" i="11"/>
  <c r="I72" i="11"/>
  <c r="J67" i="11"/>
  <c r="J62" i="11"/>
  <c r="H60" i="11"/>
  <c r="J74" i="11"/>
  <c r="J63" i="11"/>
  <c r="H80" i="11"/>
  <c r="H76" i="11"/>
  <c r="H68" i="11"/>
  <c r="I63" i="11"/>
  <c r="I67" i="11"/>
  <c r="I62" i="11"/>
  <c r="I61" i="11"/>
  <c r="I68" i="11"/>
  <c r="J65" i="11"/>
  <c r="H65" i="11"/>
  <c r="J69" i="11"/>
  <c r="H69" i="11"/>
  <c r="J81" i="11"/>
  <c r="H81" i="11"/>
  <c r="I81" i="11"/>
  <c r="J77" i="11"/>
  <c r="H77" i="11"/>
  <c r="I65" i="11"/>
  <c r="I69" i="11"/>
  <c r="I77" i="11"/>
  <c r="J73" i="11"/>
  <c r="H73" i="11"/>
  <c r="H61" i="11"/>
  <c r="F124" i="11"/>
  <c r="F122" i="11"/>
  <c r="F121" i="11"/>
  <c r="F123" i="11" s="1"/>
  <c r="G117" i="11"/>
  <c r="G118" i="11"/>
  <c r="G119" i="11"/>
  <c r="G120" i="11"/>
  <c r="G121" i="11"/>
  <c r="G122" i="11"/>
  <c r="G123" i="11"/>
  <c r="G124" i="11"/>
  <c r="G125" i="11"/>
  <c r="G135" i="11"/>
  <c r="D117" i="11"/>
  <c r="H117" i="11" s="1"/>
  <c r="E117" i="11"/>
  <c r="D118" i="11"/>
  <c r="J118" i="11" s="1"/>
  <c r="E118" i="11"/>
  <c r="D119" i="11"/>
  <c r="I119" i="11" s="1"/>
  <c r="E119" i="11"/>
  <c r="D120" i="11"/>
  <c r="H120" i="11" s="1"/>
  <c r="E120" i="11"/>
  <c r="D121" i="1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K130" i="11" l="1"/>
  <c r="K129" i="11"/>
  <c r="K126" i="11"/>
  <c r="K134" i="11"/>
  <c r="K128" i="11"/>
  <c r="K133" i="11"/>
  <c r="K83" i="11"/>
  <c r="K127" i="11"/>
  <c r="K132" i="11"/>
  <c r="K66" i="11"/>
  <c r="K64" i="11"/>
  <c r="K60" i="11"/>
  <c r="K72" i="11"/>
  <c r="K62" i="11"/>
  <c r="K79" i="11"/>
  <c r="K82" i="11"/>
  <c r="K70" i="11"/>
  <c r="K76" i="11"/>
  <c r="K71" i="11"/>
  <c r="K67" i="11"/>
  <c r="K63" i="11"/>
  <c r="K75" i="11"/>
  <c r="K74" i="11"/>
  <c r="K69" i="11"/>
  <c r="K61" i="11"/>
  <c r="K80" i="11"/>
  <c r="K68" i="11"/>
  <c r="K77" i="11"/>
  <c r="K81" i="11"/>
  <c r="K73" i="11"/>
  <c r="K65" i="11"/>
  <c r="H121" i="11"/>
  <c r="I123" i="11"/>
  <c r="J121" i="11"/>
  <c r="H123" i="11"/>
  <c r="J125" i="11"/>
  <c r="J117" i="11"/>
  <c r="H119" i="11"/>
  <c r="I122" i="11"/>
  <c r="I118" i="11"/>
  <c r="I125" i="11"/>
  <c r="J124" i="11"/>
  <c r="H122" i="11"/>
  <c r="I121" i="11"/>
  <c r="J120" i="11"/>
  <c r="H118" i="11"/>
  <c r="I117" i="11"/>
  <c r="I124" i="11"/>
  <c r="J123" i="11"/>
  <c r="I120" i="11"/>
  <c r="J119" i="11"/>
  <c r="K124" i="11" l="1"/>
  <c r="K121" i="11"/>
  <c r="K125" i="11"/>
  <c r="K120" i="11"/>
  <c r="K118" i="11"/>
  <c r="K123" i="11"/>
  <c r="K119" i="11"/>
  <c r="K117" i="11"/>
  <c r="K122" i="11"/>
  <c r="F153" i="11" l="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6" i="11"/>
  <c r="G6" i="11" l="1"/>
  <c r="F116" i="11"/>
  <c r="F115" i="11"/>
  <c r="F114" i="11"/>
  <c r="F113" i="11"/>
  <c r="F110" i="11"/>
  <c r="F109" i="11"/>
  <c r="F108" i="11"/>
  <c r="F107" i="11"/>
  <c r="F104" i="11"/>
  <c r="F103" i="11"/>
  <c r="F102" i="11"/>
  <c r="F101" i="11"/>
  <c r="F100" i="11"/>
  <c r="F99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2" i="11"/>
  <c r="G113" i="11"/>
  <c r="G114" i="11"/>
  <c r="G115" i="11"/>
  <c r="G116" i="11"/>
  <c r="D95" i="11"/>
  <c r="H95" i="11" s="1"/>
  <c r="E95" i="11"/>
  <c r="D96" i="11"/>
  <c r="J96" i="11" s="1"/>
  <c r="E96" i="11"/>
  <c r="D97" i="11"/>
  <c r="I97" i="11" s="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E104" i="11"/>
  <c r="D105" i="11"/>
  <c r="I105" i="11" s="1"/>
  <c r="E105" i="11"/>
  <c r="D106" i="11"/>
  <c r="H106" i="11" s="1"/>
  <c r="E106" i="11"/>
  <c r="D107" i="11"/>
  <c r="H107" i="11" s="1"/>
  <c r="E107" i="11"/>
  <c r="D108" i="11"/>
  <c r="J108" i="11" s="1"/>
  <c r="E108" i="11"/>
  <c r="D109" i="11"/>
  <c r="E109" i="11"/>
  <c r="D110" i="11"/>
  <c r="H110" i="11" s="1"/>
  <c r="E110" i="11"/>
  <c r="D112" i="11"/>
  <c r="H112" i="11" s="1"/>
  <c r="E112" i="11"/>
  <c r="D113" i="11"/>
  <c r="J113" i="11" s="1"/>
  <c r="E113" i="11"/>
  <c r="D114" i="11"/>
  <c r="E114" i="11"/>
  <c r="D115" i="11"/>
  <c r="H115" i="11" s="1"/>
  <c r="E115" i="11"/>
  <c r="D116" i="11"/>
  <c r="H116" i="11" s="1"/>
  <c r="E116" i="11"/>
  <c r="F189" i="11"/>
  <c r="F188" i="11"/>
  <c r="F187" i="11"/>
  <c r="F186" i="11"/>
  <c r="F185" i="11"/>
  <c r="F182" i="11"/>
  <c r="F181" i="11"/>
  <c r="F180" i="11"/>
  <c r="F179" i="11"/>
  <c r="F178" i="11"/>
  <c r="F177" i="11"/>
  <c r="F176" i="11"/>
  <c r="F173" i="11"/>
  <c r="F171" i="11"/>
  <c r="F170" i="11"/>
  <c r="F169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4" i="11"/>
  <c r="G185" i="11"/>
  <c r="G186" i="11"/>
  <c r="G187" i="11"/>
  <c r="G188" i="11"/>
  <c r="G189" i="11"/>
  <c r="G190" i="11"/>
  <c r="G191" i="11"/>
  <c r="G192" i="11"/>
  <c r="D165" i="11"/>
  <c r="H165" i="11" s="1"/>
  <c r="E165" i="11"/>
  <c r="D166" i="11"/>
  <c r="J166" i="11" s="1"/>
  <c r="E166" i="11"/>
  <c r="D167" i="11"/>
  <c r="I167" i="11" s="1"/>
  <c r="E167" i="11"/>
  <c r="D168" i="11"/>
  <c r="H168" i="11" s="1"/>
  <c r="E168" i="11"/>
  <c r="D169" i="11"/>
  <c r="E169" i="11"/>
  <c r="D170" i="11"/>
  <c r="J170" i="11" s="1"/>
  <c r="E170" i="11"/>
  <c r="D171" i="11"/>
  <c r="E171" i="11"/>
  <c r="D172" i="11"/>
  <c r="E172" i="11"/>
  <c r="D173" i="11"/>
  <c r="H173" i="11" s="1"/>
  <c r="E173" i="11"/>
  <c r="D174" i="11"/>
  <c r="I174" i="11" s="1"/>
  <c r="E174" i="11"/>
  <c r="D175" i="11"/>
  <c r="H175" i="11" s="1"/>
  <c r="E175" i="11"/>
  <c r="D176" i="11"/>
  <c r="H176" i="11" s="1"/>
  <c r="E176" i="11"/>
  <c r="D177" i="11"/>
  <c r="J177" i="11" s="1"/>
  <c r="E177" i="11"/>
  <c r="D178" i="11"/>
  <c r="E178" i="11"/>
  <c r="D179" i="11"/>
  <c r="H179" i="11" s="1"/>
  <c r="E179" i="11"/>
  <c r="D180" i="11"/>
  <c r="H180" i="11" s="1"/>
  <c r="E180" i="11"/>
  <c r="D181" i="11"/>
  <c r="J181" i="11" s="1"/>
  <c r="E181" i="11"/>
  <c r="D182" i="11"/>
  <c r="E182" i="11"/>
  <c r="D184" i="11"/>
  <c r="H184" i="11" s="1"/>
  <c r="E184" i="11"/>
  <c r="D185" i="11"/>
  <c r="H185" i="11" s="1"/>
  <c r="E185" i="11"/>
  <c r="D186" i="11"/>
  <c r="J186" i="11" s="1"/>
  <c r="E186" i="11"/>
  <c r="D187" i="11"/>
  <c r="E187" i="11"/>
  <c r="D188" i="11"/>
  <c r="H188" i="11" s="1"/>
  <c r="E188" i="11"/>
  <c r="D189" i="11"/>
  <c r="H189" i="11" s="1"/>
  <c r="E189" i="11"/>
  <c r="D190" i="11"/>
  <c r="J190" i="11" s="1"/>
  <c r="E190" i="11"/>
  <c r="F164" i="11"/>
  <c r="F163" i="11"/>
  <c r="F162" i="11"/>
  <c r="F161" i="11"/>
  <c r="F160" i="11"/>
  <c r="F159" i="11"/>
  <c r="F158" i="11"/>
  <c r="F157" i="11"/>
  <c r="F156" i="11"/>
  <c r="D135" i="11"/>
  <c r="E135" i="11"/>
  <c r="D136" i="11"/>
  <c r="E136" i="11"/>
  <c r="G136" i="11"/>
  <c r="D137" i="11"/>
  <c r="H137" i="11" s="1"/>
  <c r="E137" i="11"/>
  <c r="G137" i="11"/>
  <c r="D138" i="11"/>
  <c r="J138" i="11" s="1"/>
  <c r="E138" i="11"/>
  <c r="G138" i="11"/>
  <c r="D139" i="11"/>
  <c r="J139" i="11" s="1"/>
  <c r="E139" i="11"/>
  <c r="G139" i="11"/>
  <c r="D140" i="11"/>
  <c r="I140" i="11" s="1"/>
  <c r="E140" i="11"/>
  <c r="G140" i="11"/>
  <c r="D141" i="11"/>
  <c r="I141" i="11" s="1"/>
  <c r="E141" i="11"/>
  <c r="G141" i="11"/>
  <c r="D142" i="11"/>
  <c r="H142" i="11" s="1"/>
  <c r="E142" i="11"/>
  <c r="G142" i="11"/>
  <c r="D143" i="11"/>
  <c r="J143" i="11" s="1"/>
  <c r="E143" i="11"/>
  <c r="G143" i="11"/>
  <c r="D144" i="11"/>
  <c r="J144" i="11" s="1"/>
  <c r="E144" i="11"/>
  <c r="G144" i="11"/>
  <c r="D145" i="11"/>
  <c r="H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J148" i="11" s="1"/>
  <c r="E148" i="11"/>
  <c r="G148" i="11"/>
  <c r="D149" i="11"/>
  <c r="H149" i="11" s="1"/>
  <c r="E149" i="11"/>
  <c r="G149" i="11"/>
  <c r="D150" i="11"/>
  <c r="H150" i="11" s="1"/>
  <c r="E150" i="11"/>
  <c r="G150" i="11"/>
  <c r="D151" i="11"/>
  <c r="J151" i="11" s="1"/>
  <c r="E151" i="11"/>
  <c r="G151" i="11"/>
  <c r="D152" i="11"/>
  <c r="H152" i="11" s="1"/>
  <c r="E152" i="11"/>
  <c r="G152" i="11"/>
  <c r="D153" i="11"/>
  <c r="H153" i="11" s="1"/>
  <c r="E153" i="11"/>
  <c r="G153" i="11"/>
  <c r="D154" i="11"/>
  <c r="J154" i="11" s="1"/>
  <c r="E154" i="11"/>
  <c r="G154" i="11"/>
  <c r="D155" i="11"/>
  <c r="H155" i="11" s="1"/>
  <c r="E155" i="11"/>
  <c r="G155" i="11"/>
  <c r="D156" i="11"/>
  <c r="H156" i="11" s="1"/>
  <c r="E156" i="11"/>
  <c r="G156" i="11"/>
  <c r="D157" i="11"/>
  <c r="J157" i="11" s="1"/>
  <c r="E157" i="11"/>
  <c r="G157" i="11"/>
  <c r="D158" i="11"/>
  <c r="J158" i="11" s="1"/>
  <c r="E158" i="11"/>
  <c r="G158" i="11"/>
  <c r="D159" i="11"/>
  <c r="J159" i="11" s="1"/>
  <c r="E159" i="11"/>
  <c r="G159" i="11"/>
  <c r="D160" i="11"/>
  <c r="H160" i="11" s="1"/>
  <c r="E160" i="11"/>
  <c r="G160" i="11"/>
  <c r="D161" i="11"/>
  <c r="H161" i="11" s="1"/>
  <c r="E161" i="11"/>
  <c r="G161" i="11"/>
  <c r="D162" i="11"/>
  <c r="J162" i="11" s="1"/>
  <c r="E162" i="11"/>
  <c r="G162" i="11"/>
  <c r="D163" i="11"/>
  <c r="J163" i="11" s="1"/>
  <c r="E163" i="11"/>
  <c r="G163" i="11"/>
  <c r="D164" i="11"/>
  <c r="H164" i="11" s="1"/>
  <c r="E164" i="11"/>
  <c r="G164" i="11"/>
  <c r="D191" i="11"/>
  <c r="I191" i="11" s="1"/>
  <c r="E191" i="11"/>
  <c r="D192" i="11"/>
  <c r="H192" i="11" s="1"/>
  <c r="E192" i="11"/>
  <c r="D193" i="11"/>
  <c r="I193" i="11" s="1"/>
  <c r="E193" i="11"/>
  <c r="G193" i="11"/>
  <c r="D93" i="11"/>
  <c r="J93" i="11" s="1"/>
  <c r="E93" i="11"/>
  <c r="G93" i="11"/>
  <c r="F92" i="11"/>
  <c r="F88" i="11"/>
  <c r="F87" i="11"/>
  <c r="F86" i="11"/>
  <c r="F85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E88" i="11"/>
  <c r="G88" i="11"/>
  <c r="D89" i="11"/>
  <c r="H89" i="11" s="1"/>
  <c r="E89" i="11"/>
  <c r="G89" i="11"/>
  <c r="D90" i="11"/>
  <c r="H90" i="11" s="1"/>
  <c r="E90" i="11"/>
  <c r="G90" i="11"/>
  <c r="D91" i="11"/>
  <c r="J91" i="11" s="1"/>
  <c r="E91" i="11"/>
  <c r="G91" i="11"/>
  <c r="D92" i="11"/>
  <c r="E92" i="11"/>
  <c r="G92" i="11"/>
  <c r="D94" i="11"/>
  <c r="H94" i="11" s="1"/>
  <c r="E94" i="11"/>
  <c r="G94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J104" i="11" l="1"/>
  <c r="I135" i="11"/>
  <c r="J135" i="11"/>
  <c r="H135" i="11"/>
  <c r="I109" i="11"/>
  <c r="I114" i="11"/>
  <c r="I101" i="11"/>
  <c r="I113" i="11"/>
  <c r="J110" i="11"/>
  <c r="H108" i="11"/>
  <c r="I96" i="11"/>
  <c r="H113" i="11"/>
  <c r="I100" i="11"/>
  <c r="J98" i="11"/>
  <c r="H96" i="11"/>
  <c r="K96" i="11" s="1"/>
  <c r="I104" i="11"/>
  <c r="J102" i="11"/>
  <c r="H100" i="11"/>
  <c r="I108" i="11"/>
  <c r="J106" i="11"/>
  <c r="H104" i="11"/>
  <c r="J116" i="11"/>
  <c r="H114" i="11"/>
  <c r="J112" i="11"/>
  <c r="H109" i="11"/>
  <c r="J107" i="11"/>
  <c r="H105" i="11"/>
  <c r="J103" i="11"/>
  <c r="H101" i="11"/>
  <c r="J99" i="11"/>
  <c r="H97" i="11"/>
  <c r="J95" i="11"/>
  <c r="I187" i="11"/>
  <c r="I182" i="11"/>
  <c r="I178" i="11"/>
  <c r="I116" i="11"/>
  <c r="J115" i="11"/>
  <c r="I112" i="11"/>
  <c r="I107" i="11"/>
  <c r="I103" i="11"/>
  <c r="I99" i="11"/>
  <c r="I95" i="11"/>
  <c r="I115" i="11"/>
  <c r="J114" i="11"/>
  <c r="I110" i="11"/>
  <c r="J109" i="11"/>
  <c r="I106" i="11"/>
  <c r="J105" i="11"/>
  <c r="I102" i="11"/>
  <c r="K102" i="11" s="1"/>
  <c r="J101" i="11"/>
  <c r="I98" i="11"/>
  <c r="J97" i="11"/>
  <c r="H169" i="11"/>
  <c r="H172" i="11"/>
  <c r="I171" i="11"/>
  <c r="J173" i="11"/>
  <c r="I166" i="11"/>
  <c r="J189" i="11"/>
  <c r="I181" i="11"/>
  <c r="H174" i="11"/>
  <c r="I186" i="11"/>
  <c r="H178" i="11"/>
  <c r="J176" i="11"/>
  <c r="I170" i="11"/>
  <c r="I190" i="11"/>
  <c r="H182" i="11"/>
  <c r="J180" i="11"/>
  <c r="H167" i="11"/>
  <c r="J165" i="11"/>
  <c r="J140" i="11"/>
  <c r="H187" i="11"/>
  <c r="J185" i="11"/>
  <c r="I177" i="11"/>
  <c r="H171" i="11"/>
  <c r="J169" i="11"/>
  <c r="H191" i="11"/>
  <c r="J192" i="11"/>
  <c r="H190" i="11"/>
  <c r="I189" i="11"/>
  <c r="J188" i="11"/>
  <c r="H186" i="11"/>
  <c r="I185" i="11"/>
  <c r="J184" i="11"/>
  <c r="H181" i="11"/>
  <c r="I180" i="11"/>
  <c r="J179" i="11"/>
  <c r="H177" i="11"/>
  <c r="I176" i="11"/>
  <c r="J175" i="11"/>
  <c r="I173" i="11"/>
  <c r="J172" i="11"/>
  <c r="H170" i="11"/>
  <c r="I169" i="11"/>
  <c r="J168" i="11"/>
  <c r="H166" i="11"/>
  <c r="I165" i="11"/>
  <c r="I192" i="11"/>
  <c r="J191" i="11"/>
  <c r="I188" i="11"/>
  <c r="J187" i="11"/>
  <c r="I184" i="11"/>
  <c r="J182" i="11"/>
  <c r="I179" i="11"/>
  <c r="J178" i="11"/>
  <c r="I175" i="11"/>
  <c r="J174" i="11"/>
  <c r="I172" i="11"/>
  <c r="J171" i="11"/>
  <c r="I168" i="11"/>
  <c r="J167" i="11"/>
  <c r="I159" i="11"/>
  <c r="H159" i="11"/>
  <c r="J155" i="11"/>
  <c r="H140" i="11"/>
  <c r="J142" i="11"/>
  <c r="I138" i="11"/>
  <c r="J150" i="11"/>
  <c r="J193" i="11"/>
  <c r="I155" i="11"/>
  <c r="I153" i="11"/>
  <c r="J152" i="11"/>
  <c r="J161" i="11"/>
  <c r="H136" i="11"/>
  <c r="I161" i="11"/>
  <c r="I152" i="11"/>
  <c r="I150" i="11"/>
  <c r="I136" i="11"/>
  <c r="I144" i="11"/>
  <c r="I142" i="11"/>
  <c r="J146" i="11"/>
  <c r="H144" i="11"/>
  <c r="H141" i="11"/>
  <c r="H138" i="11"/>
  <c r="I137" i="11"/>
  <c r="J136" i="11"/>
  <c r="I157" i="11"/>
  <c r="H163" i="11"/>
  <c r="H148" i="11"/>
  <c r="I146" i="11"/>
  <c r="H193" i="11"/>
  <c r="I160" i="11"/>
  <c r="I145" i="11"/>
  <c r="I163" i="11"/>
  <c r="I148" i="11"/>
  <c r="H157" i="11"/>
  <c r="I156" i="11"/>
  <c r="I164" i="11"/>
  <c r="I149" i="11"/>
  <c r="J164" i="11"/>
  <c r="H162" i="11"/>
  <c r="J160" i="11"/>
  <c r="H158" i="11"/>
  <c r="J156" i="11"/>
  <c r="H154" i="11"/>
  <c r="J153" i="11"/>
  <c r="H151" i="11"/>
  <c r="J149" i="11"/>
  <c r="H147" i="11"/>
  <c r="J145" i="11"/>
  <c r="H143" i="11"/>
  <c r="J141" i="11"/>
  <c r="H139" i="11"/>
  <c r="J137" i="11"/>
  <c r="I162" i="11"/>
  <c r="I158" i="11"/>
  <c r="I154" i="11"/>
  <c r="I143" i="11"/>
  <c r="I151" i="11"/>
  <c r="I147" i="11"/>
  <c r="I139" i="11"/>
  <c r="I93" i="11"/>
  <c r="H93" i="11"/>
  <c r="J87" i="11"/>
  <c r="J89" i="11"/>
  <c r="I91" i="11"/>
  <c r="I89" i="11"/>
  <c r="I87" i="11"/>
  <c r="J92" i="11"/>
  <c r="J88" i="11"/>
  <c r="I94" i="11"/>
  <c r="H91" i="11"/>
  <c r="I90" i="11"/>
  <c r="H85" i="11"/>
  <c r="I84" i="11"/>
  <c r="I85" i="11"/>
  <c r="I92" i="11"/>
  <c r="I88" i="11"/>
  <c r="I86" i="11"/>
  <c r="J94" i="11"/>
  <c r="H92" i="11"/>
  <c r="J90" i="11"/>
  <c r="H88" i="11"/>
  <c r="J86" i="11"/>
  <c r="H84" i="11"/>
  <c r="J52" i="11"/>
  <c r="I52" i="11"/>
  <c r="J59" i="11"/>
  <c r="J58" i="11"/>
  <c r="I43" i="11"/>
  <c r="I59" i="11"/>
  <c r="J54" i="11"/>
  <c r="I58" i="11"/>
  <c r="I57" i="11"/>
  <c r="J56" i="11"/>
  <c r="I54" i="11"/>
  <c r="K54" i="11" s="1"/>
  <c r="J55" i="11"/>
  <c r="I56" i="11"/>
  <c r="I55" i="11"/>
  <c r="I53" i="11"/>
  <c r="H57" i="11"/>
  <c r="H53" i="11"/>
  <c r="J43" i="11"/>
  <c r="J42" i="11"/>
  <c r="J51" i="11"/>
  <c r="J47" i="11"/>
  <c r="I47" i="11"/>
  <c r="J46" i="11"/>
  <c r="I51" i="11"/>
  <c r="J50" i="11"/>
  <c r="I48" i="11"/>
  <c r="I44" i="11"/>
  <c r="I40" i="11"/>
  <c r="I50" i="11"/>
  <c r="H48" i="11"/>
  <c r="I46" i="11"/>
  <c r="H44" i="11"/>
  <c r="I42" i="11"/>
  <c r="H40" i="11"/>
  <c r="I45" i="11"/>
  <c r="I41" i="11"/>
  <c r="I49" i="11"/>
  <c r="H26" i="11"/>
  <c r="H49" i="11"/>
  <c r="H45" i="11"/>
  <c r="H41" i="11"/>
  <c r="H25" i="11"/>
  <c r="J30" i="11"/>
  <c r="I30" i="11"/>
  <c r="J29" i="11"/>
  <c r="J26" i="11"/>
  <c r="J33" i="11"/>
  <c r="J16" i="11"/>
  <c r="I26" i="11"/>
  <c r="I35" i="11"/>
  <c r="J34" i="11"/>
  <c r="J22" i="11"/>
  <c r="I31" i="11"/>
  <c r="I27" i="11"/>
  <c r="J19" i="11"/>
  <c r="I34" i="11"/>
  <c r="I22" i="11"/>
  <c r="J21" i="11"/>
  <c r="I19" i="11"/>
  <c r="J18" i="11"/>
  <c r="I16" i="11"/>
  <c r="J35" i="11"/>
  <c r="I33" i="11"/>
  <c r="I32" i="11"/>
  <c r="J31" i="11"/>
  <c r="I29" i="11"/>
  <c r="I28" i="11"/>
  <c r="J27" i="11"/>
  <c r="I25" i="11"/>
  <c r="I24" i="11"/>
  <c r="J23" i="11"/>
  <c r="I21" i="11"/>
  <c r="I20" i="11"/>
  <c r="I23" i="11"/>
  <c r="I18" i="11"/>
  <c r="I17" i="11"/>
  <c r="J25" i="11"/>
  <c r="H32" i="11"/>
  <c r="H28" i="11"/>
  <c r="H24" i="11"/>
  <c r="H20" i="11"/>
  <c r="H17" i="11"/>
  <c r="K110" i="11" l="1"/>
  <c r="K113" i="11"/>
  <c r="K135" i="11"/>
  <c r="K87" i="11"/>
  <c r="K99" i="11"/>
  <c r="K174" i="11"/>
  <c r="K188" i="11"/>
  <c r="K165" i="11"/>
  <c r="K166" i="11"/>
  <c r="K100" i="11"/>
  <c r="K104" i="11"/>
  <c r="K107" i="11"/>
  <c r="K108" i="11"/>
  <c r="K106" i="11"/>
  <c r="K115" i="11"/>
  <c r="K116" i="11"/>
  <c r="K95" i="11"/>
  <c r="K185" i="11"/>
  <c r="K190" i="11"/>
  <c r="K167" i="11"/>
  <c r="K112" i="11"/>
  <c r="K178" i="11"/>
  <c r="K186" i="11"/>
  <c r="K98" i="11"/>
  <c r="K103" i="11"/>
  <c r="K101" i="11"/>
  <c r="K97" i="11"/>
  <c r="K105" i="11"/>
  <c r="K114" i="11"/>
  <c r="K109" i="11"/>
  <c r="K172" i="11"/>
  <c r="K173" i="11"/>
  <c r="K184" i="11"/>
  <c r="K152" i="11"/>
  <c r="K168" i="11"/>
  <c r="K182" i="11"/>
  <c r="K177" i="11"/>
  <c r="K189" i="11"/>
  <c r="K175" i="11"/>
  <c r="K192" i="11"/>
  <c r="K164" i="11"/>
  <c r="K153" i="11"/>
  <c r="K155" i="11"/>
  <c r="K171" i="11"/>
  <c r="K180" i="11"/>
  <c r="K140" i="11"/>
  <c r="K179" i="11"/>
  <c r="K176" i="11"/>
  <c r="K181" i="11"/>
  <c r="K193" i="11"/>
  <c r="K150" i="11"/>
  <c r="K169" i="11"/>
  <c r="K187" i="11"/>
  <c r="K170" i="11"/>
  <c r="K149" i="11"/>
  <c r="K159" i="11"/>
  <c r="K142" i="11"/>
  <c r="K191" i="11"/>
  <c r="K157" i="11"/>
  <c r="K136" i="11"/>
  <c r="K141" i="11"/>
  <c r="K138" i="11"/>
  <c r="K144" i="11"/>
  <c r="K139" i="11"/>
  <c r="K146" i="11"/>
  <c r="K161" i="11"/>
  <c r="K137" i="11"/>
  <c r="K156" i="11"/>
  <c r="K154" i="11"/>
  <c r="K148" i="11"/>
  <c r="K93" i="11"/>
  <c r="K163" i="11"/>
  <c r="K145" i="11"/>
  <c r="K160" i="11"/>
  <c r="K162" i="11"/>
  <c r="K143" i="11"/>
  <c r="K151" i="11"/>
  <c r="K158" i="11"/>
  <c r="K147" i="11"/>
  <c r="K91" i="11"/>
  <c r="K89" i="11"/>
  <c r="K84" i="11"/>
  <c r="K94" i="11"/>
  <c r="K90" i="11"/>
  <c r="K85" i="11"/>
  <c r="K59" i="11"/>
  <c r="K88" i="11"/>
  <c r="K92" i="11"/>
  <c r="K58" i="11"/>
  <c r="K86" i="11"/>
  <c r="K53" i="11"/>
  <c r="K52" i="11"/>
  <c r="K49" i="11"/>
  <c r="K56" i="11"/>
  <c r="K43" i="11"/>
  <c r="K50" i="11"/>
  <c r="K57" i="11"/>
  <c r="K55" i="11"/>
  <c r="K47" i="11"/>
  <c r="K40" i="11"/>
  <c r="K42" i="11"/>
  <c r="K51" i="11"/>
  <c r="K48" i="11"/>
  <c r="K44" i="11"/>
  <c r="K30" i="11"/>
  <c r="K41" i="11"/>
  <c r="K46" i="11"/>
  <c r="K45" i="11"/>
  <c r="K16" i="11"/>
  <c r="K22" i="11"/>
  <c r="K26" i="11"/>
  <c r="K34" i="11"/>
  <c r="K29" i="11"/>
  <c r="K20" i="11"/>
  <c r="K21" i="11"/>
  <c r="K27" i="11"/>
  <c r="K19" i="11"/>
  <c r="K33" i="11"/>
  <c r="K17" i="11"/>
  <c r="K35" i="11"/>
  <c r="K24" i="11"/>
  <c r="K28" i="11"/>
  <c r="K23" i="11"/>
  <c r="K18" i="11"/>
  <c r="K31" i="11"/>
  <c r="K32" i="11"/>
  <c r="K25" i="11"/>
  <c r="D21" i="59" l="1"/>
  <c r="K6" i="60"/>
  <c r="D36" i="11"/>
  <c r="H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J38" i="11" l="1"/>
  <c r="J37" i="11"/>
  <c r="I39" i="11"/>
  <c r="I37" i="11"/>
  <c r="J36" i="11"/>
  <c r="I36" i="11"/>
  <c r="J39" i="11"/>
  <c r="I38" i="11"/>
  <c r="H38" i="11"/>
  <c r="K36" i="11" l="1"/>
  <c r="K37" i="11"/>
  <c r="K38" i="11"/>
  <c r="K39" i="11"/>
  <c r="D15" i="11" l="1"/>
  <c r="H15" i="11" s="1"/>
  <c r="E15" i="11"/>
  <c r="G15" i="11"/>
  <c r="J15" i="11" l="1"/>
  <c r="I15" i="11"/>
  <c r="K15" i="11" l="1"/>
  <c r="D14" i="11" l="1"/>
  <c r="J14" i="11" s="1"/>
  <c r="J194" i="11" s="1"/>
  <c r="E14" i="11"/>
  <c r="G14" i="11"/>
  <c r="K19" i="60"/>
  <c r="D19" i="60"/>
  <c r="H14" i="11" l="1"/>
  <c r="I14" i="11"/>
  <c r="I194" i="11" s="1"/>
  <c r="H194" i="11" l="1"/>
  <c r="K194" i="11" s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9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94" i="11"/>
  <c r="D195" i="11"/>
  <c r="H195" i="11" s="1"/>
  <c r="E19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9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02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3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9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95" i="11"/>
  <c r="I19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95" i="11"/>
  <c r="K197" i="11" s="1"/>
  <c r="E267" i="29" l="1"/>
  <c r="E236" i="29"/>
  <c r="F278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97" i="11"/>
  <c r="H198" i="11" s="1"/>
  <c r="I197" i="11"/>
  <c r="I19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99" i="11"/>
  <c r="I19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98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97" i="11"/>
  <c r="J19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99" i="11"/>
  <c r="B20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9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<sst xmlns="http://schemas.openxmlformats.org/spreadsheetml/2006/main" count="4866" uniqueCount="1649">
  <si>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</si>
  <si>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</si>
  <si>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</si>
  <si>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</si>
  <si>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</si>
  <si>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</si>
  <si>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</si>
  <si>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</si>
  <si>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</si>
  <si>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</si>
  <si>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</si>
  <si>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</si>
  <si>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</si>
  <si>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</si>
  <si>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</si>
  <si>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</si>
  <si>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</si>
  <si>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</si>
  <si>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</si>
  <si>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</si>
  <si>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</si>
  <si>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</si>
  <si>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</si>
  <si>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</si>
  <si>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</si>
  <si>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</si>
  <si>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</si>
  <si>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</si>
  <si>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</si>
  <si>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</si>
  <si>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</si>
  <si>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</si>
  <si>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</si>
  <si>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</si>
  <si>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</si>
  <si>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</si>
  <si>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</si>
  <si>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</si>
  <si>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</si>
  <si>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</si>
  <si>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</si>
  <si>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</si>
  <si>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</si>
  <si>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</si>
  <si>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</si>
  <si>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</si>
  <si>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</si>
  <si>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</si>
  <si>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</si>
  <si>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</si>
  <si>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</si>
  <si>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</si>
  <si>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</si>
  <si>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</si>
  <si>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</si>
  <si>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</si>
  <si>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</si>
  <si>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</si>
  <si>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</si>
  <si>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</si>
  <si>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</si>
  <si>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</si>
  <si>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</si>
  <si>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</si>
  <si>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</si>
  <si>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</si>
  <si>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</si>
  <si>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</si>
  <si>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</si>
  <si>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</si>
  <si>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</si>
  <si>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</si>
  <si>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</si>
  <si>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</si>
  <si>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</si>
  <si>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</si>
  <si>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</si>
  <si>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</si>
  <si>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</si>
  <si>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</si>
  <si>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</si>
  <si>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</si>
  <si>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</si>
  <si>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</si>
  <si>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</si>
  <si>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</si>
  <si>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</si>
  <si>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</si>
  <si>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</si>
  <si>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</si>
  <si>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</si>
  <si>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</si>
  <si>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</si>
  <si>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</si>
  <si>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</si>
  <si>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</si>
  <si>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</si>
  <si>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</si>
  <si>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</si>
  <si>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</si>
  <si>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</si>
  <si>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</si>
  <si>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</si>
  <si>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</si>
  <si>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</si>
  <si>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</si>
  <si>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</si>
  <si>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</si>
  <si>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</si>
  <si>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</si>
  <si>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</si>
  <si>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</si>
  <si>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</si>
  <si>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</si>
  <si>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</si>
  <si>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</si>
  <si>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</si>
  <si>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</si>
  <si>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</si>
  <si>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</si>
  <si>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</si>
  <si>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</si>
  <si>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</si>
  <si>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</si>
  <si>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</si>
  <si>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</si>
  <si>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</si>
  <si>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</si>
  <si>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</si>
  <si>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</si>
  <si>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</si>
  <si>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</si>
  <si>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</si>
  <si>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</si>
  <si>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</si>
  <si>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</si>
  <si>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</si>
  <si>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</si>
  <si>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</si>
  <si>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</si>
  <si>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</si>
  <si>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</si>
  <si>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</si>
  <si>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</si>
  <si>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</si>
  <si>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</si>
  <si>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</si>
  <si>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</si>
  <si>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</si>
  <si>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</si>
  <si>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</si>
  <si>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</si>
  <si>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</si>
  <si>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</si>
  <si>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</si>
  <si>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</si>
  <si>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</si>
  <si>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</si>
  <si>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</si>
  <si>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</si>
  <si>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</si>
  <si>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</si>
  <si>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</si>
  <si>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</si>
  <si>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</si>
  <si>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</si>
  <si>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</si>
  <si>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</si>
  <si>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</si>
  <si>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</si>
  <si>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</si>
  <si>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</si>
  <si>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</si>
  <si>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</si>
  <si>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</si>
  <si>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</si>
  <si>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</si>
  <si>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</si>
  <si>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</si>
  <si>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</si>
  <si>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</si>
  <si>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</si>
  <si>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</si>
  <si>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</si>
  <si>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</si>
  <si>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</si>
  <si>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</si>
  <si>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</si>
  <si>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</si>
  <si>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</si>
  <si>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</si>
  <si>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</si>
  <si>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</si>
  <si>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</si>
  <si>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</si>
  <si>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</si>
  <si>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</si>
  <si>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</si>
  <si>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</si>
  <si>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</si>
  <si>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</si>
  <si>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</si>
  <si>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</si>
  <si>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</si>
  <si>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</si>
  <si>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</si>
  <si>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</si>
  <si>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</si>
  <si>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</si>
  <si>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</si>
  <si>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</si>
  <si>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</si>
  <si>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</si>
  <si>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</si>
  <si>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</si>
  <si>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</si>
  <si>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</si>
  <si>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</si>
  <si>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</si>
  <si>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</si>
  <si>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</si>
  <si>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</si>
  <si>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</si>
  <si>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</si>
  <si>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</si>
  <si>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</si>
  <si>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</si>
  <si>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</si>
  <si>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</si>
  <si>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</si>
  <si>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</si>
  <si>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</si>
  <si>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</si>
  <si>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</si>
  <si>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</si>
  <si>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</si>
  <si>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</si>
  <si>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</si>
  <si>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</si>
  <si>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</si>
  <si>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</si>
  <si>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</si>
  <si>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</si>
  <si>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</si>
  <si>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</si>
  <si>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</si>
  <si>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</si>
  <si>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</si>
  <si>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</si>
  <si>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</si>
  <si>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</si>
  <si>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</si>
  <si>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</si>
  <si>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</si>
  <si>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</si>
  <si>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</si>
  <si>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</si>
  <si>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</si>
  <si>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</si>
  <si>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</si>
  <si>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</si>
  <si>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</si>
  <si>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</si>
  <si>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</si>
  <si>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</si>
  <si>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</si>
  <si>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</si>
  <si>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</si>
  <si>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</si>
  <si>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</si>
  <si>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</si>
  <si>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</si>
  <si>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</si>
  <si>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</si>
  <si>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</si>
  <si>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</si>
  <si>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</si>
  <si>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</si>
  <si>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</si>
  <si>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</si>
  <si>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</si>
  <si>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</si>
  <si>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</si>
  <si>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</si>
  <si>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</si>
  <si>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</si>
  <si>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</si>
  <si>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</si>
  <si>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</si>
  <si>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</si>
  <si>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</si>
  <si>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</si>
  <si>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</si>
  <si>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</si>
  <si>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</si>
  <si>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</si>
  <si>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</si>
  <si>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</si>
  <si>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</si>
  <si>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</si>
  <si>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</si>
  <si>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</si>
  <si>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</si>
  <si>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</si>
  <si>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</si>
  <si>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</si>
  <si>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</si>
  <si>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</si>
  <si>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</si>
  <si>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</si>
  <si>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</si>
  <si>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</si>
  <si>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</si>
  <si>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</si>
  <si>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</si>
  <si>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</si>
  <si>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</si>
  <si>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</si>
  <si>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</si>
  <si>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</si>
  <si>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</si>
  <si>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</si>
  <si>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</si>
  <si>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</si>
  <si>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</si>
  <si>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</si>
  <si>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</si>
  <si>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</si>
  <si>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</si>
  <si>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</si>
  <si>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</si>
  <si>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</si>
  <si>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</si>
  <si>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</si>
  <si>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</si>
  <si>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</si>
  <si>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</si>
  <si>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</si>
  <si>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</si>
  <si>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</si>
  <si>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</si>
  <si>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</si>
  <si>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</si>
  <si>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</si>
  <si>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</si>
  <si>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</si>
  <si>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</si>
  <si>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</si>
  <si>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</si>
  <si>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</si>
  <si>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</si>
  <si>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</si>
  <si>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</si>
  <si>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</si>
  <si>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</si>
  <si>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</si>
  <si>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</si>
  <si>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</si>
  <si>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</si>
  <si>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</si>
  <si>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</si>
  <si>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</si>
  <si>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</si>
  <si>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</si>
  <si>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</si>
  <si>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</si>
  <si>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</si>
  <si>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</si>
  <si>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</si>
  <si>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</si>
  <si>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</si>
  <si>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</si>
  <si>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</si>
  <si>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</si>
  <si>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</si>
  <si>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</si>
  <si>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</si>
  <si>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</si>
  <si>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</si>
  <si>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</si>
  <si>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</si>
  <si>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</si>
  <si>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</si>
  <si>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</si>
  <si>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</si>
  <si>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</si>
  <si>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</si>
  <si>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</si>
  <si>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</si>
  <si>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</si>
  <si>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</si>
  <si>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</si>
  <si>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</si>
  <si>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</si>
  <si>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</si>
  <si>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</si>
  <si>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</si>
  <si>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</si>
  <si>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</si>
  <si>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</si>
  <si>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</si>
  <si>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</si>
  <si>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</si>
  <si>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</si>
  <si>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</si>
  <si>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</si>
  <si>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</si>
  <si>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</si>
  <si>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</si>
  <si>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</si>
  <si>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</si>
  <si>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</si>
  <si>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</si>
  <si>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</si>
  <si>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</si>
  <si>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</si>
  <si>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</si>
  <si>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</si>
  <si>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</si>
  <si>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</si>
  <si>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</si>
  <si>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</si>
  <si>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</si>
  <si>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</si>
  <si>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</si>
  <si>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</si>
  <si>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</si>
  <si>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</si>
  <si>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</si>
  <si>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</si>
  <si>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</si>
  <si>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</si>
  <si>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</si>
  <si>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</si>
  <si>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</si>
  <si>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</si>
  <si>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</si>
  <si>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</si>
  <si>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</si>
  <si>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</si>
  <si>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</si>
  <si>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</si>
  <si>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</si>
  <si>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</si>
  <si>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</si>
  <si>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</si>
  <si>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</si>
  <si>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</si>
  <si>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</si>
  <si>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</si>
  <si>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</si>
  <si>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</si>
  <si>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</si>
  <si>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</si>
  <si>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</si>
  <si>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</si>
  <si>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</si>
  <si>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</si>
  <si>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</si>
  <si>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</si>
  <si>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</si>
  <si>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</si>
  <si>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</si>
  <si>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</si>
  <si>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</si>
  <si>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</si>
  <si>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</si>
  <si>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</si>
  <si>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</si>
  <si>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</si>
  <si>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</si>
  <si>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</si>
  <si>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</si>
  <si>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</si>
  <si>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</si>
  <si>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</si>
  <si>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</si>
  <si>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</si>
  <si>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</si>
  <si>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</si>
  <si>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</si>
  <si>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</si>
  <si>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</si>
  <si>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</si>
  <si>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</si>
  <si>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</si>
  <si>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</si>
  <si>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</si>
  <si>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</si>
  <si>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</si>
  <si>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</si>
  <si>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</si>
  <si>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</si>
  <si>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</si>
  <si>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</si>
  <si>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</si>
  <si>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</si>
  <si>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</si>
  <si>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</si>
  <si>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</si>
  <si>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</si>
  <si>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</si>
  <si>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</si>
  <si>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</si>
  <si>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</si>
  <si>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</si>
  <si>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</si>
  <si>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</si>
  <si>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</si>
  <si>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</si>
  <si>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</si>
  <si>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</si>
  <si>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</si>
  <si>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</si>
  <si>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</si>
  <si>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</si>
  <si>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</si>
  <si>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</si>
  <si>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</si>
  <si>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</si>
  <si>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</si>
  <si>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</si>
  <si>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</si>
  <si>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</si>
  <si>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</si>
  <si>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</si>
  <si>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</si>
  <si>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</si>
  <si>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</si>
  <si>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</si>
  <si>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</si>
  <si>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</si>
  <si>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</si>
  <si>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</si>
  <si>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</si>
  <si>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</si>
  <si>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</si>
  <si>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</si>
  <si>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</si>
  <si>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</si>
  <si>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</si>
  <si>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</si>
  <si>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</si>
  <si>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</si>
  <si>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</si>
  <si>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</si>
  <si>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</si>
  <si>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</si>
  <si>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</si>
  <si>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</si>
  <si>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</si>
  <si>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</si>
  <si>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</si>
  <si>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</si>
  <si>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</si>
  <si>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</si>
  <si>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</si>
  <si>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</si>
  <si>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</si>
  <si>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</si>
  <si>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</si>
  <si>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</si>
  <si>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</si>
  <si>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</si>
  <si>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</si>
  <si>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</si>
  <si>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</si>
  <si>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</si>
  <si>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</si>
  <si>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</si>
  <si>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</si>
  <si>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</si>
  <si>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</si>
  <si>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</si>
  <si>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</si>
  <si>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</si>
  <si>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</si>
  <si>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</si>
  <si>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</si>
  <si>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</si>
  <si>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</si>
  <si>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</si>
  <si>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</si>
  <si>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</si>
  <si>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</si>
  <si>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</si>
  <si>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</si>
  <si>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</si>
  <si>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</si>
  <si>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</si>
  <si>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</si>
  <si>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</si>
  <si>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</si>
  <si>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</si>
  <si>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</si>
  <si>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</si>
  <si>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</si>
  <si>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</si>
  <si>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</si>
  <si>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</si>
  <si>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</si>
  <si>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</si>
  <si>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</si>
  <si>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</si>
  <si>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</si>
  <si>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</si>
  <si>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</si>
  <si>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</si>
  <si>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</si>
  <si>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</si>
  <si>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</si>
  <si>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</si>
  <si>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</si>
  <si>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</si>
  <si>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</si>
  <si>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</si>
  <si>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</si>
  <si>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</si>
  <si>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</si>
  <si>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</si>
  <si>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</si>
  <si>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</si>
  <si>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</si>
  <si>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</si>
  <si>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</si>
  <si>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</si>
  <si>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</si>
  <si>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</si>
  <si>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</si>
  <si>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</si>
  <si>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</si>
  <si>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</si>
  <si>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</si>
  <si>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</si>
  <si>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</si>
  <si>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</si>
  <si>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</si>
  <si>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</si>
  <si>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</si>
  <si>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</si>
  <si>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</si>
  <si>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</si>
  <si>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</si>
  <si>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</si>
  <si>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</si>
  <si>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</si>
  <si>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</si>
  <si>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</si>
  <si>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</si>
  <si>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</si>
  <si>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</si>
  <si>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</si>
  <si>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</si>
  <si>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</si>
  <si>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</si>
  <si>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</si>
  <si>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</si>
  <si>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</si>
  <si>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</si>
  <si>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</si>
  <si>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</si>
  <si>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</si>
  <si>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</si>
  <si>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</si>
  <si>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</si>
  <si>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</si>
  <si>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</si>
  <si>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</si>
  <si>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</si>
  <si>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</si>
  <si>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</si>
  <si>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</si>
  <si>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</si>
  <si>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</si>
  <si>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</si>
  <si>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</si>
  <si>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</si>
  <si>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</si>
  <si>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</si>
  <si>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</si>
  <si>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</si>
  <si>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</si>
  <si>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</si>
  <si>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</si>
  <si>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</si>
  <si>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</si>
  <si>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</si>
  <si>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</si>
  <si>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</si>
  <si>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</si>
  <si>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</si>
  <si>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</si>
  <si>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</si>
  <si>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</si>
  <si>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</si>
  <si>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</si>
  <si>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</si>
  <si>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</si>
  <si>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</si>
  <si>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</si>
  <si>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</si>
  <si>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</si>
  <si>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</si>
  <si>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</si>
  <si>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</si>
  <si>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</si>
  <si>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</si>
  <si>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</si>
  <si>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</si>
  <si>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</si>
  <si>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</si>
  <si>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</si>
  <si>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</si>
  <si>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</si>
  <si>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</si>
  <si>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</si>
  <si>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</si>
  <si>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</si>
  <si>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</si>
  <si>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</si>
  <si>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</si>
  <si>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</si>
  <si>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</si>
  <si>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</si>
  <si>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</si>
  <si>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</si>
  <si>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</si>
  <si>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</si>
  <si>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</si>
  <si>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</si>
  <si>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</si>
  <si>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</si>
  <si>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</si>
  <si>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</si>
  <si>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</si>
  <si>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</si>
  <si>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</si>
  <si>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</si>
  <si>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</si>
  <si>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</si>
  <si>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</si>
  <si>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</si>
  <si>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</si>
  <si>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</si>
  <si>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</si>
  <si>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</si>
  <si>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</si>
  <si>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</si>
  <si>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</si>
  <si>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</si>
  <si>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</si>
  <si>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</si>
  <si>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</si>
  <si>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</si>
  <si>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</si>
  <si>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</si>
  <si>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</si>
  <si>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</si>
  <si>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</si>
  <si>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</si>
  <si>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</si>
  <si>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</si>
  <si>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</si>
  <si>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</si>
  <si>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</si>
  <si>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</si>
  <si>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</si>
  <si>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</si>
  <si>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</si>
  <si>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</si>
  <si>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</si>
  <si>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</si>
  <si>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</si>
  <si>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</si>
  <si>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</si>
  <si>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</si>
  <si>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</si>
  <si>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</si>
  <si>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</si>
  <si>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</si>
  <si>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</si>
  <si>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</si>
  <si>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</si>
  <si>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</si>
  <si>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</si>
  <si>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</si>
  <si>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</si>
  <si>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</si>
  <si>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</si>
  <si>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</si>
  <si>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</si>
  <si>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</si>
  <si>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</si>
  <si>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</si>
  <si>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</si>
  <si>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</si>
  <si>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</si>
  <si>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</si>
  <si>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</si>
  <si>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</si>
  <si>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</si>
  <si>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</si>
  <si>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</si>
  <si>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</si>
  <si>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</si>
  <si>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</si>
  <si>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</si>
  <si>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</si>
  <si>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</si>
  <si>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</si>
  <si>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</si>
  <si>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</si>
  <si>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</si>
  <si>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</si>
  <si>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</si>
  <si>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</si>
  <si>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</si>
  <si>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</si>
  <si>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</si>
  <si>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</si>
  <si>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</si>
  <si>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</si>
  <si>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</si>
  <si>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</si>
  <si>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</si>
  <si>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</si>
  <si>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</si>
  <si>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</si>
  <si>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</si>
  <si>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</si>
  <si>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</si>
  <si>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</si>
  <si>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</si>
  <si>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</si>
  <si>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</si>
  <si>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</si>
  <si>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</si>
  <si>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</si>
  <si>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</si>
  <si>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</si>
  <si>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</si>
  <si>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</si>
  <si>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</si>
  <si>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</si>
  <si>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</si>
  <si>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</si>
  <si>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</si>
  <si>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</si>
  <si>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</si>
  <si>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</si>
  <si>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</si>
  <si>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</si>
  <si>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</si>
  <si>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</si>
  <si>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</si>
  <si>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</si>
  <si>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</si>
  <si>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</si>
  <si>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</si>
  <si>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</si>
  <si>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</si>
  <si>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</si>
  <si>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</si>
  <si>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</si>
  <si>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</si>
  <si>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</si>
  <si>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</si>
  <si>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</si>
  <si>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</si>
  <si>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</si>
  <si>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</si>
  <si>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</si>
  <si>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</si>
  <si>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</si>
  <si>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</si>
  <si>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</si>
  <si>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</si>
  <si>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</si>
  <si>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</si>
  <si>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</si>
  <si>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</si>
  <si>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</si>
  <si>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</si>
  <si>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</si>
  <si>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</si>
  <si>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</si>
  <si>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</si>
  <si>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</si>
  <si>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</si>
  <si>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</si>
  <si>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</si>
  <si>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</si>
  <si>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</si>
  <si>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</si>
  <si>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</si>
  <si>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</si>
  <si>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</si>
  <si>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</si>
  <si>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</si>
  <si>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</si>
  <si>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</si>
  <si>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</si>
  <si>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</si>
  <si>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</si>
  <si>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</si>
  <si>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</si>
  <si>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</si>
  <si>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</si>
  <si>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</si>
  <si>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</si>
  <si>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</si>
  <si>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</si>
  <si>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</si>
  <si>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</si>
  <si>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</si>
  <si>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</si>
  <si>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</si>
  <si>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</si>
  <si>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</si>
  <si>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</si>
  <si>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</si>
  <si>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</si>
  <si>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</si>
  <si>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</si>
  <si>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</si>
  <si>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</si>
  <si>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</si>
  <si>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</si>
  <si>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</si>
  <si>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</si>
  <si>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</si>
  <si>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</si>
  <si>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</si>
  <si>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</si>
  <si>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</si>
  <si>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</si>
  <si>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</si>
  <si>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</si>
  <si>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</si>
  <si>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</si>
  <si>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</si>
  <si>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</si>
  <si>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</si>
  <si>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</si>
  <si>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</si>
  <si>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</si>
  <si>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</si>
  <si>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</si>
  <si>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</si>
  <si>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</si>
  <si>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</si>
  <si>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</si>
  <si>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</si>
  <si>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</si>
  <si>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</si>
  <si>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</si>
  <si>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</si>
  <si>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</si>
  <si>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</si>
  <si>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</si>
  <si>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</si>
  <si>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</si>
  <si>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</si>
  <si>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</si>
  <si>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</si>
  <si>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</si>
  <si>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</si>
  <si>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</si>
  <si>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</si>
  <si>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</si>
  <si>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</si>
  <si>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</si>
  <si>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</si>
  <si>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</si>
  <si>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</si>
  <si>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</si>
  <si>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</si>
  <si>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</si>
  <si>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</si>
  <si>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</si>
  <si>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</si>
  <si>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</si>
  <si>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</si>
  <si>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</si>
  <si>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</si>
  <si>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</si>
  <si>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</si>
  <si>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</si>
  <si>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</si>
  <si>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</si>
  <si>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</si>
  <si>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</si>
  <si>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</si>
  <si>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</si>
  <si>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</si>
  <si>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</si>
  <si>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</si>
  <si>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</si>
  <si>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</si>
  <si>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</si>
  <si>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</si>
  <si>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</si>
  <si>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</si>
  <si>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</si>
  <si>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</si>
  <si>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</si>
  <si>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</si>
  <si>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</si>
  <si>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</si>
  <si>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</si>
  <si>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</si>
  <si>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</si>
  <si>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</si>
  <si>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</si>
  <si>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</si>
  <si>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</si>
  <si>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</si>
  <si>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</si>
  <si>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</si>
  <si>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</si>
  <si>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</si>
  <si>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</si>
  <si>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</si>
  <si>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</si>
  <si>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</si>
  <si>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</si>
  <si>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</si>
  <si>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</si>
  <si>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</si>
  <si>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</si>
  <si>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</si>
  <si>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</si>
  <si>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</si>
  <si>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</si>
  <si>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</si>
  <si>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</si>
  <si>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</si>
  <si>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</si>
  <si>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</si>
  <si>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</si>
  <si>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</si>
  <si>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</si>
  <si>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</si>
  <si>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</si>
  <si>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</si>
  <si>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</si>
  <si>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</si>
  <si>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</si>
  <si>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</si>
  <si>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</si>
  <si>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</si>
  <si>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</si>
  <si>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</si>
  <si>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</si>
  <si>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</si>
  <si>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</si>
  <si>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</si>
  <si>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</si>
  <si>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</si>
  <si>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</si>
  <si>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</si>
  <si>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</si>
  <si>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</si>
  <si>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</si>
  <si>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</si>
  <si>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</si>
  <si>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</si>
  <si>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</si>
  <si>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</si>
  <si>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</si>
  <si>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</si>
  <si>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</si>
  <si>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</si>
  <si>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</si>
  <si>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</si>
  <si>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</si>
  <si>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</si>
  <si>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</si>
  <si>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</si>
  <si>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</si>
  <si>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</si>
  <si>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</si>
  <si>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</si>
  <si>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</si>
  <si>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</si>
  <si>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</si>
  <si>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</si>
  <si>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</si>
  <si>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</si>
  <si>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</si>
  <si>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</si>
  <si>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</si>
  <si>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</si>
  <si>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</si>
  <si>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</si>
  <si>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</si>
  <si>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</si>
  <si>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</si>
  <si>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</si>
  <si>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</si>
  <si>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</si>
  <si>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</si>
  <si>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</si>
  <si>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</si>
  <si>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</si>
  <si>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</si>
  <si>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</si>
  <si>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</si>
  <si>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</si>
  <si>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</si>
  <si>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</si>
  <si>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</si>
  <si>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</si>
  <si>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</si>
  <si>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</si>
  <si>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</si>
  <si>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</si>
  <si>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</si>
  <si>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</si>
  <si>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</si>
  <si>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</si>
  <si>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</si>
  <si>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</si>
  <si>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</si>
  <si>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</si>
  <si>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</si>
  <si>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</si>
  <si>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</si>
  <si>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</si>
  <si>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</si>
  <si>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</si>
  <si>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</si>
  <si>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</si>
  <si>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</si>
  <si>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</si>
  <si>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</si>
  <si>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</si>
  <si>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</si>
  <si>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</si>
  <si>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</si>
  <si>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</si>
  <si>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</si>
  <si>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</si>
  <si>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</si>
  <si>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</si>
  <si>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</si>
  <si>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</si>
  <si>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</si>
  <si>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</si>
  <si>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</si>
  <si>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</si>
  <si>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</si>
  <si>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</si>
  <si>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</si>
  <si>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</si>
  <si>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</si>
  <si>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</si>
  <si>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</si>
  <si>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</si>
  <si>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</si>
  <si>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</si>
  <si>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</si>
  <si>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</si>
  <si>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</si>
  <si>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</si>
  <si>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</si>
  <si>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</si>
  <si>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</si>
  <si>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</si>
  <si>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</si>
  <si>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</si>
  <si>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</si>
  <si>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</si>
  <si>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</si>
  <si>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</si>
  <si>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</si>
  <si>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</si>
  <si>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</si>
  <si>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</si>
  <si>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</si>
  <si>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</si>
  <si>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</si>
  <si>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</si>
  <si>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</si>
  <si>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</si>
  <si>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</si>
  <si>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</si>
  <si>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</si>
  <si>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</si>
  <si>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</si>
  <si>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</si>
  <si>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</si>
  <si>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</si>
  <si>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</si>
  <si>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</si>
  <si>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</si>
  <si>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</si>
  <si>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</si>
  <si>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</si>
  <si>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</si>
  <si>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</si>
  <si>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</si>
  <si>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</si>
  <si>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</si>
  <si>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</si>
  <si>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</si>
  <si>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</si>
  <si>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</si>
  <si>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</si>
  <si>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</si>
  <si>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</si>
  <si>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</si>
  <si>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</si>
  <si>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</si>
  <si>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</si>
  <si>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</si>
  <si>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</si>
  <si>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</si>
  <si>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</si>
  <si>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</si>
  <si>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</si>
  <si>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</si>
  <si>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</si>
  <si>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</si>
  <si>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</si>
  <si>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</si>
  <si>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</si>
  <si>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</si>
  <si>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</si>
  <si>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</si>
  <si>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</si>
  <si>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</si>
  <si>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</si>
  <si>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</si>
  <si>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</si>
  <si>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</si>
  <si>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</si>
  <si>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</si>
  <si>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</si>
  <si>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</si>
  <si>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</si>
  <si>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</si>
  <si>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</si>
  <si>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</si>
  <si>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</si>
  <si>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</si>
  <si>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</si>
  <si>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</si>
  <si>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</si>
  <si>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</si>
  <si>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</si>
  <si>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</si>
  <si>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</si>
  <si>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</si>
  <si>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</si>
  <si>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</si>
  <si>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</si>
  <si>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</si>
  <si>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</si>
  <si>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</si>
  <si>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</si>
  <si>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</si>
  <si>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</si>
  <si>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</si>
  <si>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</si>
  <si>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</si>
  <si>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</si>
  <si>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</si>
  <si>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</si>
  <si>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</si>
  <si>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</si>
  <si>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</si>
  <si>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</si>
  <si>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</si>
  <si>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</si>
  <si>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</si>
  <si>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</si>
  <si>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</si>
  <si>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</si>
  <si>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</si>
  <si>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</si>
  <si>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</si>
  <si>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</si>
  <si>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</si>
  <si>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</si>
  <si>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</si>
  <si>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</si>
  <si>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</si>
  <si>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</si>
  <si>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</si>
  <si>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</si>
  <si>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</si>
  <si>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</si>
  <si>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</si>
  <si>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</si>
  <si>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</si>
  <si>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</si>
  <si>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</si>
  <si>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</si>
  <si>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</si>
  <si>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</si>
  <si>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</si>
  <si>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</si>
  <si>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</si>
  <si>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</si>
  <si>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</si>
  <si>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</si>
  <si>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</si>
  <si>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</si>
  <si>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</si>
  <si>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</si>
  <si>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</si>
  <si>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</si>
  <si>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</si>
  <si>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</si>
  <si>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</si>
  <si>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</si>
  <si>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</si>
  <si>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</si>
  <si>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</si>
  <si>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</si>
  <si>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</si>
  <si>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</si>
  <si>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</si>
  <si>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</si>
  <si>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</si>
  <si>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</si>
  <si>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</si>
  <si>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</si>
  <si>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</si>
  <si>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</si>
  <si>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</si>
  <si>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</si>
  <si>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</si>
  <si>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</si>
  <si>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</si>
  <si>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</si>
  <si>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</si>
  <si>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</si>
  <si>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</si>
  <si>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</si>
  <si>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</si>
  <si>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</si>
  <si>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</si>
  <si>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</si>
  <si>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</si>
  <si>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</si>
  <si>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</si>
  <si>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</si>
  <si>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</si>
  <si>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</si>
  <si>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</si>
  <si>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</si>
  <si>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</si>
  <si>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</si>
  <si>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</si>
  <si>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</si>
  <si>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</si>
  <si>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</si>
  <si>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</si>
  <si>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</si>
  <si>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</si>
  <si>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</si>
  <si>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</si>
  <si>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</si>
  <si>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</si>
  <si>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</si>
  <si>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</si>
  <si>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</si>
  <si>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</si>
  <si>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</si>
  <si>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</si>
  <si>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</si>
  <si>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</si>
  <si>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</si>
  <si>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</si>
  <si>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</si>
  <si>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</si>
  <si>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</si>
  <si>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</si>
  <si>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</si>
  <si>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</si>
  <si>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</si>
  <si>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</si>
  <si>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</si>
  <si>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</si>
  <si>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</si>
  <si>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</si>
  <si>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</si>
  <si>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</si>
  <si>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</si>
  <si>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</si>
  <si>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</si>
  <si>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</si>
  <si>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</si>
  <si>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</si>
  <si>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</si>
  <si>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</si>
  <si>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</si>
  <si>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</si>
  <si>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</si>
  <si>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</si>
  <si>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</si>
  <si>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</si>
  <si>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</si>
  <si>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</si>
  <si>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</si>
  <si>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</si>
  <si>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</si>
  <si>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</si>
  <si>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</si>
  <si>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</si>
  <si>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</si>
  <si>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</si>
  <si>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</si>
  <si>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</si>
  <si>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</si>
  <si>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</si>
  <si>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</si>
  <si>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</si>
  <si>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</si>
  <si>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</si>
  <si>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</si>
  <si>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</si>
  <si>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</si>
  <si>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</si>
  <si>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</si>
  <si>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</si>
  <si>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</si>
  <si>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</si>
  <si>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</si>
  <si>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</si>
  <si>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</si>
  <si>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</si>
  <si>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</si>
  <si>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</si>
  <si>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</si>
  <si>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</si>
  <si>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</si>
  <si>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</si>
  <si>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</si>
  <si>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</si>
  <si>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</si>
  <si>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</si>
  <si>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</si>
  <si>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</si>
  <si>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</si>
  <si>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</si>
  <si>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</si>
  <si>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</si>
  <si>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</si>
  <si>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</si>
  <si>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</si>
  <si>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</si>
  <si>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</si>
  <si>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</si>
  <si>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</si>
  <si>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</si>
  <si>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</si>
  <si>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</si>
  <si>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</si>
  <si>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</si>
  <si>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</si>
  <si>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</si>
  <si>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</si>
  <si>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</si>
  <si>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</si>
  <si>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</si>
  <si>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</si>
  <si>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</si>
  <si>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</si>
  <si>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</si>
  <si>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</si>
  <si>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</si>
  <si>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</si>
  <si>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</si>
  <si>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</si>
  <si>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</si>
  <si>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</si>
  <si>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</si>
  <si>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</si>
  <si>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</si>
  <si>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</si>
  <si>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</si>
  <si>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</si>
  <si>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</si>
  <si>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</si>
  <si>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</si>
  <si>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</si>
  <si>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</si>
  <si>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</si>
  <si>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</si>
  <si>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</si>
  <si>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</si>
  <si>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</si>
  <si>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</si>
  <si>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</si>
  <si>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</si>
  <si>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</si>
  <si>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</si>
  <si>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</si>
  <si>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</si>
  <si>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</si>
  <si>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</si>
  <si>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</si>
  <si>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</si>
  <si>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</si>
  <si>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</si>
  <si>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</si>
  <si>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</si>
  <si>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</si>
  <si>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</si>
  <si>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</si>
  <si>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</si>
  <si>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</si>
  <si>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</si>
  <si>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</si>
  <si>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</si>
  <si>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</si>
  <si>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</si>
  <si>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</si>
  <si>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</si>
  <si>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</si>
  <si>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</si>
  <si>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</si>
  <si>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</si>
  <si>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</si>
  <si>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</si>
  <si>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</si>
  <si>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</si>
  <si>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</si>
  <si>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</si>
  <si>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</si>
  <si>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</si>
  <si>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</si>
  <si>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</si>
  <si>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</si>
  <si>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</si>
  <si>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</si>
  <si>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</si>
  <si>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</si>
  <si>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</si>
  <si>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</si>
  <si>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</si>
  <si>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</si>
  <si>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</si>
  <si>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</si>
  <si>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</si>
  <si>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</si>
  <si>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</si>
  <si>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</si>
  <si>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</si>
  <si>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</si>
  <si>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</si>
  <si>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</si>
  <si>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</si>
  <si>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</si>
  <si>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</si>
  <si>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</si>
  <si>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</si>
  <si>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</si>
  <si>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</si>
  <si>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</si>
  <si>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</si>
  <si>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</si>
  <si>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</si>
  <si>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</si>
  <si>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</si>
  <si>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</si>
  <si>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</si>
  <si>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</si>
  <si>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</si>
  <si>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</si>
  <si>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</si>
  <si>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</si>
  <si>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</si>
  <si>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</si>
  <si>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</si>
  <si>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</si>
  <si>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</si>
  <si>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</si>
  <si>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</si>
  <si>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</si>
  <si>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</si>
  <si>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</si>
  <si>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</si>
  <si>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</si>
  <si>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</si>
  <si>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</si>
  <si>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</si>
  <si>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</si>
  <si>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</si>
  <si>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</si>
  <si>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</si>
  <si>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</si>
  <si>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</si>
  <si>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</si>
  <si>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</si>
  <si>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</si>
  <si>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</si>
  <si>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</si>
  <si>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</si>
  <si>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</si>
  <si>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</si>
  <si>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</si>
  <si>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</si>
  <si>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</si>
  <si>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</si>
  <si>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</si>
  <si>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</si>
  <si>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</si>
  <si>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</si>
  <si>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</si>
  <si>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</si>
  <si>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</si>
  <si>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</si>
  <si>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</si>
  <si>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</si>
  <si>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</si>
  <si>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</si>
  <si>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</si>
  <si>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</si>
  <si>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</si>
  <si>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</si>
  <si>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</si>
  <si>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</si>
  <si>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</si>
  <si>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</si>
  <si>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</si>
  <si>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</si>
  <si>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</si>
  <si>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</si>
  <si>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</si>
  <si>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</si>
  <si>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</si>
  <si>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PEJUMPERAN</t>
  </si>
  <si>
    <t>CM5-5</t>
  </si>
  <si>
    <t>C12-200</t>
  </si>
  <si>
    <t>C12-350</t>
  </si>
  <si>
    <t>CG313</t>
  </si>
  <si>
    <t>Trafo 3 Fasa 100 KVA 2 Tiang (G313)</t>
  </si>
  <si>
    <t>Daya 105.000 VA</t>
  </si>
  <si>
    <t>CC8-A</t>
  </si>
  <si>
    <t>KOORDINAT : -6.8652081,110.7254052</t>
  </si>
  <si>
    <t>AGR SRI REZEKI DS. NGALURAN</t>
  </si>
  <si>
    <t>DS NGALURAN KEC. GAJAH</t>
  </si>
  <si>
    <t>CM5-4</t>
  </si>
  <si>
    <t>TRF 100 KVA</t>
  </si>
  <si>
    <t>AAAC 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</si>
</sst>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202124"/>
      <name val="Inherit"/>
    </font>
    <font>
      <sz val="11"/>
      <color rgb="FF000000"/>
      <name val="Arial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4" fontId="37" fillId="0" borderId="3"/>
    <xf numFmtId="184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71" fillId="0" borderId="0" applyFont="0" applyFill="0" applyBorder="0" applyAlignment="0" applyProtection="0"/>
    <xf numFmtId="186" fontId="73" fillId="0" borderId="0">
      <protection locked="0"/>
    </xf>
    <xf numFmtId="14" fontId="65" fillId="0" borderId="0" applyFill="0" applyBorder="0" applyAlignment="0"/>
    <xf numFmtId="187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8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89" fontId="78" fillId="0" borderId="0">
      <protection locked="0"/>
    </xf>
    <xf numFmtId="189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0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1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23" fillId="0" borderId="0"/>
    <xf numFmtId="191" fontId="37" fillId="0" borderId="0"/>
    <xf numFmtId="170" fontId="84" fillId="0" borderId="0"/>
    <xf numFmtId="170" fontId="85" fillId="0" borderId="0"/>
    <xf numFmtId="170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2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0" fontId="85" fillId="0" borderId="0"/>
    <xf numFmtId="0" fontId="85" fillId="0" borderId="0"/>
    <xf numFmtId="193" fontId="85" fillId="0" borderId="0"/>
    <xf numFmtId="194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3" fontId="85" fillId="0" borderId="0"/>
    <xf numFmtId="0" fontId="85" fillId="0" borderId="0"/>
    <xf numFmtId="0" fontId="37" fillId="0" borderId="0"/>
    <xf numFmtId="0" fontId="23" fillId="0" borderId="0"/>
    <xf numFmtId="180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6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5" fontId="85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2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2" fontId="44" fillId="0" borderId="0"/>
    <xf numFmtId="192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4" fontId="37" fillId="0" borderId="0" applyFont="0" applyFill="0" applyBorder="0" applyAlignment="0" applyProtection="0"/>
    <xf numFmtId="174" fontId="23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5" fillId="0" borderId="0"/>
    <xf numFmtId="199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0" fontId="37" fillId="0" borderId="0" applyFill="0" applyBorder="0" applyAlignment="0"/>
    <xf numFmtId="200" fontId="23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4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4" fontId="176" fillId="0" borderId="0" applyFont="0" applyFill="0" applyBorder="0" applyAlignment="0" applyProtection="0"/>
    <xf numFmtId="0" fontId="23" fillId="0" borderId="0"/>
    <xf numFmtId="0" fontId="178" fillId="0" borderId="0" applyNumberFormat="0" applyFill="0" applyBorder="0" applyAlignment="0" applyProtection="0"/>
  </cellStyleXfs>
  <cellXfs count="730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7" fontId="46" fillId="0" borderId="0" xfId="714" applyFont="1" applyFill="1" applyAlignment="1">
      <alignment horizontal="center" wrapText="1"/>
    </xf>
    <xf numFmtId="167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7" fontId="46" fillId="0" borderId="21" xfId="715" applyNumberFormat="1" applyFont="1" applyFill="1" applyBorder="1" applyAlignment="1">
      <alignment horizontal="center" vertical="center" wrapText="1"/>
    </xf>
    <xf numFmtId="167" fontId="46" fillId="0" borderId="21" xfId="714" applyFont="1" applyFill="1" applyBorder="1" applyAlignment="1">
      <alignment horizontal="center" vertical="center" wrapText="1"/>
    </xf>
    <xf numFmtId="167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5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7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7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7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7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7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7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7" fontId="114" fillId="29" borderId="3" xfId="1538" applyNumberFormat="1" applyFill="1" applyBorder="1" applyAlignment="1">
      <alignment horizontal="right"/>
    </xf>
    <xf numFmtId="165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8" fillId="0" borderId="20" xfId="1653" applyFont="1" applyBorder="1" applyAlignment="1">
      <alignment horizontal="center" vertical="center"/>
    </xf>
    <xf numFmtId="0" fontId="158" fillId="0" borderId="21" xfId="1653" applyFont="1" applyBorder="1" applyAlignment="1">
      <alignment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5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0" xfId="1614" applyNumberFormat="1" applyFont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51" fillId="0" borderId="0" xfId="1614" applyFont="1" applyAlignment="1">
      <alignment horizontal="center" vertic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7" fontId="143" fillId="40" borderId="87" xfId="2672" applyNumberFormat="1" applyFont="1" applyFill="1" applyBorder="1" applyAlignment="1" applyProtection="1">
      <alignment horizontal="right" vertical="center"/>
      <protection locked="0"/>
    </xf>
    <xf numFmtId="167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1" xfId="0" applyNumberFormat="1" applyFont="1" applyFill="1" applyBorder="1" applyAlignment="1">
      <alignment horizontal="left" vertical="center"/>
    </xf>
    <xf numFmtId="164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5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7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2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78" fillId="33" borderId="0" xfId="2678" applyFill="1"/>
    <xf numFmtId="0" fontId="5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vertical="center" wrapText="1"/>
    </xf>
    <xf numFmtId="0" fontId="158" fillId="48" borderId="21" xfId="1652" applyFont="1" applyFill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left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 wrapText="1"/>
    </xf>
    <xf numFmtId="0" fontId="179" fillId="0" borderId="0" xfId="0" applyFont="1" applyAlignment="1">
      <alignment horizontal="left" vertical="center" wrapText="1"/>
    </xf>
    <xf numFmtId="0" fontId="180" fillId="0" borderId="0" xfId="0" applyFont="1" applyAlignment="1">
      <alignment vertical="center" wrapText="1"/>
    </xf>
    <xf numFmtId="49" fontId="94" fillId="33" borderId="60" xfId="0" applyNumberFormat="1" applyFont="1" applyFill="1" applyBorder="1" applyAlignment="1">
      <alignment horizontal="left" vertical="center"/>
    </xf>
    <xf numFmtId="0" fontId="2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81" fillId="0" borderId="20" xfId="1614" applyFont="1" applyBorder="1" applyAlignment="1">
      <alignment horizontal="center" vertical="center"/>
    </xf>
    <xf numFmtId="0" fontId="181" fillId="0" borderId="21" xfId="1614" applyFont="1" applyBorder="1" applyAlignment="1">
      <alignment vertical="center" wrapText="1"/>
    </xf>
    <xf numFmtId="0" fontId="113" fillId="0" borderId="21" xfId="1614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7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5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5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5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left" vertical="center"/>
    </xf>
    <xf numFmtId="0" fontId="94" fillId="33" borderId="81" xfId="0" applyFont="1" applyFill="1" applyBorder="1" applyAlignment="1">
      <alignment horizontal="left" vertical="center"/>
    </xf>
    <xf numFmtId="49" fontId="117" fillId="33" borderId="7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6" fontId="122" fillId="0" borderId="73" xfId="1450" applyNumberFormat="1" applyFont="1" applyBorder="1" applyAlignment="1">
      <alignment horizontal="left" vertical="center"/>
    </xf>
    <xf numFmtId="206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7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7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209</xdr:row>
      <xdr:rowOff>81642</xdr:rowOff>
    </xdr:from>
    <xdr:to>
      <xdr:col>11</xdr:col>
      <xdr:colOff>93061</xdr:colOff>
      <xdr:row>212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157369</xdr:colOff>
      <xdr:row>6</xdr:row>
      <xdr:rowOff>39757</xdr:rowOff>
    </xdr:from>
    <xdr:to>
      <xdr:col>15</xdr:col>
      <xdr:colOff>43068</xdr:colOff>
      <xdr:row>11</xdr:row>
      <xdr:rowOff>12424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4549FD9-14D8-42D4-8F39-0F59270B553E}"/>
            </a:ext>
          </a:extLst>
        </xdr:cNvPr>
        <xdr:cNvSpPr txBox="1"/>
      </xdr:nvSpPr>
      <xdr:spPr>
        <a:xfrm>
          <a:off x="4282108" y="967409"/>
          <a:ext cx="1028699" cy="73466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SRI REZEKI</a:t>
          </a:r>
        </a:p>
      </xdr:txBody>
    </xdr: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1906" y="821339"/>
          <a:ext cx="1489479" cy="1843095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266700</xdr:colOff>
      <xdr:row>26</xdr:row>
      <xdr:rowOff>66675</xdr:rowOff>
    </xdr:from>
    <xdr:to>
      <xdr:col>13</xdr:col>
      <xdr:colOff>76200</xdr:colOff>
      <xdr:row>46</xdr:row>
      <xdr:rowOff>76200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>
          <a:off x="952500" y="4067175"/>
          <a:ext cx="3619500" cy="30956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174171</xdr:colOff>
      <xdr:row>37</xdr:row>
      <xdr:rowOff>66110</xdr:rowOff>
    </xdr:from>
    <xdr:to>
      <xdr:col>9</xdr:col>
      <xdr:colOff>291879</xdr:colOff>
      <xdr:row>38</xdr:row>
      <xdr:rowOff>70757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83E44B2-33BB-42B5-9419-45D04A08064A}"/>
            </a:ext>
          </a:extLst>
        </xdr:cNvPr>
        <xdr:cNvCxnSpPr>
          <a:stCxn id="34" idx="3"/>
        </xdr:cNvCxnSpPr>
      </xdr:nvCxnSpPr>
      <xdr:spPr>
        <a:xfrm flipH="1">
          <a:off x="3151414" y="5748453"/>
          <a:ext cx="117708" cy="16793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238583</xdr:colOff>
      <xdr:row>6</xdr:row>
      <xdr:rowOff>57982</xdr:rowOff>
    </xdr:from>
    <xdr:to>
      <xdr:col>19</xdr:col>
      <xdr:colOff>59870</xdr:colOff>
      <xdr:row>15</xdr:row>
      <xdr:rowOff>43543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78CDB6-4E2B-4363-A20A-139C6540998B}"/>
            </a:ext>
          </a:extLst>
        </xdr:cNvPr>
        <xdr:cNvSpPr txBox="1"/>
      </xdr:nvSpPr>
      <xdr:spPr>
        <a:xfrm>
          <a:off x="5882826" y="994153"/>
          <a:ext cx="964287" cy="13789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K3-178/14D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100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PENGHALANG PANJAT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TANDA BAHAYA</a:t>
          </a:r>
        </a:p>
      </xdr:txBody>
    </xdr:sp>
    <xdr:clientData/>
  </xdr:twoCellAnchor>
  <xdr:twoCellAnchor>
    <xdr:from>
      <xdr:col>13</xdr:col>
      <xdr:colOff>276166</xdr:colOff>
      <xdr:row>17</xdr:row>
      <xdr:rowOff>23664</xdr:rowOff>
    </xdr:from>
    <xdr:to>
      <xdr:col>14</xdr:col>
      <xdr:colOff>336037</xdr:colOff>
      <xdr:row>18</xdr:row>
      <xdr:rowOff>65076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594B172-B4F9-441D-8332-EFBB1878CE87}"/>
            </a:ext>
          </a:extLst>
        </xdr:cNvPr>
        <xdr:cNvSpPr txBox="1"/>
      </xdr:nvSpPr>
      <xdr:spPr>
        <a:xfrm>
          <a:off x="4777409" y="2658007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14</xdr:col>
      <xdr:colOff>273325</xdr:colOff>
      <xdr:row>13</xdr:row>
      <xdr:rowOff>149086</xdr:rowOff>
    </xdr:from>
    <xdr:to>
      <xdr:col>16</xdr:col>
      <xdr:colOff>124239</xdr:colOff>
      <xdr:row>15</xdr:row>
      <xdr:rowOff>129207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5996CE8-2DB5-4510-9EC5-8A4ACCD84722}"/>
            </a:ext>
          </a:extLst>
        </xdr:cNvPr>
        <xdr:cNvSpPr txBox="1"/>
      </xdr:nvSpPr>
      <xdr:spPr>
        <a:xfrm>
          <a:off x="5160064" y="2153477"/>
          <a:ext cx="612914" cy="278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100 kVA</a:t>
          </a:r>
        </a:p>
      </xdr:txBody>
    </xdr:sp>
    <xdr:clientData/>
  </xdr:twoCellAnchor>
  <xdr:twoCellAnchor>
    <xdr:from>
      <xdr:col>10</xdr:col>
      <xdr:colOff>318099</xdr:colOff>
      <xdr:row>35</xdr:row>
      <xdr:rowOff>8573</xdr:rowOff>
    </xdr:from>
    <xdr:to>
      <xdr:col>12</xdr:col>
      <xdr:colOff>193146</xdr:colOff>
      <xdr:row>40</xdr:row>
      <xdr:rowOff>16328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F7344BB-4737-47EC-B25C-17BDA2A0E452}"/>
            </a:ext>
          </a:extLst>
        </xdr:cNvPr>
        <xdr:cNvSpPr txBox="1"/>
      </xdr:nvSpPr>
      <xdr:spPr>
        <a:xfrm>
          <a:off x="3676342" y="5375230"/>
          <a:ext cx="637047" cy="7915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K3-178/14A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</xdr:txBody>
    </xdr:sp>
    <xdr:clientData/>
  </xdr:twoCellAnchor>
  <xdr:twoCellAnchor>
    <xdr:from>
      <xdr:col>6</xdr:col>
      <xdr:colOff>91394</xdr:colOff>
      <xdr:row>38</xdr:row>
      <xdr:rowOff>51449</xdr:rowOff>
    </xdr:from>
    <xdr:to>
      <xdr:col>7</xdr:col>
      <xdr:colOff>347441</xdr:colOff>
      <xdr:row>42</xdr:row>
      <xdr:rowOff>85725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EB2CDCC-AE71-467C-B45C-09CE8E71790A}"/>
            </a:ext>
          </a:extLst>
        </xdr:cNvPr>
        <xdr:cNvSpPr txBox="1"/>
      </xdr:nvSpPr>
      <xdr:spPr>
        <a:xfrm>
          <a:off x="1920194" y="5890274"/>
          <a:ext cx="637047" cy="6438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K3-178/14</a:t>
          </a:r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CC7-1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CM5-4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370027</xdr:colOff>
      <xdr:row>11</xdr:row>
      <xdr:rowOff>75253</xdr:rowOff>
    </xdr:from>
    <xdr:to>
      <xdr:col>15</xdr:col>
      <xdr:colOff>88505</xdr:colOff>
      <xdr:row>36</xdr:row>
      <xdr:rowOff>151647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BDACF61-D0C9-44C3-A3BA-EE8B69D37F30}"/>
            </a:ext>
          </a:extLst>
        </xdr:cNvPr>
        <xdr:cNvCxnSpPr>
          <a:stCxn id="34" idx="7"/>
        </xdr:cNvCxnSpPr>
      </xdr:nvCxnSpPr>
      <xdr:spPr>
        <a:xfrm flipV="1">
          <a:off x="3347270" y="1784310"/>
          <a:ext cx="2004478" cy="3886394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44843</xdr:colOff>
      <xdr:row>12</xdr:row>
      <xdr:rowOff>17040</xdr:rowOff>
    </xdr:from>
    <xdr:to>
      <xdr:col>14</xdr:col>
      <xdr:colOff>223156</xdr:colOff>
      <xdr:row>37</xdr:row>
      <xdr:rowOff>83537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66394ED-0074-93CB-1F0C-089F0835D3AB}"/>
            </a:ext>
          </a:extLst>
        </xdr:cNvPr>
        <xdr:cNvCxnSpPr/>
      </xdr:nvCxnSpPr>
      <xdr:spPr>
        <a:xfrm flipH="1">
          <a:off x="3022086" y="1878497"/>
          <a:ext cx="2083313" cy="388738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104775</xdr:colOff>
      <xdr:row>42</xdr:row>
      <xdr:rowOff>104775</xdr:rowOff>
    </xdr:from>
    <xdr:to>
      <xdr:col>7</xdr:col>
      <xdr:colOff>152400</xdr:colOff>
      <xdr:row>54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A51B47-F6A6-4DAD-A1DE-86E2AFBA4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936" t="19911" r="56629" b="5775"/>
        <a:stretch/>
      </xdr:blipFill>
      <xdr:spPr>
        <a:xfrm>
          <a:off x="295275" y="6553200"/>
          <a:ext cx="2066925" cy="1971675"/>
        </a:xfrm>
        <a:prstGeom prst="rect">
          <a:avLst/>
        </a:prstGeom>
      </xdr:spPr>
    </xdr:pic>
    <xdr:clientData/>
  </xdr:twoCellAnchor>
  <xdr:twoCellAnchor>
    <xdr:from>
      <xdr:col>9</xdr:col>
      <xdr:colOff>275694</xdr:colOff>
      <xdr:row>36</xdr:row>
      <xdr:rowOff>135544</xdr:rowOff>
    </xdr:from>
    <xdr:to>
      <xdr:col>10</xdr:col>
      <xdr:colOff>5212</xdr:colOff>
      <xdr:row>37</xdr:row>
      <xdr:rowOff>82213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866E929-822C-3792-373F-6AC5525FADCF}"/>
            </a:ext>
          </a:extLst>
        </xdr:cNvPr>
        <xdr:cNvGrpSpPr/>
      </xdr:nvGrpSpPr>
      <xdr:grpSpPr>
        <a:xfrm>
          <a:off x="3247494" y="5650519"/>
          <a:ext cx="110518" cy="1085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B521E0D7-E7AF-0CBD-D905-D4E3F88DE5D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32A9E7F4-2244-E31F-AA64-F41248C0A910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F366C3F8-5BA5-799F-76ED-326187186E6D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18933</xdr:colOff>
      <xdr:row>37</xdr:row>
      <xdr:rowOff>110696</xdr:rowOff>
    </xdr:from>
    <xdr:to>
      <xdr:col>8</xdr:col>
      <xdr:colOff>129451</xdr:colOff>
      <xdr:row>38</xdr:row>
      <xdr:rowOff>57365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D1386B04-E48B-68B0-A578-0D1CFBA4CEAA}"/>
            </a:ext>
          </a:extLst>
        </xdr:cNvPr>
        <xdr:cNvGrpSpPr/>
      </xdr:nvGrpSpPr>
      <xdr:grpSpPr>
        <a:xfrm>
          <a:off x="2609733" y="5787596"/>
          <a:ext cx="110518" cy="1085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F162469D-381A-3121-EE2F-4A9C8071AE0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8F05B6E1-0E72-8B8E-02DF-F12F0DDB15E4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38B38DE3-C31A-FE4B-73FF-AA3F1EB58987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113266</xdr:colOff>
      <xdr:row>37</xdr:row>
      <xdr:rowOff>26053</xdr:rowOff>
    </xdr:from>
    <xdr:to>
      <xdr:col>9</xdr:col>
      <xdr:colOff>275694</xdr:colOff>
      <xdr:row>37</xdr:row>
      <xdr:rowOff>127145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38" idx="7"/>
          <a:endCxn id="34" idx="2"/>
        </xdr:cNvCxnSpPr>
      </xdr:nvCxnSpPr>
      <xdr:spPr>
        <a:xfrm flipV="1">
          <a:off x="2714005" y="5616814"/>
          <a:ext cx="543428" cy="1010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253271</xdr:colOff>
      <xdr:row>13</xdr:row>
      <xdr:rowOff>63858</xdr:rowOff>
    </xdr:from>
    <xdr:to>
      <xdr:col>14</xdr:col>
      <xdr:colOff>363789</xdr:colOff>
      <xdr:row>14</xdr:row>
      <xdr:rowOff>27092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5130071" y="2083158"/>
          <a:ext cx="110518" cy="1156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369131</xdr:colOff>
      <xdr:row>21</xdr:row>
      <xdr:rowOff>44436</xdr:rowOff>
    </xdr:from>
    <xdr:to>
      <xdr:col>13</xdr:col>
      <xdr:colOff>98649</xdr:colOff>
      <xdr:row>22</xdr:row>
      <xdr:rowOff>7671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4483931" y="3282936"/>
          <a:ext cx="110518" cy="1156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89785</xdr:colOff>
      <xdr:row>29</xdr:row>
      <xdr:rowOff>115163</xdr:rowOff>
    </xdr:from>
    <xdr:to>
      <xdr:col>11</xdr:col>
      <xdr:colOff>200303</xdr:colOff>
      <xdr:row>30</xdr:row>
      <xdr:rowOff>93359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3823585" y="4572863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32676</xdr:colOff>
      <xdr:row>13</xdr:row>
      <xdr:rowOff>3843</xdr:rowOff>
    </xdr:from>
    <xdr:to>
      <xdr:col>16</xdr:col>
      <xdr:colOff>3294</xdr:colOff>
      <xdr:row>14</xdr:row>
      <xdr:rowOff>12159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C077D57-E07C-172B-08F3-20315812601A}"/>
            </a:ext>
          </a:extLst>
        </xdr:cNvPr>
        <xdr:cNvGrpSpPr/>
      </xdr:nvGrpSpPr>
      <xdr:grpSpPr>
        <a:xfrm>
          <a:off x="5290476" y="2023143"/>
          <a:ext cx="351618" cy="160716"/>
          <a:chOff x="5553123" y="2297950"/>
          <a:chExt cx="351618" cy="162337"/>
        </a:xfrm>
      </xdr:grpSpPr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2CFC626A-3143-4142-45A3-C45BCC793FE4}"/>
              </a:ext>
            </a:extLst>
          </xdr:cNvPr>
          <xdr:cNvSpPr/>
        </xdr:nvSpPr>
        <xdr:spPr>
          <a:xfrm>
            <a:off x="5553123" y="2307624"/>
            <a:ext cx="217862" cy="132398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4" name="Isosceles Triangle 73">
            <a:extLst>
              <a:ext uri="{FF2B5EF4-FFF2-40B4-BE49-F238E27FC236}">
                <a16:creationId xmlns:a16="http://schemas.microsoft.com/office/drawing/2014/main" id="{0970021B-A26B-4DCB-1BCB-436697615F6F}"/>
              </a:ext>
            </a:extLst>
          </xdr:cNvPr>
          <xdr:cNvSpPr/>
        </xdr:nvSpPr>
        <xdr:spPr>
          <a:xfrm>
            <a:off x="5686879" y="2303571"/>
            <a:ext cx="217862" cy="132398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3" name="Isosceles Triangle 312">
            <a:extLst>
              <a:ext uri="{FF2B5EF4-FFF2-40B4-BE49-F238E27FC236}">
                <a16:creationId xmlns:a16="http://schemas.microsoft.com/office/drawing/2014/main" id="{C5E653B7-DF5D-4AF2-A3C8-B00E86DD96D7}"/>
              </a:ext>
            </a:extLst>
          </xdr:cNvPr>
          <xdr:cNvSpPr/>
        </xdr:nvSpPr>
        <xdr:spPr>
          <a:xfrm>
            <a:off x="5625831" y="2297950"/>
            <a:ext cx="217862" cy="162337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42123</xdr:colOff>
      <xdr:row>25</xdr:row>
      <xdr:rowOff>116193</xdr:rowOff>
    </xdr:from>
    <xdr:to>
      <xdr:col>13</xdr:col>
      <xdr:colOff>101994</xdr:colOff>
      <xdr:row>27</xdr:row>
      <xdr:rowOff>5205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7ACEEED2-D320-8A9E-E574-39DA2AEC1D8D}"/>
            </a:ext>
          </a:extLst>
        </xdr:cNvPr>
        <xdr:cNvSpPr txBox="1"/>
      </xdr:nvSpPr>
      <xdr:spPr>
        <a:xfrm>
          <a:off x="4162366" y="3969736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10</xdr:col>
      <xdr:colOff>161866</xdr:colOff>
      <xdr:row>33</xdr:row>
      <xdr:rowOff>121636</xdr:rowOff>
    </xdr:from>
    <xdr:to>
      <xdr:col>11</xdr:col>
      <xdr:colOff>221737</xdr:colOff>
      <xdr:row>35</xdr:row>
      <xdr:rowOff>10648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13CB021-F1BF-5C87-9193-B39FCF78D1E3}"/>
            </a:ext>
          </a:extLst>
        </xdr:cNvPr>
        <xdr:cNvSpPr txBox="1"/>
      </xdr:nvSpPr>
      <xdr:spPr>
        <a:xfrm>
          <a:off x="3520109" y="5183493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8</xdr:col>
      <xdr:colOff>227179</xdr:colOff>
      <xdr:row>37</xdr:row>
      <xdr:rowOff>72652</xdr:rowOff>
    </xdr:from>
    <xdr:to>
      <xdr:col>9</xdr:col>
      <xdr:colOff>287050</xdr:colOff>
      <xdr:row>38</xdr:row>
      <xdr:rowOff>103178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357531C-887F-D1B6-B9A1-8F9D014BD490}"/>
            </a:ext>
          </a:extLst>
        </xdr:cNvPr>
        <xdr:cNvSpPr txBox="1"/>
      </xdr:nvSpPr>
      <xdr:spPr>
        <a:xfrm>
          <a:off x="2823422" y="5754995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30mtr</a:t>
          </a:r>
        </a:p>
      </xdr:txBody>
    </xdr:sp>
    <xdr:clientData/>
  </xdr:twoCellAnchor>
  <xdr:twoCellAnchor>
    <xdr:from>
      <xdr:col>14</xdr:col>
      <xdr:colOff>306776</xdr:colOff>
      <xdr:row>12</xdr:row>
      <xdr:rowOff>122366</xdr:rowOff>
    </xdr:from>
    <xdr:to>
      <xdr:col>15</xdr:col>
      <xdr:colOff>29763</xdr:colOff>
      <xdr:row>13</xdr:row>
      <xdr:rowOff>74770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5183576" y="1979741"/>
          <a:ext cx="103987" cy="11432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372528</xdr:colOff>
      <xdr:row>29</xdr:row>
      <xdr:rowOff>19459</xdr:rowOff>
    </xdr:from>
    <xdr:to>
      <xdr:col>13</xdr:col>
      <xdr:colOff>247575</xdr:colOff>
      <xdr:row>32</xdr:row>
      <xdr:rowOff>59872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A787044-FE50-06D3-05B3-8A3D746C6213}"/>
            </a:ext>
          </a:extLst>
        </xdr:cNvPr>
        <xdr:cNvSpPr txBox="1"/>
      </xdr:nvSpPr>
      <xdr:spPr>
        <a:xfrm>
          <a:off x="4111771" y="4482602"/>
          <a:ext cx="637047" cy="4867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K3-178/14B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241899</xdr:colOff>
      <xdr:row>20</xdr:row>
      <xdr:rowOff>117431</xdr:rowOff>
    </xdr:from>
    <xdr:to>
      <xdr:col>15</xdr:col>
      <xdr:colOff>116946</xdr:colOff>
      <xdr:row>23</xdr:row>
      <xdr:rowOff>146958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5DD8B9C1-D06E-68A6-99A3-8F900019DE56}"/>
            </a:ext>
          </a:extLst>
        </xdr:cNvPr>
        <xdr:cNvSpPr txBox="1"/>
      </xdr:nvSpPr>
      <xdr:spPr>
        <a:xfrm>
          <a:off x="4743142" y="3208974"/>
          <a:ext cx="637047" cy="4867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K3-178/14C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323541</xdr:colOff>
      <xdr:row>15</xdr:row>
      <xdr:rowOff>106545</xdr:rowOff>
    </xdr:from>
    <xdr:to>
      <xdr:col>16</xdr:col>
      <xdr:colOff>198588</xdr:colOff>
      <xdr:row>18</xdr:row>
      <xdr:rowOff>136072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16E79B15-1F36-C93E-7491-6DC364CBA1EB}"/>
            </a:ext>
          </a:extLst>
        </xdr:cNvPr>
        <xdr:cNvSpPr txBox="1"/>
      </xdr:nvSpPr>
      <xdr:spPr>
        <a:xfrm>
          <a:off x="5205784" y="2436088"/>
          <a:ext cx="637047" cy="4867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K3-178/14D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300403</xdr:colOff>
      <xdr:row>30</xdr:row>
      <xdr:rowOff>95251</xdr:rowOff>
    </xdr:from>
    <xdr:to>
      <xdr:col>12</xdr:col>
      <xdr:colOff>190500</xdr:colOff>
      <xdr:row>47</xdr:row>
      <xdr:rowOff>36636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D922C78E-468E-850E-5074-4667EE3CADD6}"/>
            </a:ext>
          </a:extLst>
        </xdr:cNvPr>
        <xdr:cNvCxnSpPr/>
      </xdr:nvCxnSpPr>
      <xdr:spPr>
        <a:xfrm flipH="1" flipV="1">
          <a:off x="1370134" y="4733193"/>
          <a:ext cx="2938097" cy="2601058"/>
        </a:xfrm>
        <a:prstGeom prst="straightConnector1">
          <a:avLst/>
        </a:prstGeom>
        <a:ln w="158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253395</xdr:colOff>
      <xdr:row>32</xdr:row>
      <xdr:rowOff>67690</xdr:rowOff>
    </xdr:from>
    <xdr:to>
      <xdr:col>5</xdr:col>
      <xdr:colOff>363913</xdr:colOff>
      <xdr:row>33</xdr:row>
      <xdr:rowOff>30924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393371DB-518A-233C-93FE-5976B900989D}"/>
            </a:ext>
          </a:extLst>
        </xdr:cNvPr>
        <xdr:cNvGrpSpPr/>
      </xdr:nvGrpSpPr>
      <xdr:grpSpPr>
        <a:xfrm>
          <a:off x="1701195" y="4973065"/>
          <a:ext cx="110518" cy="1156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1E4C71C7-6A2F-9A7B-15AC-4D5EFBEF93E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5C6F7F7E-6976-8D19-8ED7-575A6C787F97}"/>
              </a:ext>
            </a:extLst>
          </xdr:cNvPr>
          <xdr:cNvCxnSpPr>
            <a:stCxn id="59" idx="1"/>
            <a:endCxn id="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92A43721-7C95-38EC-F6FE-E47009A6BEC7}"/>
              </a:ext>
            </a:extLst>
          </xdr:cNvPr>
          <xdr:cNvCxnSpPr>
            <a:stCxn id="59" idx="3"/>
            <a:endCxn id="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268049</xdr:colOff>
      <xdr:row>43</xdr:row>
      <xdr:rowOff>75018</xdr:rowOff>
    </xdr:from>
    <xdr:to>
      <xdr:col>10</xdr:col>
      <xdr:colOff>378567</xdr:colOff>
      <xdr:row>44</xdr:row>
      <xdr:rowOff>38251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08565294-DC07-10A2-C834-7D46C5B4EEBA}"/>
            </a:ext>
          </a:extLst>
        </xdr:cNvPr>
        <xdr:cNvGrpSpPr/>
      </xdr:nvGrpSpPr>
      <xdr:grpSpPr>
        <a:xfrm>
          <a:off x="3620849" y="6675843"/>
          <a:ext cx="110518" cy="1156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8" name="Oval 97">
            <a:extLst>
              <a:ext uri="{FF2B5EF4-FFF2-40B4-BE49-F238E27FC236}">
                <a16:creationId xmlns:a16="http://schemas.microsoft.com/office/drawing/2014/main" id="{DCE8634B-5B9E-1E97-FED0-2904412396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9E9954F8-4F66-9344-4D35-7A062D3432E1}"/>
              </a:ext>
            </a:extLst>
          </xdr:cNvPr>
          <xdr:cNvCxnSpPr>
            <a:stCxn id="98" idx="1"/>
            <a:endCxn id="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DBDE30E-6BC2-C8A2-2633-C523EC49D765}"/>
              </a:ext>
            </a:extLst>
          </xdr:cNvPr>
          <xdr:cNvCxnSpPr>
            <a:stCxn id="98" idx="3"/>
            <a:endCxn id="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71436</xdr:colOff>
      <xdr:row>7</xdr:row>
      <xdr:rowOff>142874</xdr:rowOff>
    </xdr:from>
    <xdr:to>
      <xdr:col>18</xdr:col>
      <xdr:colOff>142875</xdr:colOff>
      <xdr:row>53</xdr:row>
      <xdr:rowOff>119063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20717-A5FE-DF4F-191E-4038FA57D9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936" t="19911" r="56629" b="5775"/>
        <a:stretch/>
      </xdr:blipFill>
      <xdr:spPr>
        <a:xfrm>
          <a:off x="904874" y="1452562"/>
          <a:ext cx="9525001" cy="7643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1" t="s">
        <v>1134</v>
      </c>
      <c r="C4" s="541"/>
      <c r="D4" s="541"/>
      <c r="E4" s="541"/>
      <c r="F4" s="541"/>
      <c r="G4" s="541"/>
      <c r="H4" s="54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2" t="s">
        <v>0</v>
      </c>
      <c r="C7" s="542" t="s">
        <v>1</v>
      </c>
      <c r="D7" s="543" t="s">
        <v>42</v>
      </c>
      <c r="E7" s="543" t="s">
        <v>43</v>
      </c>
      <c r="F7" s="543" t="s">
        <v>1135</v>
      </c>
      <c r="G7" s="544" t="s">
        <v>41</v>
      </c>
      <c r="H7" s="540" t="s">
        <v>1042</v>
      </c>
      <c r="I7" s="540" t="s">
        <v>1137</v>
      </c>
      <c r="J7" s="540" t="s">
        <v>1026</v>
      </c>
      <c r="K7" s="534" t="s">
        <v>1024</v>
      </c>
      <c r="L7" s="535"/>
    </row>
    <row r="8" spans="1:12" ht="15" customHeight="1">
      <c r="B8" s="542"/>
      <c r="C8" s="542"/>
      <c r="D8" s="543"/>
      <c r="E8" s="543"/>
      <c r="F8" s="543"/>
      <c r="G8" s="544"/>
      <c r="H8" s="540"/>
      <c r="I8" s="540"/>
      <c r="J8" s="540"/>
      <c r="K8" s="536"/>
      <c r="L8" s="537"/>
    </row>
    <row r="9" spans="1:12" ht="15" customHeight="1">
      <c r="B9" s="542"/>
      <c r="C9" s="542"/>
      <c r="D9" s="543"/>
      <c r="E9" s="543"/>
      <c r="F9" s="543"/>
      <c r="G9" s="544"/>
      <c r="H9" s="540"/>
      <c r="I9" s="540"/>
      <c r="J9" s="540"/>
      <c r="K9" s="538"/>
      <c r="L9" s="53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12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729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SUMIFS(RAB!$F$14:$F$193,RAB!$C$14:$C$193,C714)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SUMIFS(RAB!$F$14:$F$193,RAB!$C$14:$C$193,C715)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SUMIFS(RAB!$F$14:$F$193,RAB!$C$14:$C$193,C716)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SUMIFS(RAB!$F$14:$F$193,RAB!$C$14:$C$193,C717)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SUMIFS(RAB!$F$14:$F$193,RAB!$C$14:$C$193,C718)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SUMIFS(RAB!$F$14:$F$193,RAB!$C$14:$C$193,C719)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SUMIFS(RAB!$F$14:$F$193,RAB!$C$14:$C$193,C720)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SUMIFS(RAB!$F$14:$F$193,RAB!$C$14:$C$193,C721)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SUMIFS(RAB!$F$14:$F$193,RAB!$C$14:$C$193,C722)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SUMIFS(RAB!$F$14:$F$193,RAB!$C$14:$C$193,C723)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SUMIFS(RAB!$F$14:$F$193,RAB!$C$14:$C$193,C724)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SUMIFS(RAB!$F$14:$F$193,RAB!$C$14:$C$193,C725)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SUMIFS(RAB!$F$14:$F$193,RAB!$C$14:$C$193,C726)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SUMIFS(RAB!$F$14:$F$193,RAB!$C$14:$C$193,C727)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SUMIFS(RAB!$F$14:$F$193,RAB!$C$14:$C$193,C728)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SUMIFS(RAB!$F$14:$F$193,RAB!$C$14:$C$193,C729)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SUMIFS(RAB!$F$14:$F$193,RAB!$C$14:$C$193,C730)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SUMIFS(RAB!$F$14:$F$193,RAB!$C$14:$C$193,C731)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SUMIFS(RAB!$F$14:$F$193,RAB!$C$14:$C$193,C732)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SUMIFS(RAB!$F$14:$F$193,RAB!$C$14:$C$193,C733)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SUMIFS(RAB!$F$14:$F$193,RAB!$C$14:$C$193,C734)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SUMIFS(RAB!$F$14:$F$193,RAB!$C$14:$C$193,C735)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SUMIFS(RAB!$F$14:$F$193,RAB!$C$14:$C$193,C736)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SUMIFS(RAB!$F$14:$F$193,RAB!$C$14:$C$193,C737)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SUMIFS(RAB!$F$14:$F$193,RAB!$C$14:$C$193,C738)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SUMIFS(RAB!$F$14:$F$193,RAB!$C$14:$C$193,C739)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SUMIFS(RAB!$F$14:$F$193,RAB!$C$14:$C$193,C740)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SUMIFS(RAB!$F$14:$F$193,RAB!$C$14:$C$193,C741)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SUMIFS(RAB!$F$14:$F$193,RAB!$C$14:$C$193,C742)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SUMIFS(RAB!$F$14:$F$193,RAB!$C$14:$C$193,C743)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SUMIFS(RAB!$F$14:$F$193,RAB!$C$14:$C$193,C744)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SUMIFS(RAB!$F$14:$F$193,RAB!$C$14:$C$193,C745)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SUMIFS(RAB!$F$14:$F$193,RAB!$C$14:$C$193,C746)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SUMIFS(RAB!$F$14:$F$193,RAB!$C$14:$C$193,C747)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SUMIFS(RAB!$F$14:$F$193,RAB!$C$14:$C$193,C748)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SUMIFS(RAB!$F$14:$F$193,RAB!$C$14:$C$193,C749)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SUMIFS(RAB!$F$14:$F$193,RAB!$C$14:$C$193,C750)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SUMIFS(RAB!$F$14:$F$193,RAB!$C$14:$C$193,C751)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SUMIFS(RAB!$F$14:$F$193,RAB!$C$14:$C$193,C752)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SUMIFS(RAB!$F$14:$F$193,RAB!$C$14:$C$193,C753)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SUMIFS(RAB!$F$14:$F$193,RAB!$C$14:$C$193,C754)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SUMIFS(RAB!$F$14:$F$193,RAB!$C$14:$C$193,C755)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SUMIFS(RAB!$F$14:$F$193,RAB!$C$14:$C$193,C756)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SUMIFS(RAB!$F$14:$F$193,RAB!$C$14:$C$193,C757)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SUMIFS(RAB!$F$14:$F$193,RAB!$C$14:$C$193,C758)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SUMIFS(RAB!$F$14:$F$193,RAB!$C$14:$C$193,C759)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SUMIFS(RAB!$F$14:$F$193,RAB!$C$14:$C$193,C760)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SUMIFS(RAB!$F$14:$F$193,RAB!$C$14:$C$193,C761)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SUMIFS(RAB!$F$14:$F$193,RAB!$C$14:$C$193,C762)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SUMIFS(RAB!$F$14:$F$193,RAB!$C$14:$C$193,C763)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SUMIFS(RAB!$F$14:$F$193,RAB!$C$14:$C$193,C764)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SUMIFS(RAB!$F$14:$F$193,RAB!$C$14:$C$193,C765)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SUMIFS(RAB!$F$14:$F$193,RAB!$C$14:$C$193,C766)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SUMIFS(RAB!$F$14:$F$193,RAB!$C$14:$C$193,C767)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SUMIFS(RAB!$F$14:$F$193,RAB!$C$14:$C$193,C768)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SUMIFS(RAB!$F$14:$F$193,RAB!$C$14:$C$193,C769)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SUMIFS(RAB!$F$14:$F$193,RAB!$C$14:$C$193,C770)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SUMIFS(RAB!$F$14:$F$193,RAB!$C$14:$C$193,C771)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SUMIFS(RAB!$F$14:$F$193,RAB!$C$14:$C$193,C772)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SUMIFS(RAB!$F$14:$F$193,RAB!$C$14:$C$193,C773)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SUMIFS(RAB!$F$14:$F$193,RAB!$C$14:$C$193,C774)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SUMIFS(RAB!$F$14:$F$193,RAB!$C$14:$C$193,C775)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SUMIFS(RAB!$F$14:$F$193,RAB!$C$14:$C$193,C776)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SUMIFS(RAB!$F$14:$F$193,RAB!$C$14:$C$193,C777)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SUMIFS(RAB!$F$14:$F$193,RAB!$C$14:$C$193,C778)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SUMIFS(RAB!$F$14:$F$193,RAB!$C$14:$C$193,C779)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SUMIFS(RAB!$F$14:$F$193,RAB!$C$14:$C$193,C780)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SUMIFS(RAB!$F$14:$F$193,RAB!$C$14:$C$193,C781)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SUMIFS(RAB!$F$14:$F$193,RAB!$C$14:$C$193,C782)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SUMIFS(RAB!$F$14:$F$193,RAB!$C$14:$C$193,C783)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SUMIFS(RAB!$F$14:$F$193,RAB!$C$14:$C$193,C784)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SUMIFS(RAB!$F$14:$F$193,RAB!$C$14:$C$193,C785)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SUMIFS(RAB!$F$14:$F$193,RAB!$C$14:$C$193,C786)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SUMIFS(RAB!$F$14:$F$193,RAB!$C$14:$C$193,C787)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SUMIFS(RAB!$F$14:$F$193,RAB!$C$14:$C$193,C788)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SUMIFS(RAB!$F$14:$F$193,RAB!$C$14:$C$193,C789)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SUMIFS(RAB!$F$14:$F$193,RAB!$C$14:$C$193,C790)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SUMIFS(RAB!$F$14:$F$193,RAB!$C$14:$C$193,C791)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SUMIFS(RAB!$F$14:$F$193,RAB!$C$14:$C$193,C792)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SUMIFS(RAB!$F$14:$F$193,RAB!$C$14:$C$193,C793)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SUMIFS(RAB!$F$14:$F$193,RAB!$C$14:$C$193,C794)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SUMIFS(RAB!$F$14:$F$193,RAB!$C$14:$C$193,C795)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SUMIFS(RAB!$F$14:$F$193,RAB!$C$14:$C$193,C796)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SUMIFS(RAB!$F$14:$F$193,RAB!$C$14:$C$193,C797)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SUMIFS(RAB!$F$14:$F$193,RAB!$C$14:$C$193,C798)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SUMIFS(RAB!$F$14:$F$193,RAB!$C$14:$C$193,C799)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SUMIFS(RAB!$F$14:$F$193,RAB!$C$14:$C$193,C800)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SUMIFS(RAB!$F$14:$F$193,RAB!$C$14:$C$193,C801)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SUMIFS(RAB!$F$14:$F$193,RAB!$C$14:$C$193,C802)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SUMIFS(RAB!$F$14:$F$193,RAB!$C$14:$C$193,C803)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SUMIFS(RAB!$F$14:$F$193,RAB!$C$14:$C$193,C804)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SUMIFS(RAB!$F$14:$F$193,RAB!$C$14:$C$193,C805)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SUMIFS(RAB!$F$14:$F$193,RAB!$C$14:$C$193,C806)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SUMIFS(RAB!$F$14:$F$193,RAB!$C$14:$C$193,C807)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SUMIFS(RAB!$F$14:$F$193,RAB!$C$14:$C$193,C808)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SUMIFS(RAB!$F$14:$F$193,RAB!$C$14:$C$193,C809)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SUMIFS(RAB!$F$14:$F$193,RAB!$C$14:$C$193,C810)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SUMIFS(RAB!$F$14:$F$193,RAB!$C$14:$C$193,C811)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SUMIFS(RAB!$F$14:$F$193,RAB!$C$14:$C$193,C812)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SUMIFS(RAB!$F$14:$F$193,RAB!$C$14:$C$193,C813)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SUMIFS(RAB!$F$14:$F$193,RAB!$C$14:$C$193,C814)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SUMIFS(RAB!$F$14:$F$193,RAB!$C$14:$C$193,C815)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SUMIFS(RAB!$F$14:$F$193,RAB!$C$14:$C$193,C816)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SUMIFS(RAB!$F$14:$F$193,RAB!$C$14:$C$193,C817)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SUMIFS(RAB!$F$14:$F$193,RAB!$C$14:$C$193,C818)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SUMIFS(RAB!$F$14:$F$193,RAB!$C$14:$C$193,C819)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SUMIFS(RAB!$F$14:$F$193,RAB!$C$14:$C$193,C820)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SUMIFS(RAB!$F$14:$F$193,RAB!$C$14:$C$193,C821)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SUMIFS(RAB!$F$14:$F$193,RAB!$C$14:$C$193,C822)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SUMIFS(RAB!$F$14:$F$193,RAB!$C$14:$C$193,C823)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SUMIFS(RAB!$F$14:$F$193,RAB!$C$14:$C$193,C824)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SUMIFS(RAB!$F$14:$F$193,RAB!$C$14:$C$193,C825)</f>
        <v>13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SUMIFS(RAB!$F$14:$F$193,RAB!$C$14:$C$193,C826)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SUMIFS(RAB!$F$14:$F$193,RAB!$C$14:$C$193,C827)</f>
        <v>12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SUMIFS(RAB!$F$14:$F$193,RAB!$C$14:$C$193,C828)</f>
        <v>729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SUMIFS(RAB!$F$14:$F$193,RAB!$C$14:$C$193,C829)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SUMIFS(RAB!$F$14:$F$193,RAB!$C$14:$C$193,C830)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SUMIFS(RAB!$F$14:$F$193,RAB!$C$14:$C$193,C831)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SUMIFS(RAB!$F$14:$F$193,RAB!$C$14:$C$193,C832)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SUMIFS(RAB!$F$14:$F$193,RAB!$C$14:$C$193,C833)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SUMIFS(RAB!$F$14:$F$193,RAB!$C$14:$C$193,C834)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SUMIFS(RAB!$F$14:$F$193,RAB!$C$14:$C$193,C835)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SUMIFS(RAB!$F$14:$F$193,RAB!$C$14:$C$193,C836)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SUMIFS(RAB!$F$14:$F$193,RAB!$C$14:$C$193,C837)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SUMIFS(RAB!$F$14:$F$193,RAB!$C$14:$C$193,C838)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SUMIFS(RAB!$F$14:$F$193,RAB!$C$14:$C$193,C839)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SUMIFS(RAB!$F$14:$F$193,RAB!$C$14:$C$193,C840)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SUMIFS(RAB!$F$14:$F$193,RAB!$C$14:$C$193,C841)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SUMIFS(RAB!$F$14:$F$193,RAB!$C$14:$C$193,C842)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SUMIFS(RAB!$F$14:$F$193,RAB!$C$14:$C$193,C843)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SUMIFS(RAB!$F$14:$F$193,RAB!$C$14:$C$193,C844)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SUMIFS(RAB!$F$14:$F$193,RAB!$C$14:$C$193,C845)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SUMIFS(RAB!$F$14:$F$193,RAB!$C$14:$C$193,C846)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SUMIFS(RAB!$F$14:$F$193,RAB!$C$14:$C$193,C847)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SUMIFS(RAB!$F$14:$F$193,RAB!$C$14:$C$193,C848)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SUMIFS(RAB!$F$14:$F$193,RAB!$C$14:$C$193,C849)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SUMIFS(RAB!$F$14:$F$193,RAB!$C$14:$C$193,C850)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SUMIFS(RAB!$F$14:$F$193,RAB!$C$14:$C$193,C851)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SUMIFS(RAB!$F$14:$F$193,RAB!$C$14:$C$193,C852)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SUMIFS(RAB!$F$14:$F$193,RAB!$C$14:$C$193,C853)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SUMIFS(RAB!$F$14:$F$193,RAB!$C$14:$C$193,C854)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SUMIFS(RAB!$F$14:$F$193,RAB!$C$14:$C$193,C855)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SUMIFS(RAB!$F$14:$F$193,RAB!$C$14:$C$193,C856)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SUMIFS(RAB!$F$14:$F$193,RAB!$C$14:$C$193,C857)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SUMIFS(RAB!$F$14:$F$193,RAB!$C$14:$C$193,C858)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SUMIFS(RAB!$F$14:$F$193,RAB!$C$14:$C$193,C859)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SUMIFS(RAB!$F$14:$F$193,RAB!$C$14:$C$193,C860)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SUMIFS(RAB!$F$14:$F$193,RAB!$C$14:$C$193,C861)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SUMIFS(RAB!$F$14:$F$193,RAB!$C$14:$C$193,C862)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SUMIFS(RAB!$F$14:$F$193,RAB!$C$14:$C$193,C863)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SUMIFS(RAB!$F$14:$F$193,RAB!$C$14:$C$193,C864)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SUMIFS(RAB!$F$14:$F$193,RAB!$C$14:$C$193,C865)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SUMIFS(RAB!$F$14:$F$193,RAB!$C$14:$C$193,C866)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SUMIFS(RAB!$F$14:$F$193,RAB!$C$14:$C$193,C867)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SUMIFS(RAB!$F$14:$F$193,RAB!$C$14:$C$193,C868)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SUMIFS(RAB!$F$14:$F$193,RAB!$C$14:$C$193,C869)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SUMIFS(RAB!$F$14:$F$193,RAB!$C$14:$C$193,C870)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SUMIFS(RAB!$F$14:$F$193,RAB!$C$14:$C$193,C871)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SUMIFS(RAB!$F$14:$F$193,RAB!$C$14:$C$193,C872)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SUMIFS(RAB!$F$14:$F$193,RAB!$C$14:$C$193,C873)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SUMIFS(RAB!$F$14:$F$193,RAB!$C$14:$C$193,C874)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SUMIFS(RAB!$F$14:$F$193,RAB!$C$14:$C$193,C875)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SUMIFS(RAB!$F$14:$F$193,RAB!$C$14:$C$193,C876)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SUMIFS(RAB!$F$14:$F$193,RAB!$C$14:$C$193,C877)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SUMIFS(RAB!$F$14:$F$193,RAB!$C$14:$C$193,C878)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SUMIFS(RAB!$F$14:$F$193,RAB!$C$14:$C$193,C879)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SUMIFS(RAB!$F$14:$F$193,RAB!$C$14:$C$193,C880)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SUMIFS(RAB!$F$14:$F$193,RAB!$C$14:$C$193,C881)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SUMIFS(RAB!$F$14:$F$193,RAB!$C$14:$C$193,C882)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SUMIFS(RAB!$F$14:$F$193,RAB!$C$14:$C$193,C883)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SUMIFS(RAB!$F$14:$F$193,RAB!$C$14:$C$193,C884)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SUMIFS(RAB!$F$14:$F$193,RAB!$C$14:$C$193,C885)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SUMIFS(RAB!$F$14:$F$193,RAB!$C$14:$C$193,C886)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SUMIFS(RAB!$F$14:$F$193,RAB!$C$14:$C$193,C887)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SUMIFS(RAB!$F$14:$F$193,RAB!$C$14:$C$193,C888)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SUMIFS(RAB!$F$14:$F$193,RAB!$C$14:$C$193,C889)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SUMIFS(RAB!$F$14:$F$193,RAB!$C$14:$C$193,C890)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SUMIFS(RAB!$F$14:$F$193,RAB!$C$14:$C$193,C891)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SUMIFS(RAB!$F$14:$F$193,RAB!$C$14:$C$193,C892)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SUMIFS(RAB!$F$14:$F$193,RAB!$C$14:$C$193,C893)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SUMIFS(RAB!$F$14:$F$193,RAB!$C$14:$C$193,C894)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SUMIFS(RAB!$F$14:$F$193,RAB!$C$14:$C$193,C895)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SUMIFS(RAB!$F$14:$F$193,RAB!$C$14:$C$193,C896)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SUMIFS(RAB!$F$14:$F$193,RAB!$C$14:$C$193,C897)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SUMIFS(RAB!$F$14:$F$193,RAB!$C$14:$C$193,C898)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SUMIFS(RAB!$F$14:$F$193,RAB!$C$14:$C$193,C899)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SUMIFS(RAB!$F$14:$F$193,RAB!$C$14:$C$193,C900)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SUMIFS(RAB!$F$14:$F$193,RAB!$C$14:$C$193,C901)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SUMIFS(RAB!$F$14:$F$193,RAB!$C$14:$C$193,C902)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SUMIFS(RAB!$F$14:$F$193,RAB!$C$14:$C$193,C903)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SUMIFS(RAB!$F$14:$F$193,RAB!$C$14:$C$193,C904)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SUMIFS(RAB!$F$14:$F$193,RAB!$C$14:$C$193,C905)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SUMIFS(RAB!$F$14:$F$193,RAB!$C$14:$C$193,C906)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SUMIFS(RAB!$F$14:$F$193,RAB!$C$14:$C$193,C907)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SUMIFS(RAB!$F$14:$F$193,RAB!$C$14:$C$193,C908)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SUMIFS(RAB!$F$14:$F$193,RAB!$C$14:$C$193,C909)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SUMIFS(RAB!$F$14:$F$193,RAB!$C$14:$C$193,C910)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SUMIFS(RAB!$F$14:$F$193,RAB!$C$14:$C$193,C911)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SUMIFS(RAB!$F$14:$F$193,RAB!$C$14:$C$193,C912)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SUMIFS(RAB!$F$14:$F$193,RAB!$C$14:$C$193,C913)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SUMIFS(RAB!$F$14:$F$193,RAB!$C$14:$C$193,C914)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SUMIFS(RAB!$F$14:$F$193,RAB!$C$14:$C$193,C915)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SUMIFS(RAB!$F$14:$F$193,RAB!$C$14:$C$193,C916)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SUMIFS(RAB!$F$14:$F$193,RAB!$C$14:$C$193,C917)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SUMIFS(RAB!$F$14:$F$193,RAB!$C$14:$C$193,C918)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SUMIFS(RAB!$F$14:$F$193,RAB!$C$14:$C$193,C919)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SUMIFS(RAB!$F$14:$F$193,RAB!$C$14:$C$193,C920)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SUMIFS(RAB!$F$14:$F$193,RAB!$C$14:$C$193,C921)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SUMIFS(RAB!$F$14:$F$193,RAB!$C$14:$C$193,C922)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SUMIFS(RAB!$F$14:$F$193,RAB!$C$14:$C$193,C923)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SUMIFS(RAB!$F$14:$F$193,RAB!$C$14:$C$193,C924)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SUMIFS(RAB!$F$14:$F$193,RAB!$C$14:$C$193,C925)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SUMIFS(RAB!$F$14:$F$193,RAB!$C$14:$C$193,C926)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SUMIFS(RAB!$F$14:$F$193,RAB!$C$14:$C$193,C927)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SUMIFS(RAB!$F$14:$F$193,RAB!$C$14:$C$193,C928)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SUMIFS(RAB!$F$14:$F$193,RAB!$C$14:$C$193,C929)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SUMIFS(RAB!$F$14:$F$193,RAB!$C$14:$C$193,C930)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SUMIFS(RAB!$F$14:$F$193,RAB!$C$14:$C$193,C931)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SUMIFS(RAB!$F$14:$F$193,RAB!$C$14:$C$193,C932)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SUMIFS(RAB!$F$14:$F$193,RAB!$C$14:$C$193,C933)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SUMIFS(RAB!$F$14:$F$193,RAB!$C$14:$C$193,C934)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SUMIFS(RAB!$F$14:$F$193,RAB!$C$14:$C$193,C935)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SUMIFS(RAB!$F$14:$F$193,RAB!$C$14:$C$193,C936)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SUMIFS(RAB!$F$14:$F$193,RAB!$C$14:$C$193,C937)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SUMIFS(RAB!$F$14:$F$193,RAB!$C$14:$C$193,C938)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SUMIFS(RAB!$F$14:$F$193,RAB!$C$14:$C$193,C939)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SUMIFS(RAB!$F$14:$F$193,RAB!$C$14:$C$193,C940)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SUMIFS(RAB!$F$14:$F$193,RAB!$C$14:$C$193,C941)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SUMIFS(RAB!$F$14:$F$193,RAB!$C$14:$C$193,C942)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SUMIFS(RAB!$F$14:$F$193,RAB!$C$14:$C$193,C943)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SUMIFS(RAB!$F$14:$F$193,RAB!$C$14:$C$193,C944)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SUMIFS(RAB!$F$14:$F$193,RAB!$C$14:$C$193,C945)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SUMIFS(RAB!$F$14:$F$193,RAB!$C$14:$C$193,C946)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SUMIFS(RAB!$F$14:$F$193,RAB!$C$14:$C$193,C947)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SUMIFS(RAB!$F$14:$F$193,RAB!$C$14:$C$193,C948)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SUMIFS(RAB!$F$14:$F$193,RAB!$C$14:$C$193,C949)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SUMIFS(RAB!$F$14:$F$193,RAB!$C$14:$C$193,C950)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SUMIFS(RAB!$F$14:$F$193,RAB!$C$14:$C$193,C951)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SUMIFS(RAB!$F$14:$F$193,RAB!$C$14:$C$193,C952)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SUMIFS(RAB!$F$14:$F$193,RAB!$C$14:$C$193,C953)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SUMIFS(RAB!$F$14:$F$193,RAB!$C$14:$C$193,C954)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SUMIFS(RAB!$F$14:$F$193,RAB!$C$14:$C$193,C955)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SUMIFS(RAB!$F$14:$F$193,RAB!$C$14:$C$193,C956)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SUMIFS(RAB!$F$14:$F$193,RAB!$C$14:$C$193,C957)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SUMIFS(RAB!$F$14:$F$193,RAB!$C$14:$C$193,C958)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SUMIFS(RAB!$F$14:$F$193,RAB!$C$14:$C$193,C959)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SUMIFS(RAB!$F$14:$F$193,RAB!$C$14:$C$193,C960)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SUMIFS(RAB!$F$14:$F$193,RAB!$C$14:$C$193,C961)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SUMIFS(RAB!$F$14:$F$193,RAB!$C$14:$C$193,C962)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SUMIFS(RAB!$F$14:$F$193,RAB!$C$14:$C$193,C963)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SUMIFS(RAB!$F$14:$F$193,RAB!$C$14:$C$193,C964)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SUMIFS(RAB!$F$14:$F$193,RAB!$C$14:$C$193,C965)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SUMIFS(RAB!$F$14:$F$193,RAB!$C$14:$C$193,C966)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SUMIFS(RAB!$F$14:$F$193,RAB!$C$14:$C$193,C967)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SUMIFS(RAB!$F$14:$F$193,RAB!$C$14:$C$193,C968)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SUMIFS(RAB!$F$14:$F$193,RAB!$C$14:$C$193,C969)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SUMIFS(RAB!$F$14:$F$193,RAB!$C$14:$C$193,C970)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SUMIFS(RAB!$F$14:$F$193,RAB!$C$14:$C$193,C971)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SUMIFS(RAB!$F$14:$F$193,RAB!$C$14:$C$193,C972)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SUMIFS(RAB!$F$14:$F$193,RAB!$C$14:$C$193,C973)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SUMIFS(RAB!$F$14:$F$193,RAB!$C$14:$C$193,C974)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SUMIFS(RAB!$F$14:$F$193,RAB!$C$14:$C$193,C975)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SUMIFS(RAB!$F$14:$F$193,RAB!$C$14:$C$193,C976)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SUMIFS(RAB!$F$14:$F$193,RAB!$C$14:$C$193,C977)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SUMIFS(RAB!$F$14:$F$193,RAB!$C$14:$C$193,C978)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SUMIFS(RAB!$F$14:$F$193,RAB!$C$14:$C$193,C979)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SUMIFS(RAB!$F$14:$F$193,RAB!$C$14:$C$193,C980)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SUMIFS(RAB!$F$14:$F$193,RAB!$C$14:$C$193,C981)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SUMIFS(RAB!$F$14:$F$193,RAB!$C$14:$C$193,C982)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SUMIFS(RAB!$F$14:$F$193,RAB!$C$14:$C$193,C983)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SUMIFS(RAB!$F$14:$F$193,RAB!$C$14:$C$193,C984)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SUMIFS(RAB!$F$14:$F$193,RAB!$C$14:$C$193,C985)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SUMIFS(RAB!$F$14:$F$193,RAB!$C$14:$C$193,C986)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SUMIFS(RAB!$F$14:$F$193,RAB!$C$14:$C$193,C987)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SUMIFS(RAB!$F$14:$F$193,RAB!$C$14:$C$193,C988)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SUMIFS(RAB!$F$14:$F$193,RAB!$C$14:$C$193,C989)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SUMIFS(RAB!$F$14:$F$193,RAB!$C$14:$C$193,C990)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SUMIFS(RAB!$F$14:$F$193,RAB!$C$14:$C$193,C991)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SUMIFS(RAB!$F$14:$F$193,RAB!$C$14:$C$193,C992)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SUMIFS(RAB!$F$14:$F$193,RAB!$C$14:$C$193,C993)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SUMIFS(RAB!$F$14:$F$193,RAB!$C$14:$C$193,C994)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SUMIFS(RAB!$F$14:$F$193,RAB!$C$14:$C$193,C995)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SUMIFS(RAB!$F$14:$F$193,RAB!$C$14:$C$193,C996)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SUMIFS(RAB!$F$14:$F$193,RAB!$C$14:$C$193,C997)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SUMIFS(RAB!$F$14:$F$193,RAB!$C$14:$C$193,C998)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SUMIFS(RAB!$F$14:$F$193,RAB!$C$14:$C$193,C999)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SUMIFS(RAB!$F$14:$F$193,RAB!$C$14:$C$193,C1000)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SUMIFS(RAB!$F$14:$F$193,RAB!$C$14:$C$193,C1001)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SUMIFS(RAB!$F$14:$F$193,RAB!$C$14:$C$193,C1002)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SUMIFS(RAB!$F$14:$F$193,RAB!$C$14:$C$193,C1003)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SUMIFS(RAB!$F$14:$F$193,RAB!$C$14:$C$193,C1004)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SUMIFS(RAB!$F$14:$F$193,RAB!$C$14:$C$193,C1005)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SUMIFS(RAB!$F$14:$F$193,RAB!$C$14:$C$193,C1006)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SUMIFS(RAB!$F$14:$F$193,RAB!$C$14:$C$193,C1007)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SUMIFS(RAB!$F$14:$F$193,RAB!$C$14:$C$193,C1008)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SUMIFS(RAB!$F$14:$F$193,RAB!$C$14:$C$193,C1009)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SUMIFS(RAB!$F$14:$F$193,RAB!$C$14:$C$193,C1010)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SUMIFS(RAB!$F$14:$F$193,RAB!$C$14:$C$193,C1011)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SUMIFS(RAB!$F$14:$F$193,RAB!$C$14:$C$193,C1012)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SUMIFS(RAB!$F$14:$F$193,RAB!$C$14:$C$193,C1013)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SUMIFS(RAB!$F$14:$F$193,RAB!$C$14:$C$193,C1014)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SUMIFS(RAB!$F$14:$F$193,RAB!$C$14:$C$193,C1015)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SUMIFS(RAB!$F$14:$F$193,RAB!$C$14:$C$193,C1016)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SUMIFS(RAB!$F$14:$F$193,RAB!$C$14:$C$193,C1017)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SUMIFS(RAB!$F$14:$F$193,RAB!$C$14:$C$193,C1018)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SUMIFS(RAB!$F$14:$F$193,RAB!$C$14:$C$193,C1019)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SUMIFS(RAB!$F$14:$F$193,RAB!$C$14:$C$193,C1020)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SUMIFS(RAB!$F$14:$F$193,RAB!$C$14:$C$193,C1021)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SUMIFS(RAB!$F$14:$F$193,RAB!$C$14:$C$193,C1022)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SUMIFS(RAB!$F$14:$F$193,RAB!$C$14:$C$193,C1023)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SUMIFS(RAB!$F$14:$F$193,RAB!$C$14:$C$193,C1024)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SUMIFS(RAB!$F$14:$F$193,RAB!$C$14:$C$193,C1025)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SUMIFS(RAB!$F$14:$F$193,RAB!$C$14:$C$193,C1026)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SUMIFS(RAB!$F$14:$F$193,RAB!$C$14:$C$193,C1027)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SUMIFS(RAB!$F$14:$F$193,RAB!$C$14:$C$193,C1028)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SUMIFS(RAB!$F$14:$F$193,RAB!$C$14:$C$193,C1029)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SUMIFS(RAB!$F$14:$F$193,RAB!$C$14:$C$193,C1030)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SUMIFS(RAB!$F$14:$F$193,RAB!$C$14:$C$193,C1031)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SUMIFS(RAB!$F$14:$F$193,RAB!$C$14:$C$193,C1032)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SUMIFS(RAB!$F$14:$F$193,RAB!$C$14:$C$193,C1033)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SUMIFS(RAB!$F$14:$F$193,RAB!$C$14:$C$193,C1034)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SUMIFS(RAB!$F$14:$F$193,RAB!$C$14:$C$193,C1035)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SUMIFS(RAB!$F$14:$F$193,RAB!$C$14:$C$193,C1036)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SUMIFS(RAB!$F$14:$F$193,RAB!$C$14:$C$193,C1037)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SUMIFS(RAB!$F$14:$F$193,RAB!$C$14:$C$193,C1038)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SUMIFS(RAB!$F$14:$F$193,RAB!$C$14:$C$193,C1039)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SUMIFS(RAB!$F$14:$F$193,RAB!$C$14:$C$193,C1040)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SUMIFS(RAB!$F$14:$F$193,RAB!$C$14:$C$193,C1041)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SUMIFS(RAB!$F$14:$F$193,RAB!$C$14:$C$193,C1042)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SUMIFS(RAB!$F$14:$F$193,RAB!$C$14:$C$193,C1043)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SUMIFS(RAB!$F$14:$F$193,RAB!$C$14:$C$193,C1044)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SUMIFS(RAB!$F$14:$F$193,RAB!$C$14:$C$193,C1045)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SUMIFS(RAB!$F$14:$F$193,RAB!$C$14:$C$193,C1046)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SUMIFS(RAB!$F$14:$F$193,RAB!$C$14:$C$193,C1047)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SUMIFS(RAB!$F$14:$F$193,RAB!$C$14:$C$193,C1048)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SUMIFS(RAB!$F$14:$F$193,RAB!$C$14:$C$193,C1049)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SUMIFS(RAB!$F$14:$F$193,RAB!$C$14:$C$193,C1050)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SUMIFS(RAB!$F$14:$F$193,RAB!$C$14:$C$193,C1051)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SUMIFS(RAB!$F$14:$F$193,RAB!$C$14:$C$193,C1052)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SUMIFS(RAB!$F$14:$F$193,RAB!$C$14:$C$193,C1053)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SUMIFS(RAB!$F$14:$F$193,RAB!$C$14:$C$193,C1054)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SUMIFS(RAB!$F$14:$F$193,RAB!$C$14:$C$193,C1055)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SUMIFS(RAB!$F$14:$F$193,RAB!$C$14:$C$193,C1056)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SUMIFS(RAB!$F$14:$F$193,RAB!$C$14:$C$193,C1057)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SUMIFS(RAB!$F$14:$F$193,RAB!$C$14:$C$193,C1058)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SUMIFS(RAB!$F$14:$F$193,RAB!$C$14:$C$193,C1059)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SUMIFS(RAB!$F$14:$F$193,RAB!$C$14:$C$193,C1060)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SUMIFS(RAB!$F$14:$F$193,RAB!$C$14:$C$193,C1061)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SUMIFS(RAB!$F$14:$F$193,RAB!$C$14:$C$193,C1062)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SUMIFS(RAB!$F$14:$F$193,RAB!$C$14:$C$193,C1063)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SUMIFS(RAB!$F$14:$F$193,RAB!$C$14:$C$193,C1064)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SUMIFS(RAB!$F$14:$F$193,RAB!$C$14:$C$193,C1065)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SUMIFS(RAB!$F$14:$F$193,RAB!$C$14:$C$193,C1066)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SUMIFS(RAB!$F$14:$F$193,RAB!$C$14:$C$193,C1067)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SUMIFS(RAB!$F$14:$F$193,RAB!$C$14:$C$193,C1068)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SUMIFS(RAB!$F$14:$F$193,RAB!$C$14:$C$193,C1069)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SUMIFS(RAB!$F$14:$F$193,RAB!$C$14:$C$193,C1070)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SUMIFS(RAB!$F$14:$F$193,RAB!$C$14:$C$193,C1071)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SUMIFS(RAB!$F$14:$F$193,RAB!$C$14:$C$193,C1072)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SUMIFS(RAB!$F$14:$F$193,RAB!$C$14:$C$193,C1073)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SUMIFS(RAB!$F$14:$F$193,RAB!$C$14:$C$193,C1074)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SUMIFS(RAB!$F$14:$F$193,RAB!$C$14:$C$193,C1075)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SUMIFS(RAB!$F$14:$F$193,RAB!$C$14:$C$193,C1076)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SUMIFS(RAB!$F$14:$F$193,RAB!$C$14:$C$193,C1077)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SUMIFS(RAB!$F$14:$F$193,RAB!$C$14:$C$193,C1078)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SUMIFS(RAB!$F$14:$F$193,RAB!$C$14:$C$193,C1079)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SUMIFS(RAB!$F$14:$F$193,RAB!$C$14:$C$193,C1080)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SUMIFS(RAB!$F$14:$F$193,RAB!$C$14:$C$193,C1081)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SUMIFS(RAB!$F$14:$F$193,RAB!$C$14:$C$193,C1082)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SUMIFS(RAB!$F$14:$F$193,RAB!$C$14:$C$193,C1083)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SUMIFS(RAB!$F$14:$F$193,RAB!$C$14:$C$193,C1084)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SUMIFS(RAB!$F$14:$F$193,RAB!$C$14:$C$193,C1085)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SUMIFS(RAB!$F$14:$F$193,RAB!$C$14:$C$193,C1086)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SUMIFS(RAB!$F$14:$F$193,RAB!$C$14:$C$193,C1087)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SUMIFS(RAB!$F$14:$F$193,RAB!$C$14:$C$193,C1088)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SUMIFS(RAB!$F$14:$F$193,RAB!$C$14:$C$193,C1089)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SUMIFS(RAB!$F$14:$F$193,RAB!$C$14:$C$193,C1090)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SUMIFS(RAB!$F$14:$F$193,RAB!$C$14:$C$193,C1091)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SUMIFS(RAB!$F$14:$F$193,RAB!$C$14:$C$193,C1092)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SUMIFS(RAB!$F$14:$F$193,RAB!$C$14:$C$193,C1093)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SUMIFS(RAB!$F$14:$F$193,RAB!$C$14:$C$193,C1094)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SUMIFS(RAB!$F$14:$F$193,RAB!$C$14:$C$193,C1095)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SUMIFS(RAB!$F$14:$F$193,RAB!$C$14:$C$193,C1096)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SUMIFS(RAB!$F$14:$F$193,RAB!$C$14:$C$193,C1097)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SUMIFS(RAB!$F$14:$F$193,RAB!$C$14:$C$193,C1098)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SUMIFS(RAB!$F$14:$F$193,RAB!$C$14:$C$193,C1099)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SUMIFS(RAB!$F$14:$F$193,RAB!$C$14:$C$193,C1100)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SUMIFS(RAB!$F$14:$F$193,RAB!$C$14:$C$193,C1101)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SUMIFS(RAB!$F$14:$F$193,RAB!$C$14:$C$193,C1102)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SUMIFS(RAB!$F$14:$F$193,RAB!$C$14:$C$193,C1103)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SUMIFS(RAB!$F$14:$F$193,RAB!$C$14:$C$193,C1104)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SUMIFS(RAB!$F$14:$F$193,RAB!$C$14:$C$193,C1105)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SUMIFS(RAB!$F$14:$F$193,RAB!$C$14:$C$193,C1106)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SUMIFS(RAB!$F$14:$F$193,RAB!$C$14:$C$193,C1107)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SUMIFS(RAB!$F$14:$F$193,RAB!$C$14:$C$193,C1108)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SUMIFS(RAB!$F$14:$F$193,RAB!$C$14:$C$193,C1109)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SUMIFS(RAB!$F$14:$F$193,RAB!$C$14:$C$193,C1110)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SUMIFS(RAB!$F$14:$F$193,RAB!$C$14:$C$193,C1111)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SUMIFS(RAB!$F$14:$F$193,RAB!$C$14:$C$193,C1112)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SUMIFS(RAB!$F$14:$F$193,RAB!$C$14:$C$193,C1113)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SUMIFS(RAB!$F$14:$F$193,RAB!$C$14:$C$193,C1114)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SUMIFS(RAB!$F$14:$F$193,RAB!$C$14:$C$193,C1115)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SUMIFS(RAB!$F$14:$F$193,RAB!$C$14:$C$193,C1116)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SUMIFS(RAB!$F$14:$F$193,RAB!$C$14:$C$193,C1117)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SUMIFS(RAB!$F$14:$F$193,RAB!$C$14:$C$193,C1118)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SUMIFS(RAB!$F$14:$F$193,RAB!$C$14:$C$193,C1119)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SUMIFS(RAB!$F$14:$F$193,RAB!$C$14:$C$193,C1120)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SUMIFS(RAB!$F$14:$F$193,RAB!$C$14:$C$193,C1121)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SUMIFS(RAB!$F$14:$F$193,RAB!$C$14:$C$193,C1122)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SUMIFS(RAB!$F$14:$F$193,RAB!$C$14:$C$193,C1123)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SUMIFS(RAB!$F$14:$F$193,RAB!$C$14:$C$193,C1124)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SUMIFS(RAB!$F$14:$F$193,RAB!$C$14:$C$193,C1125)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SUMIFS(RAB!$F$14:$F$193,RAB!$C$14:$C$193,C1126)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SUMIFS(RAB!$F$14:$F$193,RAB!$C$14:$C$193,C1127)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SUMIFS(RAB!$F$14:$F$193,RAB!$C$14:$C$193,C1128)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SUMIFS(RAB!$F$14:$F$193,RAB!$C$14:$C$193,C1129)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SUMIFS(RAB!$F$14:$F$193,RAB!$C$14:$C$193,C1130)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SUMIFS(RAB!$F$14:$F$193,RAB!$C$14:$C$193,C1131)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SUMIFS(RAB!$F$14:$F$193,RAB!$C$14:$C$193,C1132)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SUMIFS(RAB!$F$14:$F$193,RAB!$C$14:$C$193,C1133)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SUMIFS(RAB!$F$14:$F$193,RAB!$C$14:$C$193,C1134)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SUMIFS(RAB!$F$14:$F$193,RAB!$C$14:$C$193,C1135)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SUMIFS(RAB!$F$14:$F$193,RAB!$C$14:$C$193,C1136)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SUMIFS(RAB!$F$14:$F$193,RAB!$C$14:$C$193,C1137)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SUMIFS(RAB!$F$14:$F$193,RAB!$C$14:$C$193,C1138)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SUMIFS(RAB!$F$14:$F$193,RAB!$C$14:$C$193,C1139)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SUMIFS(RAB!$F$14:$F$193,RAB!$C$14:$C$193,C1140)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SUMIFS(RAB!$F$14:$F$193,RAB!$C$14:$C$193,C1141)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SUMIFS(RAB!$F$14:$F$193,RAB!$C$14:$C$193,C1142)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SUMIFS(RAB!$F$14:$F$193,RAB!$C$14:$C$193,C1143)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SUMIFS(RAB!$F$14:$F$193,RAB!$C$14:$C$193,C1144)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SUMIFS(RAB!$F$14:$F$193,RAB!$C$14:$C$193,C1145)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SUMIFS(RAB!$F$14:$F$193,RAB!$C$14:$C$193,C1146)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SUMIFS(RAB!$F$14:$F$193,RAB!$C$14:$C$193,C1147)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SUMIFS(RAB!$F$14:$F$193,RAB!$C$14:$C$193,C1148)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SUMIFS(RAB!$F$14:$F$193,RAB!$C$14:$C$193,C1149)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SUMIFS(RAB!$F$14:$F$193,RAB!$C$14:$C$193,C1150)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SUMIFS(RAB!$F$14:$F$193,RAB!$C$14:$C$193,C1151)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SUMIFS(RAB!$F$14:$F$193,RAB!$C$14:$C$193,C1152)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SUMIFS(RAB!$F$14:$F$193,RAB!$C$14:$C$193,C1153)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SUMIFS(RAB!$F$14:$F$193,RAB!$C$14:$C$193,C1154)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SUMIFS(RAB!$F$14:$F$193,RAB!$C$14:$C$193,C1155)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SUMIFS(RAB!$F$14:$F$193,RAB!$C$14:$C$193,C1156)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SUMIFS(RAB!$F$14:$F$193,RAB!$C$14:$C$193,C1157)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SUMIFS(RAB!$F$14:$F$193,RAB!$C$14:$C$193,C1158)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SUMIFS(RAB!$F$14:$F$193,RAB!$C$14:$C$193,C1159)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SUMIFS(RAB!$F$14:$F$193,RAB!$C$14:$C$193,C1160)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SUMIFS(RAB!$F$14:$F$193,RAB!$C$14:$C$193,C1161)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SUMIFS(RAB!$F$14:$F$193,RAB!$C$14:$C$193,C1162)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SUMIFS(RAB!$F$14:$F$193,RAB!$C$14:$C$193,C1163)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SUMIFS(RAB!$F$14:$F$193,RAB!$C$14:$C$193,C1164)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SUMIFS(RAB!$F$14:$F$193,RAB!$C$14:$C$193,C1165)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SUMIFS(RAB!$F$14:$F$193,RAB!$C$14:$C$193,C1166)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SUMIFS(RAB!$F$14:$F$193,RAB!$C$14:$C$193,C1167)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SUMIFS(RAB!$F$14:$F$193,RAB!$C$14:$C$193,C1168)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SUMIFS(RAB!$F$14:$F$193,RAB!$C$14:$C$193,C1169)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SUMIFS(RAB!$F$14:$F$193,RAB!$C$14:$C$193,C1170)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SUMIFS(RAB!$F$14:$F$193,RAB!$C$14:$C$193,C1171)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SUMIFS(RAB!$F$14:$F$193,RAB!$C$14:$C$193,C1172)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SUMIFS(RAB!$F$14:$F$193,RAB!$C$14:$C$193,C1173)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SUMIFS(RAB!$F$14:$F$193,RAB!$C$14:$C$193,C1174)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SUMIFS(RAB!$F$14:$F$193,RAB!$C$14:$C$193,C1175)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SUMIFS(RAB!$F$14:$F$193,RAB!$C$14:$C$193,C1176)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SUMIFS(RAB!$F$14:$F$193,RAB!$C$14:$C$193,C1177)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SUMIFS(RAB!$F$14:$F$193,RAB!$C$14:$C$193,C1178)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SUMIFS(RAB!$F$14:$F$193,RAB!$C$14:$C$193,C1179)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SUMIFS(RAB!$F$14:$F$193,RAB!$C$14:$C$193,C1180)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SUMIFS(RAB!$F$14:$F$193,RAB!$C$14:$C$193,C1181)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SUMIFS(RAB!$F$14:$F$193,RAB!$C$14:$C$193,C1182)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SUMIFS(RAB!$F$14:$F$193,RAB!$C$14:$C$193,C1183)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SUMIFS(RAB!$F$14:$F$193,RAB!$C$14:$C$193,C1184)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SUMIFS(RAB!$F$14:$F$193,RAB!$C$14:$C$193,C1185)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SUMIFS(RAB!$F$14:$F$193,RAB!$C$14:$C$193,C1186)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SUMIFS(RAB!$F$14:$F$193,RAB!$C$14:$C$193,C1187)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SUMIFS(RAB!$F$14:$F$193,RAB!$C$14:$C$193,C1188)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SUMIFS(RAB!$F$14:$F$193,RAB!$C$14:$C$193,C1189)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SUMIFS(RAB!$F$14:$F$193,RAB!$C$14:$C$193,C1190)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SUMIFS(RAB!$F$14:$F$193,RAB!$C$14:$C$193,C1191)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SUMIFS(RAB!$F$14:$F$193,RAB!$C$14:$C$193,C1192)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SUMIFS(RAB!$F$14:$F$193,RAB!$C$14:$C$193,C1193)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SUMIFS(RAB!$F$14:$F$193,RAB!$C$14:$C$193,C1194)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SUMIFS(RAB!$F$14:$F$193,RAB!$C$14:$C$193,C1195)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SUMIFS(RAB!$F$14:$F$193,RAB!$C$14:$C$193,C1196)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SUMIFS(RAB!$F$14:$F$193,RAB!$C$14:$C$193,C1197)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SUMIFS(RAB!$F$14:$F$193,RAB!$C$14:$C$193,C1198)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SUMIFS(RAB!$F$14:$F$193,RAB!$C$14:$C$193,C1199)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SUMIFS(RAB!$F$14:$F$193,RAB!$C$14:$C$193,C1200)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SUMIFS(RAB!$F$14:$F$193,RAB!$C$14:$C$193,C1201)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SUMIFS(RAB!$F$14:$F$193,RAB!$C$14:$C$193,C1202)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SUMIFS(RAB!$F$14:$F$193,RAB!$C$14:$C$193,C1203)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SUMIFS(RAB!$F$14:$F$193,RAB!$C$14:$C$193,C1204)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SUMIFS(RAB!$F$14:$F$193,RAB!$C$14:$C$193,C1205)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SUMIFS(RAB!$F$14:$F$193,RAB!$C$14:$C$193,C1206)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SUMIFS(RAB!$F$14:$F$193,RAB!$C$14:$C$193,C1207)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SUMIFS(RAB!$F$14:$F$193,RAB!$C$14:$C$193,C1208)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SUMIFS(RAB!$F$14:$F$193,RAB!$C$14:$C$193,C1209)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SUMIFS(RAB!$F$14:$F$193,RAB!$C$14:$C$193,C1210)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SUMIFS(RAB!$F$14:$F$193,RAB!$C$14:$C$193,C1211)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SUMIFS(RAB!$F$14:$F$193,RAB!$C$14:$C$193,C1212)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SUMIFS(RAB!$F$14:$F$193,RAB!$C$14:$C$193,C1213)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SUMIFS(RAB!$F$14:$F$193,RAB!$C$14:$C$193,C1214)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SUMIFS(RAB!$F$14:$F$193,RAB!$C$14:$C$193,C1215)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SUMIFS(RAB!$F$14:$F$193,RAB!$C$14:$C$193,C1216)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SUMIFS(RAB!$F$14:$F$193,RAB!$C$14:$C$193,C1217)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SUMIFS(RAB!$F$14:$F$193,RAB!$C$14:$C$193,C1218)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SUMIFS(RAB!$F$14:$F$193,RAB!$C$14:$C$193,C1219)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SUMIFS(RAB!$F$14:$F$193,RAB!$C$14:$C$193,C1220)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SUMIFS(RAB!$F$14:$F$193,RAB!$C$14:$C$193,C1221)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SUMIFS(RAB!$F$14:$F$193,RAB!$C$14:$C$193,C1222)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SUMIFS(RAB!$F$14:$F$193,RAB!$C$14:$C$193,C1223)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SUMIFS(RAB!$F$14:$F$193,RAB!$C$14:$C$193,C1224)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SUMIFS(RAB!$F$14:$F$193,RAB!$C$14:$C$193,C1225)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SUMIFS(RAB!$F$14:$F$193,RAB!$C$14:$C$193,C1226)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SUMIFS(RAB!$F$14:$F$193,RAB!$C$14:$C$193,C1227)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SUMIFS(RAB!$F$14:$F$193,RAB!$C$14:$C$193,C1228)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SUMIFS(RAB!$F$14:$F$193,RAB!$C$14:$C$193,C1229)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SUMIFS(RAB!$F$14:$F$193,RAB!$C$14:$C$193,C1230)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SUMIFS(RAB!$F$14:$F$193,RAB!$C$14:$C$193,C1231)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SUMIFS(RAB!$F$14:$F$193,RAB!$C$14:$C$193,C1232)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SUMIFS(RAB!$F$14:$F$193,RAB!$C$14:$C$193,C1233)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SUMIFS(RAB!$F$14:$F$193,RAB!$C$14:$C$193,C1234)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SUMIFS(RAB!$F$14:$F$193,RAB!$C$14:$C$193,C1235)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SUMIFS(RAB!$F$14:$F$193,RAB!$C$14:$C$193,C1236)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SUMIFS(RAB!$F$14:$F$193,RAB!$C$14:$C$193,C1237)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SUMIFS(RAB!$F$14:$F$193,RAB!$C$14:$C$193,C1238)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SUMIFS(RAB!$F$14:$F$193,RAB!$C$14:$C$193,C1239)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SUMIFS(RAB!$F$14:$F$193,RAB!$C$14:$C$193,C1240)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SUMIFS(RAB!$F$14:$F$193,RAB!$C$14:$C$193,C1241)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SUMIFS(RAB!$F$14:$F$193,RAB!$C$14:$C$193,C1242)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SUMIFS(RAB!$F$14:$F$193,RAB!$C$14:$C$193,C1243)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SUMIFS(RAB!$F$14:$F$193,RAB!$C$14:$C$193,C1244)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SUMIFS(RAB!$F$14:$F$193,RAB!$C$14:$C$193,C1245)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SUMIFS(RAB!$F$14:$F$193,RAB!$C$14:$C$193,C1246)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SUMIFS(RAB!$F$14:$F$193,RAB!$C$14:$C$193,C1247)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SUMIFS(RAB!$F$14:$F$193,RAB!$C$14:$C$193,C1248)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SUMIFS(RAB!$F$14:$F$193,RAB!$C$14:$C$193,C1249)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SUMIFS(RAB!$F$14:$F$193,RAB!$C$14:$C$193,C1250)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SUMIFS(RAB!$F$14:$F$193,RAB!$C$14:$C$193,C1251)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SUMIFS(RAB!$F$14:$F$193,RAB!$C$14:$C$193,C1252)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SUMIFS(RAB!$F$14:$F$193,RAB!$C$14:$C$193,C1253)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SUMIFS(RAB!$F$14:$F$193,RAB!$C$14:$C$193,C1254)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SUMIFS(RAB!$F$14:$F$193,RAB!$C$14:$C$193,C1255)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SUMIFS(RAB!$F$14:$F$193,RAB!$C$14:$C$193,C1256)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SUMIFS(RAB!$F$14:$F$193,RAB!$C$14:$C$193,C1257)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SUMIFS(RAB!$F$14:$F$193,RAB!$C$14:$C$193,C1258)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SUMIFS(RAB!$F$14:$F$193,RAB!$C$14:$C$193,C1259)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SUMIFS(RAB!$F$14:$F$193,RAB!$C$14:$C$193,C1260)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SUMIFS(RAB!$F$14:$F$193,RAB!$C$14:$C$193,C1261)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SUMIFS(RAB!$F$14:$F$193,RAB!$C$14:$C$193,C1262)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SUMIFS(RAB!$F$14:$F$193,RAB!$C$14:$C$193,C1263)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SUMIFS(RAB!$F$14:$F$193,RAB!$C$14:$C$193,C1264)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SUMIFS(RAB!$F$14:$F$193,RAB!$C$14:$C$193,C1265)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SUMIFS(RAB!$F$14:$F$193,RAB!$C$14:$C$193,C1266)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SUMIFS(RAB!$F$14:$F$193,RAB!$C$14:$C$193,C1267)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SUMIFS(RAB!$F$14:$F$193,RAB!$C$14:$C$193,C1268)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SUMIFS(RAB!$F$14:$F$193,RAB!$C$14:$C$193,C1269)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SUMIFS(RAB!$F$14:$F$193,RAB!$C$14:$C$193,C1270)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SUMIFS(RAB!$F$14:$F$193,RAB!$C$14:$C$193,C1271)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SUMIFS(RAB!$F$14:$F$193,RAB!$C$14:$C$193,C1272)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SUMIFS(RAB!$F$14:$F$193,RAB!$C$14:$C$193,C1273)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SUMIFS(RAB!$F$14:$F$193,RAB!$C$14:$C$193,C1274)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SUMIFS(RAB!$F$14:$F$193,RAB!$C$14:$C$193,C1275)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SUMIFS(RAB!$F$14:$F$193,RAB!$C$14:$C$193,C1276)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SUMIFS(RAB!$F$14:$F$193,RAB!$C$14:$C$193,C1277)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SUMIFS(RAB!$F$14:$F$193,RAB!$C$14:$C$193,C1278)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SUMIFS(RAB!$F$14:$F$193,RAB!$C$14:$C$193,C1279)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SUMIFS(RAB!$F$14:$F$193,RAB!$C$14:$C$193,C1280)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SUMIFS(RAB!$F$14:$F$193,RAB!$C$14:$C$193,C1281)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SUMIFS(RAB!$F$14:$F$193,RAB!$C$14:$C$193,C1282)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SUMIFS(RAB!$F$14:$F$193,RAB!$C$14:$C$193,C1283)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SUMIFS(RAB!$F$14:$F$193,RAB!$C$14:$C$193,C1284)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SUMIFS(RAB!$F$14:$F$193,RAB!$C$14:$C$193,C1285)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SUMIFS(RAB!$F$14:$F$193,RAB!$C$14:$C$193,C1286)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SUMIFS(RAB!$F$14:$F$193,RAB!$C$14:$C$193,C1287)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SUMIFS(RAB!$F$14:$F$193,RAB!$C$14:$C$193,C1288)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SUMIFS(RAB!$F$14:$F$193,RAB!$C$14:$C$193,C1289)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SUMIFS(RAB!$F$14:$F$193,RAB!$C$14:$C$193,C1290)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SUMIFS(RAB!$F$14:$F$193,RAB!$C$14:$C$193,C1291)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SUMIFS(RAB!$F$14:$F$193,RAB!$C$14:$C$193,C1292)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SUMIFS(RAB!$F$14:$F$193,RAB!$C$14:$C$193,C1293)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SUMIFS(RAB!$F$14:$F$193,RAB!$C$14:$C$193,C1294)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SUMIFS(RAB!$F$14:$F$193,RAB!$C$14:$C$193,C1295)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SUMIFS(RAB!$F$14:$F$193,RAB!$C$14:$C$193,C1296)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SUMIFS(RAB!$F$14:$F$193,RAB!$C$14:$C$193,C1297)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SUMIFS(RAB!$F$14:$F$193,RAB!$C$14:$C$193,C1298)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SUMIFS(RAB!$F$14:$F$193,RAB!$C$14:$C$193,C1299)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SUMIFS(RAB!$F$14:$F$193,RAB!$C$14:$C$193,C1300)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SUMIFS(RAB!$F$14:$F$193,RAB!$C$14:$C$193,C1301)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SUMIFS(RAB!$F$14:$F$193,RAB!$C$14:$C$193,C1302)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SUMIFS(RAB!$F$14:$F$193,RAB!$C$14:$C$193,C1303)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SUMIFS(RAB!$F$14:$F$193,RAB!$C$14:$C$193,C1304)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SUMIFS(RAB!$F$14:$F$193,RAB!$C$14:$C$193,C1305)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SUMIFS(RAB!$F$14:$F$193,RAB!$C$14:$C$193,C1306)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SUMIFS(RAB!$F$14:$F$193,RAB!$C$14:$C$193,C1307)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SUMIFS(RAB!$F$14:$F$193,RAB!$C$14:$C$193,C1308)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SUMIFS(RAB!$F$14:$F$193,RAB!$C$14:$C$193,C1309)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SUMIFS(RAB!$F$14:$F$193,RAB!$C$14:$C$193,C1310)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SUMIFS(RAB!$F$14:$F$193,RAB!$C$14:$C$193,C1311)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SUMIFS(RAB!$F$14:$F$193,RAB!$C$14:$C$193,C1312)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SUMIFS(RAB!$F$14:$F$193,RAB!$C$14:$C$193,C1313)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SUMIFS(RAB!$F$14:$F$193,RAB!$C$14:$C$193,C1314)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SUMIFS(RAB!$F$14:$F$193,RAB!$C$14:$C$193,C1315)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SUMIFS(RAB!$F$14:$F$193,RAB!$C$14:$C$193,C1316)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SUMIFS(RAB!$F$14:$F$193,RAB!$C$14:$C$193,C1317)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SUMIFS(RAB!$F$14:$F$193,RAB!$C$14:$C$193,C1318)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SUMIFS(RAB!$F$14:$F$193,RAB!$C$14:$C$193,C1319)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SUMIFS(RAB!$F$14:$F$193,RAB!$C$14:$C$193,C1320)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9" t="str">
        <f>RAB!G6</f>
        <v>AGR SRI REZEKI DS. NGALURAN</v>
      </c>
      <c r="H6" s="569"/>
      <c r="I6" s="569"/>
      <c r="J6" s="569"/>
      <c r="K6" s="56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NGALURAN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3" t="s">
        <v>41</v>
      </c>
      <c r="H11" s="551" t="s">
        <v>3</v>
      </c>
      <c r="I11" s="551"/>
      <c r="J11" s="551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52"/>
      <c r="E12" s="552"/>
      <c r="F12" s="552"/>
      <c r="G12" s="554"/>
      <c r="H12" s="560" t="s">
        <v>46</v>
      </c>
      <c r="I12" s="560" t="s">
        <v>5</v>
      </c>
      <c r="J12" s="552" t="s">
        <v>47</v>
      </c>
      <c r="K12" s="55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52"/>
      <c r="E13" s="552"/>
      <c r="F13" s="552"/>
      <c r="G13" s="555"/>
      <c r="H13" s="561"/>
      <c r="I13" s="561"/>
      <c r="J13" s="552"/>
      <c r="K13" s="55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70" t="s">
        <v>1008</v>
      </c>
      <c r="D38" s="570"/>
      <c r="E38" s="570"/>
      <c r="F38" s="570"/>
      <c r="G38" s="77" t="s">
        <v>9</v>
      </c>
      <c r="H38" s="55">
        <f ca="1">SUM(H14:H37)</f>
        <v>0</v>
      </c>
      <c r="I38" s="55">
        <f ca="1">SUM(I14:I37)</f>
        <v>29548800</v>
      </c>
      <c r="J38" s="55">
        <f ca="1">SUM(J14:J37)</f>
        <v>0</v>
      </c>
      <c r="K38" s="55">
        <f ca="1">SUM(K14:K37)</f>
        <v>29548800</v>
      </c>
      <c r="L38" s="44"/>
      <c r="R38" s="99"/>
      <c r="S38" s="99"/>
      <c r="T38" s="99"/>
    </row>
    <row r="39" spans="1:20" s="36" customFormat="1">
      <c r="A39" s="30"/>
      <c r="B39" s="56"/>
      <c r="C39" s="571" t="s">
        <v>462</v>
      </c>
      <c r="D39" s="571"/>
      <c r="E39" s="571"/>
      <c r="F39" s="571"/>
      <c r="G39" s="59" t="s">
        <v>9</v>
      </c>
      <c r="H39" s="60">
        <f ca="1">H38*0.1</f>
        <v>0</v>
      </c>
      <c r="I39" s="60">
        <f ca="1">I38*0.1</f>
        <v>2954880</v>
      </c>
      <c r="J39" s="60">
        <f ca="1">J38*0.1</f>
        <v>0</v>
      </c>
      <c r="K39" s="60">
        <f ca="1">K38*0.1</f>
        <v>2954880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62" t="s">
        <v>463</v>
      </c>
      <c r="D40" s="562"/>
      <c r="E40" s="562"/>
      <c r="F40" s="562"/>
      <c r="G40" s="61" t="s">
        <v>9</v>
      </c>
      <c r="H40" s="78">
        <f ca="1">SUM(H38:H39)</f>
        <v>0</v>
      </c>
      <c r="I40" s="78">
        <f ca="1">SUM(I38:I39)</f>
        <v>32503680</v>
      </c>
      <c r="J40" s="61">
        <f ca="1">SUM(J38:J39)</f>
        <v>0</v>
      </c>
      <c r="K40" s="61">
        <f ca="1">SUM(K38:K39)</f>
        <v>32503680</v>
      </c>
      <c r="L40" s="44"/>
      <c r="R40" s="99"/>
      <c r="S40" s="99"/>
      <c r="T40" s="99"/>
    </row>
    <row r="41" spans="1:20" s="36" customFormat="1">
      <c r="A41" s="30"/>
      <c r="B41" s="563" t="e">
        <f ca="1">"Terbilang : ( "&amp;L42&amp;" Rupiah )"</f>
        <v>#NAME?</v>
      </c>
      <c r="C41" s="564"/>
      <c r="D41" s="564"/>
      <c r="E41" s="564"/>
      <c r="F41" s="564"/>
      <c r="G41" s="564"/>
      <c r="H41" s="564"/>
      <c r="I41" s="564"/>
      <c r="J41" s="564"/>
      <c r="K41" s="565"/>
      <c r="L41" s="44"/>
      <c r="R41" s="58"/>
      <c r="S41" s="58"/>
      <c r="T41" s="58"/>
    </row>
    <row r="42" spans="1:20" s="36" customFormat="1">
      <c r="A42" s="30"/>
      <c r="B42" s="566"/>
      <c r="C42" s="567"/>
      <c r="D42" s="567"/>
      <c r="E42" s="567"/>
      <c r="F42" s="567"/>
      <c r="G42" s="567"/>
      <c r="H42" s="567"/>
      <c r="I42" s="567"/>
      <c r="J42" s="567"/>
      <c r="K42" s="56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7"/>
      <c r="I45" s="557"/>
      <c r="J45" s="558"/>
      <c r="K45" s="55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7"/>
      <c r="I46" s="557"/>
      <c r="J46" s="558"/>
      <c r="K46" s="55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7"/>
      <c r="I47" s="557"/>
      <c r="J47" s="558"/>
      <c r="K47" s="55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7"/>
      <c r="I52" s="557"/>
      <c r="J52" s="558"/>
      <c r="K52" s="55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SUMIFS(RAB!$F$14:$F$193,RAB!$C$14:$C$193,'REKAP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SUMIFS(RAB!$F$14:$F$193,RAB!$C$14:$C$193,'REKAP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SUMIFS(RAB!$F$14:$F$193,RAB!$C$14:$C$193,'REKAP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SUMIFS(RAB!$F$14:$F$193,RAB!$C$14:$C$193,'REKAP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SUMIFS(RAB!$F$14:$F$193,RAB!$C$14:$C$193,'REKAP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SUMIFS(RAB!$F$14:$F$193,RAB!$C$14:$C$193,'REKAP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SUMIFS(RAB!$F$14:$F$193,RAB!$C$14:$C$193,'REKAP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SUMIFS(RAB!$F$14:$F$193,RAB!$C$14:$C$193,'REKAP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SUMIFS(RAB!$F$14:$F$193,RAB!$C$14:$C$193,'REKAP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SUMIFS(RAB!$F$14:$F$193,RAB!$C$14:$C$193,'REKAP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SUMIFS(RAB!$F$14:$F$193,RAB!$C$14:$C$193,'REKAP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SUMIFS(RAB!$F$14:$F$193,RAB!$C$14:$C$193,'REKAP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SUMIFS(RAB!$F$14:$F$193,RAB!$C$14:$C$193,'REKAP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SUMIFS(RAB!$F$14:$F$193,RAB!$C$14:$C$193,'REKAP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SUMIFS(RAB!$F$14:$F$193,RAB!$C$14:$C$193,'REKAP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SUMIFS(RAB!$F$14:$F$193,RAB!$C$14:$C$193,'REKAP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SUMIFS(RAB!$F$14:$F$193,RAB!$C$14:$C$193,'REKAP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SUMIFS(RAB!$F$14:$F$193,RAB!$C$14:$C$193,'REKAP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SUMIFS(RAB!$F$14:$F$193,RAB!$C$14:$C$193,'REKAP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SUMIFS(RAB!$F$14:$F$193,RAB!$C$14:$C$193,'REKAP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9" t="str">
        <f>RAB!G6</f>
        <v>AGR SRI REZEKI DS. NGALURAN</v>
      </c>
      <c r="H6" s="569"/>
      <c r="I6" s="569"/>
      <c r="J6" s="569"/>
      <c r="K6" s="56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NGALURAN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3" t="s">
        <v>41</v>
      </c>
      <c r="H11" s="551" t="s">
        <v>3</v>
      </c>
      <c r="I11" s="551"/>
      <c r="J11" s="551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52"/>
      <c r="E12" s="552"/>
      <c r="F12" s="552"/>
      <c r="G12" s="554"/>
      <c r="H12" s="560" t="s">
        <v>46</v>
      </c>
      <c r="I12" s="560" t="s">
        <v>5</v>
      </c>
      <c r="J12" s="552" t="s">
        <v>47</v>
      </c>
      <c r="K12" s="55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52"/>
      <c r="E13" s="552"/>
      <c r="F13" s="552"/>
      <c r="G13" s="555"/>
      <c r="H13" s="561"/>
      <c r="I13" s="561"/>
      <c r="J13" s="552"/>
      <c r="K13" s="55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2299700</v>
      </c>
      <c r="I21" s="42">
        <f t="shared" ca="1" si="2"/>
        <v>0</v>
      </c>
      <c r="J21" s="42">
        <f t="shared" ca="1" si="3"/>
        <v>0</v>
      </c>
      <c r="K21" s="43">
        <f t="shared" ca="1" si="0"/>
        <v>2299700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12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2468400</v>
      </c>
      <c r="I22" s="42">
        <f t="shared" ca="1" si="2"/>
        <v>0</v>
      </c>
      <c r="J22" s="42">
        <f t="shared" ca="1" si="3"/>
        <v>0</v>
      </c>
      <c r="K22" s="43">
        <f t="shared" ca="1" si="0"/>
        <v>2468400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729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10351800</v>
      </c>
      <c r="I23" s="42">
        <f t="shared" ca="1" si="2"/>
        <v>0</v>
      </c>
      <c r="J23" s="42">
        <f t="shared" ca="1" si="3"/>
        <v>0</v>
      </c>
      <c r="K23" s="43">
        <f t="shared" ca="1" si="0"/>
        <v>10351800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70" t="s">
        <v>1008</v>
      </c>
      <c r="D168" s="570"/>
      <c r="E168" s="570"/>
      <c r="F168" s="570"/>
      <c r="G168" s="77" t="s">
        <v>9</v>
      </c>
      <c r="H168" s="55">
        <f ca="1">SUM(H14:H167)</f>
        <v>96729750</v>
      </c>
      <c r="I168" s="55">
        <f ca="1">SUM(I14:I167)</f>
        <v>0</v>
      </c>
      <c r="J168" s="55">
        <f ca="1">SUM(J14:J167)</f>
        <v>0</v>
      </c>
      <c r="K168" s="55">
        <f ca="1">SUM(K14:K167)</f>
        <v>96729750</v>
      </c>
      <c r="L168" s="44"/>
      <c r="R168" s="99"/>
      <c r="S168" s="99"/>
      <c r="T168" s="99"/>
    </row>
    <row r="169" spans="1:20" s="36" customFormat="1">
      <c r="A169" s="30"/>
      <c r="B169" s="56"/>
      <c r="C169" s="571" t="s">
        <v>462</v>
      </c>
      <c r="D169" s="571"/>
      <c r="E169" s="571"/>
      <c r="F169" s="571"/>
      <c r="G169" s="59" t="s">
        <v>9</v>
      </c>
      <c r="H169" s="60">
        <f ca="1">H168*0.1</f>
        <v>9672975</v>
      </c>
      <c r="I169" s="60">
        <f ca="1">I168*0.1</f>
        <v>0</v>
      </c>
      <c r="J169" s="60">
        <f ca="1">J168*0.1</f>
        <v>0</v>
      </c>
      <c r="K169" s="60">
        <f ca="1">K168*0.1</f>
        <v>9672975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62" t="s">
        <v>463</v>
      </c>
      <c r="D170" s="562"/>
      <c r="E170" s="562"/>
      <c r="F170" s="562"/>
      <c r="G170" s="61" t="s">
        <v>9</v>
      </c>
      <c r="H170" s="78">
        <f ca="1">SUM(H168:H169)</f>
        <v>106402725</v>
      </c>
      <c r="I170" s="78">
        <f ca="1">SUM(I168:I169)</f>
        <v>0</v>
      </c>
      <c r="J170" s="61">
        <f ca="1">SUM(J168:J169)</f>
        <v>0</v>
      </c>
      <c r="K170" s="61">
        <f ca="1">SUM(K168:K169)</f>
        <v>106402725</v>
      </c>
      <c r="L170" s="44"/>
      <c r="R170" s="99"/>
      <c r="S170" s="99"/>
      <c r="T170" s="99"/>
    </row>
    <row r="171" spans="1:20" s="36" customFormat="1">
      <c r="A171" s="30"/>
      <c r="B171" s="563" t="e">
        <f ca="1">"Terbilang : ( "&amp;L172&amp;" Rupiah )"</f>
        <v>#NAME?</v>
      </c>
      <c r="C171" s="564"/>
      <c r="D171" s="564"/>
      <c r="E171" s="564"/>
      <c r="F171" s="564"/>
      <c r="G171" s="564"/>
      <c r="H171" s="564"/>
      <c r="I171" s="564"/>
      <c r="J171" s="564"/>
      <c r="K171" s="565"/>
      <c r="L171" s="44"/>
      <c r="R171" s="58"/>
      <c r="S171" s="58"/>
      <c r="T171" s="58"/>
    </row>
    <row r="172" spans="1:20" s="36" customFormat="1">
      <c r="A172" s="30"/>
      <c r="B172" s="566"/>
      <c r="C172" s="567"/>
      <c r="D172" s="567"/>
      <c r="E172" s="567"/>
      <c r="F172" s="567"/>
      <c r="G172" s="567"/>
      <c r="H172" s="567"/>
      <c r="I172" s="567"/>
      <c r="J172" s="567"/>
      <c r="K172" s="56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7"/>
      <c r="I175" s="557"/>
      <c r="J175" s="558"/>
      <c r="K175" s="55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7"/>
      <c r="I176" s="557"/>
      <c r="J176" s="558"/>
      <c r="K176" s="55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7"/>
      <c r="I177" s="557"/>
      <c r="J177" s="558"/>
      <c r="K177" s="55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7"/>
      <c r="I182" s="557"/>
      <c r="J182" s="558"/>
      <c r="K182" s="55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SUMIFS(RAB!$F$14:$F$193,RAB!$C$14:$C$193,C224)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SUMIFS(RAB!$F$14:$F$193,RAB!$C$14:$C$193,C225)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SUMIFS(RAB!$F$14:$F$193,RAB!$C$14:$C$193,C226)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SUMIFS(RAB!$F$14:$F$193,RAB!$C$14:$C$193,C227)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SUMIFS(RAB!$F$14:$F$193,RAB!$C$14:$C$193,C228)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SUMIFS(RAB!$F$14:$F$193,RAB!$C$14:$C$193,C229)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SUMIFS(RAB!$F$14:$F$193,RAB!$C$14:$C$193,C230)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SUMIFS(RAB!$F$14:$F$193,RAB!$C$14:$C$193,C231)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SUMIFS(RAB!$F$14:$F$193,RAB!$C$14:$C$193,C232)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SUMIFS(RAB!$F$14:$F$193,RAB!$C$14:$C$193,C233)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SUMIFS(RAB!$F$14:$F$193,RAB!$C$14:$C$193,C234)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SUMIFS(RAB!$F$14:$F$193,RAB!$C$14:$C$193,C235)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SUMIFS(RAB!$F$14:$F$193,RAB!$C$14:$C$193,C236)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SUMIFS(RAB!$F$14:$F$193,RAB!$C$14:$C$193,C237)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SUMIFS(RAB!$F$14:$F$193,RAB!$C$14:$C$193,C238)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SUMIFS(RAB!$F$14:$F$193,RAB!$C$14:$C$193,C239)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SUMIFS(RAB!$F$14:$F$193,RAB!$C$14:$C$193,C240)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SUMIFS(RAB!$F$14:$F$193,RAB!$C$14:$C$193,C241)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SUMIFS(RAB!$F$14:$F$193,RAB!$C$14:$C$193,C242)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SUMIFS(RAB!$F$14:$F$193,RAB!$C$14:$C$193,C243)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SUMIFS(RAB!$F$14:$F$193,RAB!$C$14:$C$193,C244)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SUMIFS(RAB!$F$14:$F$193,RAB!$C$14:$C$193,C245)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SUMIFS(RAB!$F$14:$F$193,RAB!$C$14:$C$193,C246)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SUMIFS(RAB!$F$14:$F$193,RAB!$C$14:$C$193,C247)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SUMIFS(RAB!$F$14:$F$193,RAB!$C$14:$C$193,C248)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SUMIFS(RAB!$F$14:$F$193,RAB!$C$14:$C$193,C249)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SUMIFS(RAB!$F$14:$F$193,RAB!$C$14:$C$193,C250)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SUMIFS(RAB!$F$14:$F$193,RAB!$C$14:$C$193,C251)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SUMIFS(RAB!$F$14:$F$193,RAB!$C$14:$C$193,C252)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SUMIFS(RAB!$F$14:$F$193,RAB!$C$14:$C$193,C253)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SUMIFS(RAB!$F$14:$F$193,RAB!$C$14:$C$193,C254)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SUMIFS(RAB!$F$14:$F$193,RAB!$C$14:$C$193,C255)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SUMIFS(RAB!$F$14:$F$193,RAB!$C$14:$C$193,C256)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SUMIFS(RAB!$F$14:$F$193,RAB!$C$14:$C$193,C257)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SUMIFS(RAB!$F$14:$F$193,RAB!$C$14:$C$193,C258)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SUMIFS(RAB!$F$14:$F$193,RAB!$C$14:$C$193,C259)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SUMIFS(RAB!$F$14:$F$193,RAB!$C$14:$C$193,C260)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SUMIFS(RAB!$F$14:$F$193,RAB!$C$14:$C$193,C261)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SUMIFS(RAB!$F$14:$F$193,RAB!$C$14:$C$193,C262)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SUMIFS(RAB!$F$14:$F$193,RAB!$C$14:$C$193,C263)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SUMIFS(RAB!$F$14:$F$193,RAB!$C$14:$C$193,C264)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SUMIFS(RAB!$F$14:$F$193,RAB!$C$14:$C$193,C265)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SUMIFS(RAB!$F$14:$F$193,RAB!$C$14:$C$193,C266)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SUMIFS(RAB!$F$14:$F$193,RAB!$C$14:$C$193,C267)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SUMIFS(RAB!$F$14:$F$193,RAB!$C$14:$C$193,C268)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SUMIFS(RAB!$F$14:$F$193,RAB!$C$14:$C$193,C269)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SUMIFS(RAB!$F$14:$F$193,RAB!$C$14:$C$193,C270)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SUMIFS(RAB!$F$14:$F$193,RAB!$C$14:$C$193,C271)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SUMIFS(RAB!$F$14:$F$193,RAB!$C$14:$C$193,C272)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SUMIFS(RAB!$F$14:$F$193,RAB!$C$14:$C$193,C273)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SUMIFS(RAB!$F$14:$F$193,RAB!$C$14:$C$193,C274)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SUMIFS(RAB!$F$14:$F$193,RAB!$C$14:$C$193,C275)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SUMIFS(RAB!$F$14:$F$193,RAB!$C$14:$C$193,C276)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SUMIFS(RAB!$F$14:$F$193,RAB!$C$14:$C$193,C277)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SUMIFS(RAB!$F$14:$F$193,RAB!$C$14:$C$193,C278)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SUMIFS(RAB!$F$14:$F$193,RAB!$C$14:$C$193,C279)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SUMIFS(RAB!$F$14:$F$193,RAB!$C$14:$C$193,C280)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SUMIFS(RAB!$F$14:$F$193,RAB!$C$14:$C$193,C281)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SUMIFS(RAB!$F$14:$F$193,RAB!$C$14:$C$193,C282)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SUMIFS(RAB!$F$14:$F$193,RAB!$C$14:$C$193,C283)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SUMIFS(RAB!$F$14:$F$193,RAB!$C$14:$C$193,C284)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SUMIFS(RAB!$F$14:$F$193,RAB!$C$14:$C$193,C285)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SUMIFS(RAB!$F$14:$F$193,RAB!$C$14:$C$193,C286)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SUMIFS(RAB!$F$14:$F$193,RAB!$C$14:$C$193,C287)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SUMIFS(RAB!$F$14:$F$193,RAB!$C$14:$C$193,C288)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SUMIFS(RAB!$F$14:$F$193,RAB!$C$14:$C$193,C289)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SUMIFS(RAB!$F$14:$F$193,RAB!$C$14:$C$193,C290)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SUMIFS(RAB!$F$14:$F$193,RAB!$C$14:$C$193,C291)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SUMIFS(RAB!$F$14:$F$193,RAB!$C$14:$C$193,C292)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SUMIFS(RAB!$F$14:$F$193,RAB!$C$14:$C$193,C293)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SUMIFS(RAB!$F$14:$F$193,RAB!$C$14:$C$193,C294)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SUMIFS(RAB!$F$14:$F$193,RAB!$C$14:$C$193,C295)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SUMIFS(RAB!$F$14:$F$193,RAB!$C$14:$C$193,C296)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SUMIFS(RAB!$F$14:$F$193,RAB!$C$14:$C$193,C297)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SUMIFS(RAB!$F$14:$F$193,RAB!$C$14:$C$193,C298)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SUMIFS(RAB!$F$14:$F$193,RAB!$C$14:$C$193,C299)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SUMIFS(RAB!$F$14:$F$193,RAB!$C$14:$C$193,C300)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SUMIFS(RAB!$F$14:$F$193,RAB!$C$14:$C$193,C301)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SUMIFS(RAB!$F$14:$F$193,RAB!$C$14:$C$193,C302)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SUMIFS(RAB!$F$14:$F$193,RAB!$C$14:$C$193,C303)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SUMIFS(RAB!$F$14:$F$193,RAB!$C$14:$C$193,C304)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SUMIFS(RAB!$F$14:$F$193,RAB!$C$14:$C$193,C305)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SUMIFS(RAB!$F$14:$F$193,RAB!$C$14:$C$193,C306)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SUMIFS(RAB!$F$14:$F$193,RAB!$C$14:$C$193,C307)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SUMIFS(RAB!$F$14:$F$193,RAB!$C$14:$C$193,C308)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SUMIFS(RAB!$F$14:$F$193,RAB!$C$14:$C$193,C309)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SUMIFS(RAB!$F$14:$F$193,RAB!$C$14:$C$193,C310)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SUMIFS(RAB!$F$14:$F$193,RAB!$C$14:$C$193,C311)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SUMIFS(RAB!$F$14:$F$193,RAB!$C$14:$C$193,C312)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SUMIFS(RAB!$F$14:$F$193,RAB!$C$14:$C$193,C313)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SUMIFS(RAB!$F$14:$F$193,RAB!$C$14:$C$193,C314)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SUMIFS(RAB!$F$14:$F$193,RAB!$C$14:$C$193,C315)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SUMIFS(RAB!$F$14:$F$193,RAB!$C$14:$C$193,C316)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SUMIFS(RAB!$F$14:$F$193,RAB!$C$14:$C$193,C317)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SUMIFS(RAB!$F$14:$F$193,RAB!$C$14:$C$193,C318)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SUMIFS(RAB!$F$14:$F$193,RAB!$C$14:$C$193,C319)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SUMIFS(RAB!$F$14:$F$193,RAB!$C$14:$C$193,C320)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SUMIFS(RAB!$F$14:$F$193,RAB!$C$14:$C$193,C321)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SUMIFS(RAB!$F$14:$F$193,RAB!$C$14:$C$193,C322)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SUMIFS(RAB!$F$14:$F$193,RAB!$C$14:$C$193,C323)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SUMIFS(RAB!$F$14:$F$193,RAB!$C$14:$C$193,C324)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SUMIFS(RAB!$F$14:$F$193,RAB!$C$14:$C$193,C325)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SUMIFS(RAB!$F$14:$F$193,RAB!$C$14:$C$193,C326)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SUMIFS(RAB!$F$14:$F$193,RAB!$C$14:$C$193,C327)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SUMIFS(RAB!$F$14:$F$193,RAB!$C$14:$C$193,C328)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SUMIFS(RAB!$F$14:$F$193,RAB!$C$14:$C$193,C329)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SUMIFS(RAB!$F$14:$F$193,RAB!$C$14:$C$193,C330)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SUMIFS(RAB!$F$14:$F$193,RAB!$C$14:$C$193,C331)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SUMIFS(RAB!$F$14:$F$193,RAB!$C$14:$C$193,C332)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SUMIFS(RAB!$F$14:$F$193,RAB!$C$14:$C$193,C333)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SUMIFS(RAB!$F$14:$F$193,RAB!$C$14:$C$193,C334)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SUMIFS(RAB!$F$14:$F$193,RAB!$C$14:$C$193,C335)</f>
        <v>13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SUMIFS(RAB!$F$14:$F$193,RAB!$C$14:$C$193,C336)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SUMIFS(RAB!$F$14:$F$193,RAB!$C$14:$C$193,C337)</f>
        <v>12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SUMIFS(RAB!$F$14:$F$193,RAB!$C$14:$C$193,C338)</f>
        <v>729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SUMIFS(RAB!$F$14:$F$193,RAB!$C$14:$C$193,C339)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SUMIFS(RAB!$F$14:$F$193,RAB!$C$14:$C$193,C340)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SUMIFS(RAB!$F$14:$F$193,RAB!$C$14:$C$193,C341)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SUMIFS(RAB!$F$14:$F$193,RAB!$C$14:$C$193,C342)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SUMIFS(RAB!$F$14:$F$193,RAB!$C$14:$C$193,C343)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SUMIFS(RAB!$F$14:$F$193,RAB!$C$14:$C$193,C344)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SUMIFS(RAB!$F$14:$F$193,RAB!$C$14:$C$193,C345)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SUMIFS(RAB!$F$14:$F$193,RAB!$C$14:$C$193,C346)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SUMIFS(RAB!$F$14:$F$193,RAB!$C$14:$C$193,C347)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SUMIFS(RAB!$F$14:$F$193,RAB!$C$14:$C$193,C348)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SUMIFS(RAB!$F$14:$F$193,RAB!$C$14:$C$193,C349)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SUMIFS(RAB!$F$14:$F$193,RAB!$C$14:$C$193,C350)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SUMIFS(RAB!$F$14:$F$193,RAB!$C$14:$C$193,C351)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SUMIFS(RAB!$F$14:$F$193,RAB!$C$14:$C$193,C352)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SUMIFS(RAB!$F$14:$F$193,RAB!$C$14:$C$193,C353)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SUMIFS(RAB!$F$14:$F$193,RAB!$C$14:$C$193,C354)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SUMIFS(RAB!$F$14:$F$193,RAB!$C$14:$C$193,C355)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SUMIFS(RAB!$F$14:$F$193,RAB!$C$14:$C$193,C356)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SUMIFS(RAB!$F$14:$F$193,RAB!$C$14:$C$193,C357)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SUMIFS(RAB!$F$14:$F$193,RAB!$C$14:$C$193,C358)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SUMIFS(RAB!$F$14:$F$193,RAB!$C$14:$C$193,C359)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SUMIFS(RAB!$F$14:$F$193,RAB!$C$14:$C$193,C360)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SUMIFS(RAB!$F$14:$F$193,RAB!$C$14:$C$193,C361)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SUMIFS(RAB!$F$14:$F$193,RAB!$C$14:$C$193,C362)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SUMIFS(RAB!$F$14:$F$193,RAB!$C$14:$C$193,C363)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SUMIFS(RAB!$F$14:$F$193,RAB!$C$14:$C$193,C364)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SUMIFS(RAB!$F$14:$F$193,RAB!$C$14:$C$193,C365)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SUMIFS(RAB!$F$14:$F$193,RAB!$C$14:$C$193,C366)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SUMIFS(RAB!$F$14:$F$193,RAB!$C$14:$C$193,C367)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SUMIFS(RAB!$F$14:$F$193,RAB!$C$14:$C$193,C368)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SUMIFS(RAB!$F$14:$F$193,RAB!$C$14:$C$193,C369)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SUMIFS(RAB!$F$14:$F$193,RAB!$C$14:$C$193,C370)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SUMIFS(RAB!$F$14:$F$193,RAB!$C$14:$C$193,C371)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SUMIFS(RAB!$F$14:$F$193,RAB!$C$14:$C$193,C372)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SUMIFS(RAB!$F$14:$F$193,RAB!$C$14:$C$193,C373)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3" t="s">
        <v>41</v>
      </c>
      <c r="C2" s="57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4" t="s">
        <v>23</v>
      </c>
      <c r="C4" s="575" t="s">
        <v>1012</v>
      </c>
      <c r="D4" s="575" t="s">
        <v>42</v>
      </c>
      <c r="E4" s="574" t="s">
        <v>43</v>
      </c>
      <c r="F4" s="108" t="s">
        <v>1612</v>
      </c>
      <c r="G4" s="108" t="s">
        <v>1611</v>
      </c>
      <c r="H4" s="57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4"/>
      <c r="C5" s="575"/>
      <c r="D5" s="575"/>
      <c r="E5" s="574"/>
      <c r="F5" s="93"/>
      <c r="G5" s="93"/>
      <c r="H5" s="572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70" zoomScaleNormal="70" zoomScaleSheetLayoutView="85" workbookViewId="0">
      <selection activeCell="D5" sqref="D5:E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07" t="s">
        <v>1454</v>
      </c>
      <c r="C2" s="607"/>
      <c r="D2" s="607"/>
      <c r="E2" s="60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12" t="s">
        <v>1535</v>
      </c>
      <c r="C4" s="613"/>
      <c r="D4" s="613"/>
      <c r="E4" s="614"/>
      <c r="F4" s="446"/>
      <c r="G4" s="446"/>
      <c r="H4" s="447"/>
      <c r="I4" s="576" t="s">
        <v>1536</v>
      </c>
      <c r="J4" s="577"/>
      <c r="K4" s="577"/>
      <c r="L4" s="578"/>
    </row>
    <row r="5" spans="1:12" ht="34.5" customHeight="1">
      <c r="A5" s="204"/>
      <c r="B5" s="449" t="s">
        <v>1379</v>
      </c>
      <c r="C5" s="277" t="s">
        <v>9</v>
      </c>
      <c r="D5" s="608" t="str">
        <f>DATA!D14</f>
        <v>AGR SRI REZEKI DS. NGALURAN</v>
      </c>
      <c r="E5" s="609"/>
      <c r="F5" s="208"/>
      <c r="G5" s="208"/>
      <c r="I5" s="450" t="s">
        <v>1379</v>
      </c>
      <c r="J5" s="277" t="s">
        <v>9</v>
      </c>
      <c r="K5" s="579" t="str">
        <f>D5</f>
        <v>AGR SRI REZEKI DS. NGALURAN</v>
      </c>
      <c r="L5" s="580"/>
    </row>
    <row r="6" spans="1:12" ht="31.5" customHeight="1">
      <c r="A6" s="204"/>
      <c r="B6" s="449" t="s">
        <v>1532</v>
      </c>
      <c r="C6" s="277" t="s">
        <v>9</v>
      </c>
      <c r="D6" s="617">
        <f>DATA!D17*1000</f>
        <v>0</v>
      </c>
      <c r="E6" s="618"/>
      <c r="F6" s="208"/>
      <c r="G6" s="208"/>
      <c r="I6" s="450" t="s">
        <v>1533</v>
      </c>
      <c r="J6" s="277" t="s">
        <v>9</v>
      </c>
      <c r="K6" s="581">
        <f>DATA!D20*1000</f>
        <v>105000</v>
      </c>
      <c r="L6" s="582"/>
    </row>
    <row r="7" spans="1:12" ht="30.75" customHeight="1">
      <c r="A7" s="204"/>
      <c r="B7" s="449" t="s">
        <v>1441</v>
      </c>
      <c r="C7" s="277" t="s">
        <v>9</v>
      </c>
      <c r="D7" s="615">
        <f>DATA!D18</f>
        <v>1</v>
      </c>
      <c r="E7" s="616"/>
      <c r="F7" s="448" t="s">
        <v>1453</v>
      </c>
      <c r="I7" s="450" t="s">
        <v>1441</v>
      </c>
      <c r="J7" s="277" t="s">
        <v>9</v>
      </c>
      <c r="K7" s="583">
        <f>DATA!D21</f>
        <v>3</v>
      </c>
      <c r="L7" s="584"/>
    </row>
    <row r="8" spans="1:12" ht="51" customHeight="1">
      <c r="A8" s="204"/>
      <c r="B8" s="449" t="s">
        <v>1442</v>
      </c>
      <c r="C8" s="277" t="s">
        <v>9</v>
      </c>
      <c r="D8" s="615">
        <f>DATA!D19</f>
        <v>220</v>
      </c>
      <c r="E8" s="616"/>
      <c r="F8" s="448" t="s">
        <v>1453</v>
      </c>
      <c r="G8" s="443">
        <v>220</v>
      </c>
      <c r="I8" s="450" t="s">
        <v>1442</v>
      </c>
      <c r="J8" s="277" t="s">
        <v>9</v>
      </c>
      <c r="K8" s="583">
        <f>DATA!D22</f>
        <v>380</v>
      </c>
      <c r="L8" s="584"/>
    </row>
    <row r="9" spans="1:12" ht="30" customHeight="1" thickBot="1">
      <c r="A9" s="204"/>
      <c r="B9" s="455" t="s">
        <v>1544</v>
      </c>
      <c r="C9" s="445" t="s">
        <v>9</v>
      </c>
      <c r="D9" s="610">
        <f>IF(D7=1,D6/(380/3^0.5),(D6/(380*3^0.5)))</f>
        <v>0</v>
      </c>
      <c r="E9" s="611"/>
      <c r="F9" s="207"/>
      <c r="G9" s="444">
        <v>380</v>
      </c>
      <c r="I9" s="456" t="s">
        <v>1544</v>
      </c>
      <c r="J9" s="445" t="s">
        <v>9</v>
      </c>
      <c r="K9" s="587">
        <f>IF(K7=1,K6/(380/3^0.5),(K6/(380*3^0.5)))</f>
        <v>159.53099543397556</v>
      </c>
      <c r="L9" s="588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619"/>
      <c r="E12" s="620"/>
      <c r="F12" s="208"/>
      <c r="G12" s="208"/>
      <c r="I12" s="472" t="s">
        <v>1537</v>
      </c>
      <c r="J12" s="473" t="s">
        <v>9</v>
      </c>
      <c r="K12" s="619"/>
      <c r="L12" s="620"/>
    </row>
    <row r="13" spans="1:12" ht="31.5" customHeight="1">
      <c r="A13" s="204"/>
      <c r="B13" s="480" t="s">
        <v>1380</v>
      </c>
      <c r="C13" s="460" t="s">
        <v>9</v>
      </c>
      <c r="D13" s="585"/>
      <c r="E13" s="586"/>
      <c r="F13" s="208"/>
      <c r="G13" s="208"/>
      <c r="I13" s="474" t="s">
        <v>1380</v>
      </c>
      <c r="J13" s="460" t="s">
        <v>9</v>
      </c>
      <c r="K13" s="585"/>
      <c r="L13" s="586"/>
    </row>
    <row r="14" spans="1:12" ht="30.75" customHeight="1">
      <c r="A14" s="204"/>
      <c r="B14" s="480" t="s">
        <v>1538</v>
      </c>
      <c r="C14" s="460" t="s">
        <v>9</v>
      </c>
      <c r="D14" s="589"/>
      <c r="E14" s="590"/>
      <c r="F14" s="448" t="s">
        <v>1453</v>
      </c>
      <c r="G14" s="452">
        <v>50</v>
      </c>
      <c r="I14" s="474" t="s">
        <v>1538</v>
      </c>
      <c r="J14" s="460" t="s">
        <v>9</v>
      </c>
      <c r="K14" s="591"/>
      <c r="L14" s="592"/>
    </row>
    <row r="15" spans="1:12" ht="57" customHeight="1">
      <c r="A15" s="204"/>
      <c r="B15" s="480" t="s">
        <v>1441</v>
      </c>
      <c r="C15" s="460" t="s">
        <v>9</v>
      </c>
      <c r="D15" s="466">
        <v>3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2" ht="44.25" customHeight="1">
      <c r="A16" s="204"/>
      <c r="B16" s="480" t="s">
        <v>1548</v>
      </c>
      <c r="C16" s="460"/>
      <c r="D16" s="593">
        <v>300</v>
      </c>
      <c r="E16" s="594"/>
      <c r="F16" s="448"/>
      <c r="G16" s="452">
        <v>160</v>
      </c>
      <c r="I16" s="474" t="s">
        <v>1540</v>
      </c>
      <c r="J16" s="460" t="s">
        <v>9</v>
      </c>
      <c r="K16" s="597">
        <f>K9</f>
        <v>159.53099543397556</v>
      </c>
      <c r="L16" s="598"/>
    </row>
    <row r="17" spans="1:12" ht="34.5" customHeight="1">
      <c r="A17" s="204"/>
      <c r="B17" s="480" t="s">
        <v>1541</v>
      </c>
      <c r="C17" s="460" t="s">
        <v>9</v>
      </c>
      <c r="D17" s="595">
        <f>IF(D15=1,D14/(20/3^0.5),(D14/(20*3^0.5)))</f>
        <v>0</v>
      </c>
      <c r="E17" s="596"/>
      <c r="F17" s="448" t="s">
        <v>1453</v>
      </c>
      <c r="G17" s="453">
        <v>200</v>
      </c>
      <c r="I17" s="474" t="s">
        <v>1541</v>
      </c>
      <c r="J17" s="460" t="s">
        <v>9</v>
      </c>
      <c r="K17" s="601">
        <f>IF(K15=1,K14/(20/3^0.5),(K14/(20*3^0.5)))</f>
        <v>0</v>
      </c>
      <c r="L17" s="602"/>
    </row>
    <row r="18" spans="1:12" ht="34.5" customHeight="1">
      <c r="A18" s="204"/>
      <c r="B18" s="480" t="s">
        <v>1542</v>
      </c>
      <c r="C18" s="460" t="s">
        <v>9</v>
      </c>
      <c r="D18" s="595">
        <f>IF(D15=1,D14/(380/3^0.5),(D14/(380*3^0.5)))*1000</f>
        <v>0</v>
      </c>
      <c r="E18" s="596"/>
      <c r="F18" s="448" t="s">
        <v>1453</v>
      </c>
      <c r="G18" s="453">
        <v>250</v>
      </c>
      <c r="I18" s="474" t="s">
        <v>1542</v>
      </c>
      <c r="J18" s="460" t="s">
        <v>9</v>
      </c>
      <c r="K18" s="601">
        <f>IF(K15=1,K14/(380/3^0.5),(K14/(380*3^0.5)))*1000</f>
        <v>0</v>
      </c>
      <c r="L18" s="602"/>
    </row>
    <row r="19" spans="1:12" ht="30" customHeight="1">
      <c r="A19" s="204"/>
      <c r="B19" s="481" t="s">
        <v>1534</v>
      </c>
      <c r="C19" s="459" t="s">
        <v>9</v>
      </c>
      <c r="D19" s="595">
        <f>IF(D15=1,D14/(380/3^0.5),(D14/(380*3^0.5)))</f>
        <v>0</v>
      </c>
      <c r="E19" s="596"/>
      <c r="F19" s="207"/>
      <c r="G19" s="444"/>
      <c r="I19" s="476" t="s">
        <v>1534</v>
      </c>
      <c r="J19" s="459" t="s">
        <v>9</v>
      </c>
      <c r="K19" s="601">
        <f>IF(K15=1,K14/(380/3^0.5),(K14/(380*3^0.5)))</f>
        <v>0</v>
      </c>
      <c r="L19" s="602"/>
    </row>
    <row r="20" spans="1:12" ht="30" customHeight="1" thickBot="1">
      <c r="A20" s="204"/>
      <c r="B20" s="482" t="s">
        <v>1543</v>
      </c>
      <c r="C20" s="478" t="s">
        <v>9</v>
      </c>
      <c r="D20" s="621" t="e">
        <f>D16/D18</f>
        <v>#DIV/0!</v>
      </c>
      <c r="E20" s="622"/>
      <c r="F20" s="207"/>
      <c r="G20" s="444"/>
      <c r="I20" s="477" t="s">
        <v>1534</v>
      </c>
      <c r="J20" s="478" t="s">
        <v>9</v>
      </c>
      <c r="K20" s="599" t="e">
        <f>K16/K18</f>
        <v>#DIV/0!</v>
      </c>
      <c r="L20" s="600"/>
    </row>
    <row r="21" spans="1:12" ht="9.75" customHeight="1">
      <c r="A21" s="204"/>
      <c r="B21" s="467" t="s">
        <v>1543</v>
      </c>
      <c r="C21" s="468" t="s">
        <v>9</v>
      </c>
      <c r="D21" s="606">
        <v>1</v>
      </c>
      <c r="E21" s="606"/>
      <c r="F21" s="469"/>
      <c r="G21" s="470"/>
      <c r="H21" s="471"/>
      <c r="I21" s="467" t="s">
        <v>1534</v>
      </c>
      <c r="J21" s="468" t="s">
        <v>9</v>
      </c>
      <c r="K21" s="606">
        <v>1</v>
      </c>
      <c r="L21" s="606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603"/>
      <c r="C24" s="604"/>
      <c r="D24" s="604"/>
      <c r="E24" s="605"/>
      <c r="I24" s="603"/>
      <c r="J24" s="604"/>
      <c r="K24" s="604"/>
      <c r="L24" s="605"/>
    </row>
    <row r="26" spans="1:12">
      <c r="D26" s="462"/>
    </row>
    <row r="27" spans="1:12">
      <c r="D27" s="46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23"/>
      <c r="C1" s="623"/>
      <c r="D1" s="62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1614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RAB!K199</f>
        <v>176912349.38895002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3538246.9877790003</v>
      </c>
    </row>
    <row r="12" spans="2:11" ht="9" customHeight="1">
      <c r="B12" s="624"/>
      <c r="C12" s="624"/>
      <c r="D12" s="624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1644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1620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105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H14" sqref="H14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31" t="s">
        <v>1357</v>
      </c>
      <c r="C3" s="631"/>
      <c r="D3" s="631"/>
      <c r="E3" s="631"/>
      <c r="F3" s="305" t="str">
        <f>DATA!D14</f>
        <v>AGR SRI REZEKI DS. NGALURAN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5" t="s">
        <v>1349</v>
      </c>
      <c r="C5" s="625" t="s">
        <v>1358</v>
      </c>
      <c r="D5" s="630" t="s">
        <v>1359</v>
      </c>
      <c r="E5" s="630" t="s">
        <v>1360</v>
      </c>
      <c r="F5" s="625" t="s">
        <v>1361</v>
      </c>
      <c r="G5" s="625"/>
      <c r="H5" s="625"/>
      <c r="I5" s="625"/>
      <c r="J5" s="625"/>
      <c r="K5" s="625" t="s">
        <v>1362</v>
      </c>
      <c r="L5" s="625"/>
      <c r="M5" s="307"/>
      <c r="N5" s="628" t="s">
        <v>1363</v>
      </c>
      <c r="O5" s="630" t="s">
        <v>1364</v>
      </c>
      <c r="P5" s="630" t="s">
        <v>1365</v>
      </c>
      <c r="Q5" s="630" t="s">
        <v>1366</v>
      </c>
      <c r="R5" s="308"/>
      <c r="S5" s="309"/>
      <c r="T5" s="626" t="s">
        <v>1367</v>
      </c>
      <c r="U5" s="310"/>
    </row>
    <row r="6" spans="1:21" ht="20.100000000000001" customHeight="1">
      <c r="B6" s="625"/>
      <c r="C6" s="625"/>
      <c r="D6" s="625"/>
      <c r="E6" s="62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9"/>
      <c r="O6" s="625"/>
      <c r="P6" s="625"/>
      <c r="Q6" s="625"/>
      <c r="R6" s="308"/>
      <c r="S6" s="309"/>
      <c r="T6" s="625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176.91234938895002</v>
      </c>
      <c r="G7" s="318">
        <f ca="1">DATA!$D$11/1000000</f>
        <v>3.5382469877790004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217.69679645320849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-87.779876453208487</v>
      </c>
      <c r="O7" s="314">
        <v>1</v>
      </c>
      <c r="P7" s="316">
        <f ca="1">O7*N7</f>
        <v>-87.779876453208487</v>
      </c>
      <c r="Q7" s="316">
        <f ca="1">P7</f>
        <v>-87.779876453208487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3.5382469877790004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59.407547102498221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13.405332897501772</v>
      </c>
      <c r="O8" s="315">
        <f>1/(1+'[93]Asumsi I'!$C$3)^(KKF!A8)</f>
        <v>0.89285714285714279</v>
      </c>
      <c r="P8" s="316">
        <f ca="1">O8*N8</f>
        <v>11.969047229912295</v>
      </c>
      <c r="Q8" s="316">
        <f ca="1">Q7+P8</f>
        <v>-75.810829223296196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3.5382469877790004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59.407547102498221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13.405332897501772</v>
      </c>
      <c r="O9" s="322">
        <f>1/(1+'[93]Asumsi I'!$C$3)^(KKF!A9)</f>
        <v>0.79719387755102034</v>
      </c>
      <c r="P9" s="316">
        <f t="shared" ref="P9:P32" ca="1" si="7">O9*N9</f>
        <v>10.686649312421693</v>
      </c>
      <c r="Q9" s="316">
        <f ca="1">Q8+P9</f>
        <v>-65.124179910874503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3.5382469877790004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59.407547102498221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13.405332897501772</v>
      </c>
      <c r="O10" s="315">
        <f>1/(1+'[93]Asumsi I'!$C$3)^(KKF!A10)</f>
        <v>0.71178024781341087</v>
      </c>
      <c r="P10" s="316">
        <f t="shared" ca="1" si="7"/>
        <v>9.5416511718050803</v>
      </c>
      <c r="Q10" s="316">
        <f t="shared" ref="Q10:Q30" ca="1" si="9">Q9+P10</f>
        <v>-55.582528739069424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3.5382469877790004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59.407547102498221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13.405332897501772</v>
      </c>
      <c r="O11" s="315">
        <f>1/(1+'[93]Asumsi I'!$C$3)^(KKF!A11)</f>
        <v>0.63551807840483121</v>
      </c>
      <c r="P11" s="316">
        <f t="shared" ca="1" si="7"/>
        <v>8.5193314033973948</v>
      </c>
      <c r="Q11" s="316">
        <f t="shared" ca="1" si="9"/>
        <v>-47.063197335672029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3.5382469877790004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59.407547102498221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13.405332897501772</v>
      </c>
      <c r="O12" s="315">
        <f>1/(1+'[93]Asumsi I'!$C$3)^(KKF!A12)</f>
        <v>0.56742685571859919</v>
      </c>
      <c r="P12" s="316">
        <f t="shared" ca="1" si="7"/>
        <v>7.6065458958905294</v>
      </c>
      <c r="Q12" s="316">
        <f t="shared" ca="1" si="9"/>
        <v>-39.456651439781503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3.5382469877790004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59.407547102498221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13.405332897501772</v>
      </c>
      <c r="O13" s="315">
        <f>1/(1+'[93]Asumsi I'!$C$3)^(KKF!A13)</f>
        <v>0.50663112117732068</v>
      </c>
      <c r="P13" s="316">
        <f t="shared" ca="1" si="7"/>
        <v>6.7915588356165433</v>
      </c>
      <c r="Q13" s="316">
        <f t="shared" ca="1" si="9"/>
        <v>-32.665092604164961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3.5382469877790004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59.407547102498221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13.405332897501772</v>
      </c>
      <c r="O14" s="315">
        <f>1/(1+'[93]Asumsi I'!$C$3)^(KKF!A14)</f>
        <v>0.45234921533689343</v>
      </c>
      <c r="P14" s="316">
        <f t="shared" ca="1" si="7"/>
        <v>6.0638918175147705</v>
      </c>
      <c r="Q14" s="316">
        <f t="shared" ca="1" si="9"/>
        <v>-26.601200786650189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3.5382469877790004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59.407547102498221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13.405332897501772</v>
      </c>
      <c r="O15" s="315">
        <f>1/(1+'[93]Asumsi I'!$C$3)^(KKF!A15)</f>
        <v>0.4038832279793691</v>
      </c>
      <c r="P15" s="316">
        <f t="shared" ca="1" si="7"/>
        <v>5.4141891227810444</v>
      </c>
      <c r="Q15" s="316">
        <f t="shared" ca="1" si="9"/>
        <v>-21.187011663869143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3.5382469877790004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59.407547102498221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13.405332897501772</v>
      </c>
      <c r="O16" s="315">
        <f>1/(1+'[93]Asumsi I'!$C$3)^(KKF!A16)</f>
        <v>0.36061002498157957</v>
      </c>
      <c r="P16" s="316">
        <f t="shared" ca="1" si="7"/>
        <v>4.8340974310545048</v>
      </c>
      <c r="Q16" s="316">
        <f t="shared" ca="1" si="9"/>
        <v>-16.352914232814637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3.5382469877790004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59.407547102498221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13.405332897501772</v>
      </c>
      <c r="O17" s="315">
        <f>1/(1+'[93]Asumsi I'!$C$3)^(KKF!A17)</f>
        <v>0.32197323659069599</v>
      </c>
      <c r="P17" s="316">
        <f t="shared" ca="1" si="7"/>
        <v>4.3161584205843786</v>
      </c>
      <c r="Q17" s="316">
        <f t="shared" ca="1" si="9"/>
        <v>-12.036755812230258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3.5382469877790004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59.407547102498221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13.405332897501772</v>
      </c>
      <c r="O18" s="315">
        <f>1/(1+'[93]Asumsi I'!$C$3)^(KKF!A18)</f>
        <v>0.28747610409883567</v>
      </c>
      <c r="P18" s="316">
        <f t="shared" ca="1" si="7"/>
        <v>3.853712875521766</v>
      </c>
      <c r="Q18" s="316">
        <f t="shared" ca="1" si="9"/>
        <v>-8.1830429367084925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3.5382469877790004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59.407547102498221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13.405332897501772</v>
      </c>
      <c r="O19" s="315">
        <f>1/(1+'[93]Asumsi I'!$C$3)^(KKF!A19)</f>
        <v>0.25667509294538904</v>
      </c>
      <c r="P19" s="316">
        <f t="shared" ca="1" si="7"/>
        <v>3.4408150674301488</v>
      </c>
      <c r="Q19" s="316">
        <f t="shared" ca="1" si="9"/>
        <v>-4.7422278692783433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3.5382469877790004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59.407547102498221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13.405332897501772</v>
      </c>
      <c r="O20" s="315">
        <f>1/(1+'[93]Asumsi I'!$C$3)^(KKF!A20)</f>
        <v>0.22917419012981158</v>
      </c>
      <c r="P20" s="316">
        <f t="shared" ca="1" si="7"/>
        <v>3.072156310205489</v>
      </c>
      <c r="Q20" s="316">
        <f t="shared" ca="1" si="9"/>
        <v>-1.6700715590728543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3.5382469877790004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59.407547102498221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13.405332897501772</v>
      </c>
      <c r="O21" s="315">
        <f>1/(1+'[93]Asumsi I'!$C$3)^(KKF!A21)</f>
        <v>0.20461981261590317</v>
      </c>
      <c r="P21" s="316">
        <f t="shared" ca="1" si="7"/>
        <v>2.742996705540615</v>
      </c>
      <c r="Q21" s="316">
        <f t="shared" ca="1" si="9"/>
        <v>1.0729251464677607</v>
      </c>
      <c r="S21" s="304" t="str">
        <f t="shared" ca="1" si="3"/>
        <v/>
      </c>
      <c r="T21" s="320">
        <f t="shared" ca="1" si="10"/>
        <v>13.919962812212765</v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3.5382469877790004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59.407547102498221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13.405332897501772</v>
      </c>
      <c r="O22" s="315">
        <f>1/(1+'[93]Asumsi I'!$C$3)^(KKF!A22)</f>
        <v>0.18269626126419927</v>
      </c>
      <c r="P22" s="316">
        <f t="shared" ca="1" si="7"/>
        <v>2.4491042013755493</v>
      </c>
      <c r="Q22" s="316">
        <f t="shared" ca="1" si="9"/>
        <v>3.52202934784331</v>
      </c>
      <c r="S22" s="304" t="str">
        <f t="shared" ca="1" si="3"/>
        <v/>
      </c>
      <c r="T22" s="320">
        <f t="shared" ca="1" si="10"/>
        <v>14.737266550948565</v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3.5382469877790004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59.407547102498221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13.405332897501772</v>
      </c>
      <c r="O23" s="315">
        <f>1/(1+'[93]Asumsi I'!$C$3)^(KKF!A23)</f>
        <v>0.16312166184303503</v>
      </c>
      <c r="P23" s="316">
        <f t="shared" ca="1" si="7"/>
        <v>2.1867001797995971</v>
      </c>
      <c r="Q23" s="316">
        <f t="shared" ca="1" si="9"/>
        <v>5.7087295276429071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3.5382469877790004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59.407547102498221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13.405332897501772</v>
      </c>
      <c r="O24" s="315">
        <f>1/(1+'[93]Asumsi I'!$C$3)^(KKF!A24)</f>
        <v>0.14564434093128129</v>
      </c>
      <c r="P24" s="316">
        <f t="shared" ca="1" si="7"/>
        <v>1.9524108748210689</v>
      </c>
      <c r="Q24" s="316">
        <f t="shared" ca="1" si="9"/>
        <v>7.6611404024639764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3.5382469877790004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59.407547102498221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13.405332897501772</v>
      </c>
      <c r="O25" s="315">
        <f>1/(1+'[93]Asumsi I'!$C$3)^(KKF!A25)</f>
        <v>0.13003959011721541</v>
      </c>
      <c r="P25" s="316">
        <f t="shared" ca="1" si="7"/>
        <v>1.7432239953759541</v>
      </c>
      <c r="Q25" s="316">
        <f t="shared" ca="1" si="9"/>
        <v>9.4043643978399309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3.5382469877790004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59.407547102498221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13.405332897501772</v>
      </c>
      <c r="O26" s="315">
        <f>1/(1+'[93]Asumsi I'!$C$3)^(KKF!A26)</f>
        <v>0.1161067768903709</v>
      </c>
      <c r="P26" s="316">
        <f t="shared" ca="1" si="7"/>
        <v>1.5564499958713875</v>
      </c>
      <c r="Q26" s="316">
        <f t="shared" ca="1" si="9"/>
        <v>10.960814393711319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3.5382469877790004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59.407547102498221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13.405332897501772</v>
      </c>
      <c r="O27" s="315">
        <f>1/(1+'[93]Asumsi I'!$C$3)^(KKF!A27)</f>
        <v>0.1036667650806883</v>
      </c>
      <c r="P27" s="316">
        <f t="shared" ca="1" si="7"/>
        <v>1.3896874963137387</v>
      </c>
      <c r="Q27" s="316">
        <f t="shared" ca="1" si="9"/>
        <v>12.350501890025058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3.5382469877790004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59.407547102498221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13.405332897501772</v>
      </c>
      <c r="O28" s="315">
        <f>1/(1+'[93]Asumsi I'!$C$3)^(KKF!A28)</f>
        <v>9.2559611679185971E-2</v>
      </c>
      <c r="P28" s="316">
        <f t="shared" ca="1" si="7"/>
        <v>1.240792407422981</v>
      </c>
      <c r="Q28" s="316">
        <f t="shared" ca="1" si="9"/>
        <v>13.591294297448039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3.5382469877790004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59.407547102498221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13.405332897501772</v>
      </c>
      <c r="O29" s="315">
        <f>1/(1+'[93]Asumsi I'!$C$3)^(KKF!A29)</f>
        <v>8.2642510427844609E-2</v>
      </c>
      <c r="P29" s="316">
        <f t="shared" ca="1" si="7"/>
        <v>1.1078503637705186</v>
      </c>
      <c r="Q29" s="316">
        <f t="shared" ca="1" si="9"/>
        <v>14.699144661218558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3.5382469877790004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59.407547102498221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13.405332897501772</v>
      </c>
      <c r="O30" s="315">
        <f>1/(1+'[93]Asumsi I'!$C$3)^(KKF!A30)</f>
        <v>7.3787955739146982E-2</v>
      </c>
      <c r="P30" s="316">
        <f t="shared" ca="1" si="7"/>
        <v>0.98915211050939167</v>
      </c>
      <c r="Q30" s="316">
        <f t="shared" ca="1" si="9"/>
        <v>15.688296771727948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3.5382469877790004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59.407547102498221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13.405332897501772</v>
      </c>
      <c r="O31" s="315">
        <f>1/(1+'[93]Asumsi I'!$C$3)^(KKF!A31)</f>
        <v>6.5882103338524081E-2</v>
      </c>
      <c r="P31" s="316">
        <f t="shared" ca="1" si="7"/>
        <v>0.88317152724052816</v>
      </c>
      <c r="Q31" s="316">
        <f ca="1">Q30+P31</f>
        <v>16.571468298968476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3.5382469877790004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59.407547102498221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13.405332897501772</v>
      </c>
      <c r="O32" s="315">
        <f>1/(1+'[93]Asumsi I'!$C$3)^(KKF!A32)</f>
        <v>5.8823306552253637E-2</v>
      </c>
      <c r="P32" s="316">
        <f t="shared" ca="1" si="7"/>
        <v>0.78854600646475725</v>
      </c>
      <c r="Q32" s="316">
        <f ca="1">Q31+P32</f>
        <v>17.360014305433232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7" t="s">
        <v>1374</v>
      </c>
      <c r="G33" s="627"/>
      <c r="H33" s="627"/>
      <c r="I33" s="324"/>
      <c r="J33" s="325">
        <f ca="1">SUM(J7:J32)</f>
        <v>1702.8854740156646</v>
      </c>
      <c r="K33" s="627" t="s">
        <v>1375</v>
      </c>
      <c r="L33" s="627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14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16.239566605151495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14.328614681580664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1.1452554794545502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15.500012772708216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0.14785448651255928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14"/>
  <sheetViews>
    <sheetView showGridLines="0" tabSelected="1" zoomScale="70" zoomScaleNormal="70" zoomScaleSheetLayoutView="70" workbookViewId="0">
      <pane ySplit="13" topLeftCell="A161" activePane="bottomLeft" state="frozen"/>
      <selection activeCell="H1093" sqref="H1093"/>
      <selection pane="bottomLeft" activeCell="F121" sqref="F121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50" t="s">
        <v>1036</v>
      </c>
      <c r="P3" s="650"/>
      <c r="Q3" s="346"/>
      <c r="T3" s="344"/>
      <c r="U3" s="345" t="s">
        <v>1041</v>
      </c>
      <c r="V3" s="344"/>
    </row>
    <row r="4" spans="1:22" ht="18.75">
      <c r="B4" s="651" t="s">
        <v>1023</v>
      </c>
      <c r="C4" s="651"/>
      <c r="D4" s="651"/>
      <c r="E4" s="651"/>
      <c r="F4" s="651"/>
      <c r="G4" s="651"/>
      <c r="H4" s="651"/>
      <c r="I4" s="651"/>
      <c r="J4" s="651"/>
      <c r="K4" s="651"/>
      <c r="O4" s="650"/>
      <c r="P4" s="65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4" t="str">
        <f>DATA!D14</f>
        <v>AGR SRI REZEKI DS. NGALURAN</v>
      </c>
      <c r="H6" s="634"/>
      <c r="I6" s="634"/>
      <c r="J6" s="634"/>
      <c r="K6" s="63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53" t="s">
        <v>0</v>
      </c>
      <c r="C11" s="655" t="s">
        <v>1</v>
      </c>
      <c r="D11" s="644" t="s">
        <v>42</v>
      </c>
      <c r="E11" s="644" t="s">
        <v>43</v>
      </c>
      <c r="F11" s="644" t="s">
        <v>2</v>
      </c>
      <c r="G11" s="658" t="s">
        <v>41</v>
      </c>
      <c r="H11" s="644" t="s">
        <v>3</v>
      </c>
      <c r="I11" s="644"/>
      <c r="J11" s="644"/>
      <c r="K11" s="645"/>
      <c r="O11" s="351"/>
      <c r="P11" s="352"/>
      <c r="Q11" s="351"/>
      <c r="S11" s="353"/>
      <c r="T11" s="354"/>
      <c r="U11" s="354"/>
      <c r="V11" s="354"/>
    </row>
    <row r="12" spans="1:22">
      <c r="B12" s="654"/>
      <c r="C12" s="656"/>
      <c r="D12" s="648"/>
      <c r="E12" s="648"/>
      <c r="F12" s="648"/>
      <c r="G12" s="659"/>
      <c r="H12" s="646" t="s">
        <v>46</v>
      </c>
      <c r="I12" s="646" t="s">
        <v>5</v>
      </c>
      <c r="J12" s="648" t="s">
        <v>47</v>
      </c>
      <c r="K12" s="64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54"/>
      <c r="C13" s="657"/>
      <c r="D13" s="648"/>
      <c r="E13" s="648"/>
      <c r="F13" s="648"/>
      <c r="G13" s="660"/>
      <c r="H13" s="647"/>
      <c r="I13" s="647"/>
      <c r="J13" s="648"/>
      <c r="K13" s="64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5" ca="1" si="8">IF(OR(D16="MDU",D16="MDU-KD"),(IF($O$3="RAB NON MDU","PLN KD",G16*F16)),0)</f>
        <v>0</v>
      </c>
      <c r="I16" s="361">
        <f t="shared" ref="I16:I35" ca="1" si="9">IF(D16="HDW",G16*F16,0)</f>
        <v>0</v>
      </c>
      <c r="J16" s="361">
        <f t="shared" ref="J16:J35" ca="1" si="10">IF(D16="JASA",G16*F16,0)</f>
        <v>0</v>
      </c>
      <c r="K16" s="362">
        <f t="shared" ref="K16:K35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17400000</v>
      </c>
      <c r="J17" s="361">
        <f t="shared" ca="1" si="10"/>
        <v>0</v>
      </c>
      <c r="K17" s="362">
        <f t="shared" ca="1" si="11"/>
        <v>17400000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6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ca="1" si="8"/>
        <v>0</v>
      </c>
      <c r="I18" s="361">
        <f t="shared" ca="1" si="9"/>
        <v>12148800</v>
      </c>
      <c r="J18" s="361">
        <f t="shared" ca="1" si="10"/>
        <v>0</v>
      </c>
      <c r="K18" s="362">
        <f t="shared" ca="1" si="11"/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6">
        <v>5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50333.333333333343</v>
      </c>
      <c r="K19" s="362">
        <f t="shared" ca="1" si="11"/>
        <v>50333.333333333343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5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1625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7" t="s">
        <v>1035</v>
      </c>
      <c r="C24" s="508" t="s">
        <v>1621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3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7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3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8"/>
        <v>530700</v>
      </c>
      <c r="I25" s="361">
        <f t="shared" ca="1" si="9"/>
        <v>0</v>
      </c>
      <c r="J25" s="361">
        <f t="shared" ca="1" si="10"/>
        <v>0</v>
      </c>
      <c r="K25" s="362">
        <f t="shared" ca="1" si="11"/>
        <v>530700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7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F24*2</f>
        <v>6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1061400</v>
      </c>
      <c r="I26" s="361">
        <f t="shared" ca="1" si="9"/>
        <v>0</v>
      </c>
      <c r="J26" s="361">
        <f t="shared" ca="1" si="10"/>
        <v>0</v>
      </c>
      <c r="K26" s="362">
        <f t="shared" ca="1" si="11"/>
        <v>1061400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7">
        <v>3</v>
      </c>
      <c r="C27" s="508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F24*3</f>
        <v>9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8"/>
        <v>0</v>
      </c>
      <c r="I27" s="361">
        <f t="shared" ca="1" si="9"/>
        <v>238500</v>
      </c>
      <c r="J27" s="361">
        <f t="shared" ca="1" si="10"/>
        <v>0</v>
      </c>
      <c r="K27" s="362">
        <f t="shared" ca="1" si="11"/>
        <v>238500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7">
        <v>4</v>
      </c>
      <c r="C28" s="508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F24*2</f>
        <v>6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8"/>
        <v>0</v>
      </c>
      <c r="I28" s="361">
        <f t="shared" ca="1" si="9"/>
        <v>47628</v>
      </c>
      <c r="J28" s="361">
        <f t="shared" ca="1" si="10"/>
        <v>0</v>
      </c>
      <c r="K28" s="362">
        <f t="shared" ca="1" si="11"/>
        <v>47628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7">
        <v>5</v>
      </c>
      <c r="C29" s="508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F24*1</f>
        <v>3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8"/>
        <v>0</v>
      </c>
      <c r="I29" s="361">
        <f t="shared" ca="1" si="9"/>
        <v>100800</v>
      </c>
      <c r="J29" s="361">
        <f t="shared" ca="1" si="10"/>
        <v>0</v>
      </c>
      <c r="K29" s="362">
        <f t="shared" ca="1" si="11"/>
        <v>100800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7">
        <v>6</v>
      </c>
      <c r="C30" s="508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F24*2</f>
        <v>6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8"/>
        <v>0</v>
      </c>
      <c r="I30" s="361">
        <f t="shared" ca="1" si="9"/>
        <v>270000</v>
      </c>
      <c r="J30" s="361">
        <f t="shared" ca="1" si="10"/>
        <v>0</v>
      </c>
      <c r="K30" s="362">
        <f t="shared" ca="1" si="11"/>
        <v>270000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7">
        <v>7</v>
      </c>
      <c r="C31" s="508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F24*1</f>
        <v>3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8"/>
        <v>0</v>
      </c>
      <c r="I31" s="361">
        <f t="shared" ca="1" si="9"/>
        <v>285000</v>
      </c>
      <c r="J31" s="361">
        <f t="shared" ca="1" si="10"/>
        <v>0</v>
      </c>
      <c r="K31" s="362">
        <f t="shared" ca="1" si="11"/>
        <v>285000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7">
        <v>8</v>
      </c>
      <c r="C32" s="508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</f>
        <v>3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8"/>
        <v>0</v>
      </c>
      <c r="I32" s="361">
        <f t="shared" ca="1" si="9"/>
        <v>1141500</v>
      </c>
      <c r="J32" s="361">
        <f t="shared" ca="1" si="10"/>
        <v>0</v>
      </c>
      <c r="K32" s="362">
        <f t="shared" ca="1" si="11"/>
        <v>1141500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7">
        <v>9</v>
      </c>
      <c r="C33" s="508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F24*4</f>
        <v>12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8"/>
        <v>0</v>
      </c>
      <c r="I33" s="361">
        <f t="shared" ca="1" si="9"/>
        <v>136800</v>
      </c>
      <c r="J33" s="361">
        <f t="shared" ca="1" si="10"/>
        <v>0</v>
      </c>
      <c r="K33" s="362">
        <f t="shared" ca="1" si="11"/>
        <v>136800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7">
        <v>10</v>
      </c>
      <c r="C34" s="508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3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8"/>
        <v>0</v>
      </c>
      <c r="I34" s="361">
        <f t="shared" ca="1" si="9"/>
        <v>173070</v>
      </c>
      <c r="J34" s="361">
        <f t="shared" ca="1" si="10"/>
        <v>0</v>
      </c>
      <c r="K34" s="362">
        <f t="shared" ca="1" si="11"/>
        <v>173070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7">
        <v>11</v>
      </c>
      <c r="C35" s="508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F24*1</f>
        <v>3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8"/>
        <v>0</v>
      </c>
      <c r="I35" s="361">
        <f t="shared" ca="1" si="9"/>
        <v>84000</v>
      </c>
      <c r="J35" s="361">
        <f t="shared" ca="1" si="10"/>
        <v>0</v>
      </c>
      <c r="K35" s="362">
        <f t="shared" ca="1" si="11"/>
        <v>84000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7">
        <v>12</v>
      </c>
      <c r="C36" s="508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4">
        <f>6.2*F24</f>
        <v>18.600000000000001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ref="H36:H39" ca="1" si="12">IF(OR(D36="MDU",D36="MDU-KD"),(IF($O$3="RAB NON MDU","PLN KD",G36*F36)),0)</f>
        <v>0</v>
      </c>
      <c r="I36" s="361">
        <f t="shared" ref="I36:I39" ca="1" si="13">IF(D36="HDW",G36*F36,0)</f>
        <v>159030</v>
      </c>
      <c r="J36" s="361">
        <f t="shared" ref="J36:J39" ca="1" si="14">IF(D36="JASA",G36*F36,0)</f>
        <v>0</v>
      </c>
      <c r="K36" s="362">
        <f t="shared" ref="K36:K39" ca="1" si="15">SUM(H36:J36)</f>
        <v>159030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7">
        <v>13</v>
      </c>
      <c r="C37" s="508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F24*5</f>
        <v>15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2"/>
        <v>0</v>
      </c>
      <c r="I37" s="361">
        <f t="shared" ca="1" si="13"/>
        <v>37500</v>
      </c>
      <c r="J37" s="361">
        <f t="shared" ca="1" si="14"/>
        <v>0</v>
      </c>
      <c r="K37" s="362">
        <f t="shared" ca="1" si="15"/>
        <v>37500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7">
        <v>14</v>
      </c>
      <c r="C38" s="508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4">
        <f>F24*1</f>
        <v>3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333000</v>
      </c>
      <c r="K38" s="362">
        <f t="shared" ca="1" si="15"/>
        <v>333000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1"/>
      <c r="C39" s="502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4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7" t="s">
        <v>1035</v>
      </c>
      <c r="C40" s="508" t="s">
        <v>1622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6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51" ca="1" si="16">IF(OR(D40="MDU",D40="MDU-KD"),(IF($O$3="RAB NON MDU","PLN KD",G40*F40)),0)</f>
        <v>0</v>
      </c>
      <c r="I40" s="361">
        <f t="shared" ref="I40:I51" ca="1" si="17">IF(D40="HDW",G40*F40,0)</f>
        <v>0</v>
      </c>
      <c r="J40" s="361">
        <f t="shared" ref="J40:J51" ca="1" si="18">IF(D40="JASA",G40*F40,0)</f>
        <v>0</v>
      </c>
      <c r="K40" s="362">
        <f t="shared" ref="K40:K51" ca="1" si="19">SUM(H40:J40)</f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7">
        <v>1</v>
      </c>
      <c r="C41" s="109" t="s">
        <v>1569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06">
        <f>F40*3</f>
        <v>6</v>
      </c>
      <c r="G41" s="360">
        <f ca="1">IF(ISERROR(OFFSET('HARGA SATUAN'!$I$6,MATCH(RAB!C41,'HARGA SATUAN'!$C$7:$C$1492,0),0)),0,OFFSET('HARGA SATUAN'!$I$6,MATCH(RAB!C41,'HARGA SATUAN'!$C$7:$C$1492,0),0))</f>
        <v>205700</v>
      </c>
      <c r="H41" s="361">
        <f t="shared" ca="1" si="16"/>
        <v>1234200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1234200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7">
        <v>2</v>
      </c>
      <c r="C42" s="508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6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7">
        <v>3</v>
      </c>
      <c r="C43" s="508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6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7">
        <v>4</v>
      </c>
      <c r="C44" s="508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6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7">
        <v>5</v>
      </c>
      <c r="C45" s="508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7">
        <v>6</v>
      </c>
      <c r="C46" s="508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7">
        <v>7</v>
      </c>
      <c r="C47" s="508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7">
        <v>8</v>
      </c>
      <c r="C48" s="508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6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7">
        <v>9</v>
      </c>
      <c r="C49" s="508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6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7">
        <v>10</v>
      </c>
      <c r="C50" s="508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7">
        <v>11</v>
      </c>
      <c r="C51" s="508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6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7">
        <v>12</v>
      </c>
      <c r="C52" s="508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6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59" ca="1" si="20">IF(OR(D52="MDU",D52="MDU-KD"),(IF($O$3="RAB NON MDU","PLN KD",G52*F52)),0)</f>
        <v>0</v>
      </c>
      <c r="I52" s="361">
        <f t="shared" ref="I52:I59" ca="1" si="21">IF(D52="HDW",G52*F52,0)</f>
        <v>143616</v>
      </c>
      <c r="J52" s="361">
        <f t="shared" ref="J52:J59" ca="1" si="22">IF(D52="JASA",G52*F52,0)</f>
        <v>0</v>
      </c>
      <c r="K52" s="362">
        <f t="shared" ref="K52:K59" ca="1" si="23">SUM(H52:J52)</f>
        <v>143616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7">
        <v>13</v>
      </c>
      <c r="C53" s="508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6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7">
        <v>14</v>
      </c>
      <c r="C54" s="508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6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7">
        <v>15</v>
      </c>
      <c r="C55" s="508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6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7">
        <v>16</v>
      </c>
      <c r="C56" s="508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6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7">
        <v>17</v>
      </c>
      <c r="C57" s="508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6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65" customFormat="1">
      <c r="A58" s="336"/>
      <c r="B58" s="507">
        <v>18</v>
      </c>
      <c r="C58" s="508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6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373"/>
      <c r="C59" s="37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84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29" t="s">
        <v>1035</v>
      </c>
      <c r="C60" s="532" t="s">
        <v>1642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33">
        <v>1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83" ca="1" si="24">IF(OR(D60="MDU",D60="MDU-KD"),(IF($O$3="RAB NON MDU","PLN KD",G60*F60)),0)</f>
        <v>0</v>
      </c>
      <c r="I60" s="361">
        <f t="shared" ref="I60:I83" ca="1" si="25">IF(D60="HDW",G60*F60,0)</f>
        <v>0</v>
      </c>
      <c r="J60" s="361">
        <f t="shared" ref="J60:J83" ca="1" si="26">IF(D60="JASA",G60*F60,0)</f>
        <v>0</v>
      </c>
      <c r="K60" s="362">
        <f t="shared" ref="K60:K83" ca="1" si="27">SUM(H60:J60)</f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31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33">
        <f>F60*1</f>
        <v>1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4"/>
        <v>176900</v>
      </c>
      <c r="I61" s="361">
        <f t="shared" ca="1" si="25"/>
        <v>0</v>
      </c>
      <c r="J61" s="361">
        <f t="shared" ca="1" si="26"/>
        <v>0</v>
      </c>
      <c r="K61" s="362">
        <f t="shared" ca="1" si="27"/>
        <v>176900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31">
        <v>2</v>
      </c>
      <c r="C62" s="109" t="s">
        <v>1129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33">
        <f>F60*1</f>
        <v>1</v>
      </c>
      <c r="G62" s="360">
        <f ca="1">IF(ISERROR(OFFSET('HARGA SATUAN'!$I$6,MATCH(RAB!C62,'HARGA SATUAN'!$C$7:$C$1492,0),0)),0,OFFSET('HARGA SATUAN'!$I$6,MATCH(RAB!C62,'HARGA SATUAN'!$C$7:$C$1492,0),0))</f>
        <v>176900</v>
      </c>
      <c r="H62" s="361">
        <f t="shared" ca="1" si="24"/>
        <v>176900</v>
      </c>
      <c r="I62" s="361">
        <f t="shared" ca="1" si="25"/>
        <v>0</v>
      </c>
      <c r="J62" s="361">
        <f t="shared" ca="1" si="26"/>
        <v>0</v>
      </c>
      <c r="K62" s="362">
        <f t="shared" ca="1" si="27"/>
        <v>176900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31">
        <v>3</v>
      </c>
      <c r="C63" s="109" t="s">
        <v>1569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533">
        <f>F60*6</f>
        <v>6</v>
      </c>
      <c r="G63" s="360">
        <f ca="1">IF(ISERROR(OFFSET('HARGA SATUAN'!$I$6,MATCH(RAB!C63,'HARGA SATUAN'!$C$7:$C$1492,0),0)),0,OFFSET('HARGA SATUAN'!$I$6,MATCH(RAB!C63,'HARGA SATUAN'!$C$7:$C$1492,0),0))</f>
        <v>205700</v>
      </c>
      <c r="H63" s="361">
        <f t="shared" ca="1" si="24"/>
        <v>1234200</v>
      </c>
      <c r="I63" s="361">
        <f t="shared" ca="1" si="25"/>
        <v>0</v>
      </c>
      <c r="J63" s="361">
        <f t="shared" ca="1" si="26"/>
        <v>0</v>
      </c>
      <c r="K63" s="362">
        <f t="shared" ca="1" si="27"/>
        <v>1234200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31">
        <v>4</v>
      </c>
      <c r="C64" s="532" t="s">
        <v>152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33">
        <f>F60*2</f>
        <v>2</v>
      </c>
      <c r="G64" s="360">
        <f ca="1">IF(ISERROR(OFFSET('HARGA SATUAN'!$I$6,MATCH(RAB!C64,'HARGA SATUAN'!$C$7:$C$1492,0),0)),0,OFFSET('HARGA SATUAN'!$I$6,MATCH(RAB!C64,'HARGA SATUAN'!$C$7:$C$1492,0),0))</f>
        <v>7789</v>
      </c>
      <c r="H64" s="361">
        <f t="shared" ca="1" si="24"/>
        <v>0</v>
      </c>
      <c r="I64" s="361">
        <f t="shared" ca="1" si="25"/>
        <v>15578</v>
      </c>
      <c r="J64" s="361">
        <f t="shared" ca="1" si="26"/>
        <v>0</v>
      </c>
      <c r="K64" s="362">
        <f t="shared" ca="1" si="27"/>
        <v>15578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531">
        <v>5</v>
      </c>
      <c r="C65" s="532" t="s">
        <v>157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33">
        <f>F60*4</f>
        <v>4</v>
      </c>
      <c r="G65" s="360">
        <f ca="1">IF(ISERROR(OFFSET('HARGA SATUAN'!$I$6,MATCH(RAB!C65,'HARGA SATUAN'!$C$7:$C$1492,0),0)),0,OFFSET('HARGA SATUAN'!$I$6,MATCH(RAB!C65,'HARGA SATUAN'!$C$7:$C$1492,0),0))</f>
        <v>40000</v>
      </c>
      <c r="H65" s="361">
        <f t="shared" ca="1" si="24"/>
        <v>0</v>
      </c>
      <c r="I65" s="361">
        <f t="shared" ca="1" si="25"/>
        <v>160000</v>
      </c>
      <c r="J65" s="361">
        <f t="shared" ca="1" si="26"/>
        <v>0</v>
      </c>
      <c r="K65" s="362">
        <f t="shared" ca="1" si="27"/>
        <v>160000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531">
        <v>6</v>
      </c>
      <c r="C66" s="532" t="s">
        <v>163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33">
        <f>F60*8</f>
        <v>8</v>
      </c>
      <c r="G66" s="360">
        <f ca="1">IF(ISERROR(OFFSET('HARGA SATUAN'!$I$6,MATCH(RAB!C66,'HARGA SATUAN'!$C$7:$C$1492,0),0)),0,OFFSET('HARGA SATUAN'!$I$6,MATCH(RAB!C66,'HARGA SATUAN'!$C$7:$C$1492,0),0))</f>
        <v>7938</v>
      </c>
      <c r="H66" s="361">
        <f t="shared" ca="1" si="24"/>
        <v>0</v>
      </c>
      <c r="I66" s="361">
        <f t="shared" ca="1" si="25"/>
        <v>63504</v>
      </c>
      <c r="J66" s="361">
        <f t="shared" ca="1" si="26"/>
        <v>0</v>
      </c>
      <c r="K66" s="362">
        <f t="shared" ca="1" si="27"/>
        <v>63504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531">
        <v>7</v>
      </c>
      <c r="C67" s="532" t="s">
        <v>28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33">
        <f>F60*1</f>
        <v>1</v>
      </c>
      <c r="G67" s="360">
        <f ca="1">IF(ISERROR(OFFSET('HARGA SATUAN'!$I$6,MATCH(RAB!C67,'HARGA SATUAN'!$C$7:$C$1492,0),0)),0,OFFSET('HARGA SATUAN'!$I$6,MATCH(RAB!C67,'HARGA SATUAN'!$C$7:$C$1492,0),0))</f>
        <v>26500</v>
      </c>
      <c r="H67" s="361">
        <f t="shared" ca="1" si="24"/>
        <v>0</v>
      </c>
      <c r="I67" s="361">
        <f t="shared" ca="1" si="25"/>
        <v>26500</v>
      </c>
      <c r="J67" s="361">
        <f t="shared" ca="1" si="26"/>
        <v>0</v>
      </c>
      <c r="K67" s="362">
        <f t="shared" ca="1" si="27"/>
        <v>26500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531">
        <v>8</v>
      </c>
      <c r="C68" s="532" t="s">
        <v>173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33">
        <f>F60*8</f>
        <v>8</v>
      </c>
      <c r="G68" s="360">
        <f ca="1">IF(ISERROR(OFFSET('HARGA SATUAN'!$I$6,MATCH(RAB!C68,'HARGA SATUAN'!$C$7:$C$1492,0),0)),0,OFFSET('HARGA SATUAN'!$I$6,MATCH(RAB!C68,'HARGA SATUAN'!$C$7:$C$1492,0),0))</f>
        <v>45000</v>
      </c>
      <c r="H68" s="361">
        <f t="shared" ca="1" si="24"/>
        <v>0</v>
      </c>
      <c r="I68" s="361">
        <f t="shared" ca="1" si="25"/>
        <v>360000</v>
      </c>
      <c r="J68" s="361">
        <f t="shared" ca="1" si="26"/>
        <v>0</v>
      </c>
      <c r="K68" s="362">
        <f t="shared" ca="1" si="27"/>
        <v>360000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531">
        <v>9</v>
      </c>
      <c r="C69" s="532" t="s">
        <v>179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33">
        <f>F60*2</f>
        <v>2</v>
      </c>
      <c r="G69" s="360">
        <f ca="1">IF(ISERROR(OFFSET('HARGA SATUAN'!$I$6,MATCH(RAB!C69,'HARGA SATUAN'!$C$7:$C$1492,0),0)),0,OFFSET('HARGA SATUAN'!$I$6,MATCH(RAB!C69,'HARGA SATUAN'!$C$7:$C$1492,0),0))</f>
        <v>15500</v>
      </c>
      <c r="H69" s="361">
        <f t="shared" ca="1" si="24"/>
        <v>0</v>
      </c>
      <c r="I69" s="361">
        <f t="shared" ca="1" si="25"/>
        <v>31000</v>
      </c>
      <c r="J69" s="361">
        <f t="shared" ca="1" si="26"/>
        <v>0</v>
      </c>
      <c r="K69" s="362">
        <f t="shared" ca="1" si="27"/>
        <v>31000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531">
        <v>10</v>
      </c>
      <c r="C70" s="532" t="s">
        <v>181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33">
        <f>F60*4</f>
        <v>4</v>
      </c>
      <c r="G70" s="360">
        <f ca="1">IF(ISERROR(OFFSET('HARGA SATUAN'!$I$6,MATCH(RAB!C70,'HARGA SATUAN'!$C$7:$C$1492,0),0)),0,OFFSET('HARGA SATUAN'!$I$6,MATCH(RAB!C70,'HARGA SATUAN'!$C$7:$C$1492,0),0))</f>
        <v>28100</v>
      </c>
      <c r="H70" s="361">
        <f t="shared" ca="1" si="24"/>
        <v>0</v>
      </c>
      <c r="I70" s="361">
        <f t="shared" ca="1" si="25"/>
        <v>112400</v>
      </c>
      <c r="J70" s="361">
        <f t="shared" ca="1" si="26"/>
        <v>0</v>
      </c>
      <c r="K70" s="362">
        <f t="shared" ca="1" si="27"/>
        <v>112400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531">
        <v>11</v>
      </c>
      <c r="C71" s="532" t="s">
        <v>593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33">
        <f>F60*4</f>
        <v>4</v>
      </c>
      <c r="G71" s="360">
        <f ca="1">IF(ISERROR(OFFSET('HARGA SATUAN'!$I$6,MATCH(RAB!C71,'HARGA SATUAN'!$C$7:$C$1492,0),0)),0,OFFSET('HARGA SATUAN'!$I$6,MATCH(RAB!C71,'HARGA SATUAN'!$C$7:$C$1492,0),0))</f>
        <v>380500</v>
      </c>
      <c r="H71" s="361">
        <f t="shared" ca="1" si="24"/>
        <v>0</v>
      </c>
      <c r="I71" s="361">
        <f t="shared" ca="1" si="25"/>
        <v>1522000</v>
      </c>
      <c r="J71" s="361">
        <f t="shared" ca="1" si="26"/>
        <v>0</v>
      </c>
      <c r="K71" s="362">
        <f t="shared" ca="1" si="27"/>
        <v>1522000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531">
        <v>12</v>
      </c>
      <c r="C72" s="532" t="s">
        <v>218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33">
        <f>F60*4</f>
        <v>4</v>
      </c>
      <c r="G72" s="360">
        <f ca="1">IF(ISERROR(OFFSET('HARGA SATUAN'!$I$6,MATCH(RAB!C72,'HARGA SATUAN'!$C$7:$C$1492,0),0)),0,OFFSET('HARGA SATUAN'!$I$6,MATCH(RAB!C72,'HARGA SATUAN'!$C$7:$C$1492,0),0))</f>
        <v>29600</v>
      </c>
      <c r="H72" s="361">
        <f t="shared" ca="1" si="24"/>
        <v>0</v>
      </c>
      <c r="I72" s="361">
        <f t="shared" ca="1" si="25"/>
        <v>118400</v>
      </c>
      <c r="J72" s="361">
        <f t="shared" ca="1" si="26"/>
        <v>0</v>
      </c>
      <c r="K72" s="362">
        <f t="shared" ca="1" si="27"/>
        <v>118400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531">
        <v>13</v>
      </c>
      <c r="C73" s="532" t="s">
        <v>217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33">
        <f>F60*9</f>
        <v>9</v>
      </c>
      <c r="G73" s="360">
        <f ca="1">IF(ISERROR(OFFSET('HARGA SATUAN'!$I$6,MATCH(RAB!C73,'HARGA SATUAN'!$C$7:$C$1492,0),0)),0,OFFSET('HARGA SATUAN'!$I$6,MATCH(RAB!C73,'HARGA SATUAN'!$C$7:$C$1492,0),0))</f>
        <v>11400</v>
      </c>
      <c r="H73" s="361">
        <f t="shared" ca="1" si="24"/>
        <v>0</v>
      </c>
      <c r="I73" s="361">
        <f t="shared" ca="1" si="25"/>
        <v>102600</v>
      </c>
      <c r="J73" s="361">
        <f t="shared" ca="1" si="26"/>
        <v>0</v>
      </c>
      <c r="K73" s="362">
        <f t="shared" ca="1" si="27"/>
        <v>102600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31">
        <v>14</v>
      </c>
      <c r="C74" s="532" t="s">
        <v>223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33">
        <f>F60*2</f>
        <v>2</v>
      </c>
      <c r="G74" s="360">
        <f ca="1">IF(ISERROR(OFFSET('HARGA SATUAN'!$I$6,MATCH(RAB!C74,'HARGA SATUAN'!$C$7:$C$1492,0),0)),0,OFFSET('HARGA SATUAN'!$I$6,MATCH(RAB!C74,'HARGA SATUAN'!$C$7:$C$1492,0),0))</f>
        <v>27815</v>
      </c>
      <c r="H74" s="361">
        <f t="shared" ca="1" si="24"/>
        <v>0</v>
      </c>
      <c r="I74" s="361">
        <f t="shared" ca="1" si="25"/>
        <v>55630</v>
      </c>
      <c r="J74" s="361">
        <f t="shared" ca="1" si="26"/>
        <v>0</v>
      </c>
      <c r="K74" s="362">
        <f t="shared" ca="1" si="27"/>
        <v>55630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31">
        <v>15</v>
      </c>
      <c r="C75" s="532" t="s">
        <v>25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33">
        <f>F60*6</f>
        <v>6</v>
      </c>
      <c r="G75" s="360">
        <f ca="1">IF(ISERROR(OFFSET('HARGA SATUAN'!$I$6,MATCH(RAB!C75,'HARGA SATUAN'!$C$7:$C$1492,0),0)),0,OFFSET('HARGA SATUAN'!$I$6,MATCH(RAB!C75,'HARGA SATUAN'!$C$7:$C$1492,0),0))</f>
        <v>23936</v>
      </c>
      <c r="H75" s="361">
        <f t="shared" ca="1" si="24"/>
        <v>0</v>
      </c>
      <c r="I75" s="361">
        <f t="shared" ca="1" si="25"/>
        <v>143616</v>
      </c>
      <c r="J75" s="361">
        <f t="shared" ca="1" si="26"/>
        <v>0</v>
      </c>
      <c r="K75" s="362">
        <f t="shared" ca="1" si="27"/>
        <v>143616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31">
        <v>16</v>
      </c>
      <c r="C76" s="532" t="s">
        <v>37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33">
        <f>F60*3</f>
        <v>3</v>
      </c>
      <c r="G76" s="360">
        <f ca="1">IF(ISERROR(OFFSET('HARGA SATUAN'!$I$6,MATCH(RAB!C76,'HARGA SATUAN'!$C$7:$C$1492,0),0)),0,OFFSET('HARGA SATUAN'!$I$6,MATCH(RAB!C76,'HARGA SATUAN'!$C$7:$C$1492,0),0))</f>
        <v>63500</v>
      </c>
      <c r="H76" s="361">
        <f t="shared" ca="1" si="24"/>
        <v>0</v>
      </c>
      <c r="I76" s="361">
        <f t="shared" ca="1" si="25"/>
        <v>190500</v>
      </c>
      <c r="J76" s="361">
        <f t="shared" ca="1" si="26"/>
        <v>0</v>
      </c>
      <c r="K76" s="362">
        <f t="shared" ca="1" si="27"/>
        <v>190500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31">
        <v>17</v>
      </c>
      <c r="C77" s="532" t="s">
        <v>247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33">
        <f>F60*3</f>
        <v>3</v>
      </c>
      <c r="G77" s="360">
        <f ca="1">IF(ISERROR(OFFSET('HARGA SATUAN'!$I$6,MATCH(RAB!C77,'HARGA SATUAN'!$C$7:$C$1492,0),0)),0,OFFSET('HARGA SATUAN'!$I$6,MATCH(RAB!C77,'HARGA SATUAN'!$C$7:$C$1492,0),0))</f>
        <v>57690</v>
      </c>
      <c r="H77" s="361">
        <f t="shared" ca="1" si="24"/>
        <v>0</v>
      </c>
      <c r="I77" s="361">
        <f t="shared" ca="1" si="25"/>
        <v>173070</v>
      </c>
      <c r="J77" s="361">
        <f t="shared" ca="1" si="26"/>
        <v>0</v>
      </c>
      <c r="K77" s="362">
        <f t="shared" ca="1" si="27"/>
        <v>173070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31">
        <v>18</v>
      </c>
      <c r="C78" s="532" t="s">
        <v>27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33">
        <f>F60*6</f>
        <v>6</v>
      </c>
      <c r="G78" s="360">
        <f ca="1">IF(ISERROR(OFFSET('HARGA SATUAN'!$I$6,MATCH(RAB!C78,'HARGA SATUAN'!$C$7:$C$1492,0),0)),0,OFFSET('HARGA SATUAN'!$I$6,MATCH(RAB!C78,'HARGA SATUAN'!$C$7:$C$1492,0),0))</f>
        <v>16000</v>
      </c>
      <c r="H78" s="361">
        <f t="shared" ca="1" si="24"/>
        <v>0</v>
      </c>
      <c r="I78" s="361">
        <f t="shared" ca="1" si="25"/>
        <v>96000</v>
      </c>
      <c r="J78" s="361">
        <f t="shared" ca="1" si="26"/>
        <v>0</v>
      </c>
      <c r="K78" s="362">
        <f t="shared" ca="1" si="27"/>
        <v>96000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31">
        <v>19</v>
      </c>
      <c r="C79" s="532" t="s">
        <v>265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33">
        <f>F60*2</f>
        <v>2</v>
      </c>
      <c r="G79" s="360">
        <f ca="1">IF(ISERROR(OFFSET('HARGA SATUAN'!$I$6,MATCH(RAB!C79,'HARGA SATUAN'!$C$7:$C$1492,0),0)),0,OFFSET('HARGA SATUAN'!$I$6,MATCH(RAB!C79,'HARGA SATUAN'!$C$7:$C$1492,0),0))</f>
        <v>33501.866666666669</v>
      </c>
      <c r="H79" s="361">
        <f t="shared" ca="1" si="24"/>
        <v>0</v>
      </c>
      <c r="I79" s="361">
        <f t="shared" ca="1" si="25"/>
        <v>67003.733333333337</v>
      </c>
      <c r="J79" s="361">
        <f t="shared" ca="1" si="26"/>
        <v>0</v>
      </c>
      <c r="K79" s="362">
        <f t="shared" ca="1" si="27"/>
        <v>67003.733333333337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531">
        <v>20</v>
      </c>
      <c r="C80" s="532" t="s">
        <v>38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33">
        <f>3.6*F60</f>
        <v>3.6</v>
      </c>
      <c r="G80" s="360">
        <f ca="1">IF(ISERROR(OFFSET('HARGA SATUAN'!$I$6,MATCH(RAB!C80,'HARGA SATUAN'!$C$7:$C$1492,0),0)),0,OFFSET('HARGA SATUAN'!$I$6,MATCH(RAB!C80,'HARGA SATUAN'!$C$7:$C$1492,0),0))</f>
        <v>8550</v>
      </c>
      <c r="H80" s="361">
        <f t="shared" ca="1" si="24"/>
        <v>0</v>
      </c>
      <c r="I80" s="361">
        <f t="shared" ca="1" si="25"/>
        <v>30780</v>
      </c>
      <c r="J80" s="361">
        <f t="shared" ca="1" si="26"/>
        <v>0</v>
      </c>
      <c r="K80" s="362">
        <f t="shared" ca="1" si="27"/>
        <v>30780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531">
        <v>21</v>
      </c>
      <c r="C81" s="532" t="s">
        <v>26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33">
        <f>F60*22</f>
        <v>22</v>
      </c>
      <c r="G81" s="360">
        <f ca="1">IF(ISERROR(OFFSET('HARGA SATUAN'!$I$6,MATCH(RAB!C81,'HARGA SATUAN'!$C$7:$C$1492,0),0)),0,OFFSET('HARGA SATUAN'!$I$6,MATCH(RAB!C81,'HARGA SATUAN'!$C$7:$C$1492,0),0))</f>
        <v>2500</v>
      </c>
      <c r="H81" s="361">
        <f t="shared" ca="1" si="24"/>
        <v>0</v>
      </c>
      <c r="I81" s="361">
        <f t="shared" ca="1" si="25"/>
        <v>55000</v>
      </c>
      <c r="J81" s="361">
        <f t="shared" ca="1" si="26"/>
        <v>0</v>
      </c>
      <c r="K81" s="362">
        <f t="shared" ca="1" si="27"/>
        <v>55000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31">
        <v>22</v>
      </c>
      <c r="C82" s="530" t="s">
        <v>709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33">
        <f>F60*1</f>
        <v>1</v>
      </c>
      <c r="G82" s="360">
        <f ca="1">IF(ISERROR(OFFSET('HARGA SATUAN'!$I$6,MATCH(RAB!C82,'HARGA SATUAN'!$C$7:$C$1492,0),0)),0,OFFSET('HARGA SATUAN'!$I$6,MATCH(RAB!C82,'HARGA SATUAN'!$C$7:$C$1492,0),0))</f>
        <v>197500</v>
      </c>
      <c r="H82" s="361">
        <f t="shared" ca="1" si="24"/>
        <v>0</v>
      </c>
      <c r="I82" s="361">
        <f t="shared" ca="1" si="25"/>
        <v>0</v>
      </c>
      <c r="J82" s="361">
        <f t="shared" ca="1" si="26"/>
        <v>197500</v>
      </c>
      <c r="K82" s="362">
        <f t="shared" ca="1" si="27"/>
        <v>197500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373"/>
      <c r="C83" s="374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48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24"/>
        <v>0</v>
      </c>
      <c r="I83" s="361">
        <f t="shared" ca="1" si="25"/>
        <v>0</v>
      </c>
      <c r="J83" s="361">
        <f t="shared" ca="1" si="26"/>
        <v>0</v>
      </c>
      <c r="K83" s="362">
        <f t="shared" ca="1" si="27"/>
        <v>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07" t="s">
        <v>1035</v>
      </c>
      <c r="C84" s="508" t="s">
        <v>1623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484">
        <v>4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ref="H84:H94" ca="1" si="28">IF(OR(D84="MDU",D84="MDU-KD"),(IF($O$3="RAB NON MDU","PLN KD",G84*F84)),0)</f>
        <v>0</v>
      </c>
      <c r="I84" s="361">
        <f t="shared" ref="I84:I94" ca="1" si="29">IF(D84="HDW",G84*F84,0)</f>
        <v>0</v>
      </c>
      <c r="J84" s="361">
        <f t="shared" ref="J84:J94" ca="1" si="30">IF(D84="JASA",G84*F84,0)</f>
        <v>0</v>
      </c>
      <c r="K84" s="362">
        <f t="shared" ref="K84:K94" ca="1" si="31">SUM(H84:J84)</f>
        <v>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07">
        <v>1</v>
      </c>
      <c r="C85" s="508" t="s">
        <v>30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84">
        <f>F84*1</f>
        <v>4</v>
      </c>
      <c r="G85" s="360">
        <f ca="1">IF(ISERROR(OFFSET('HARGA SATUAN'!$I$6,MATCH(RAB!C85,'HARGA SATUAN'!$C$7:$C$1492,0),0)),0,OFFSET('HARGA SATUAN'!$I$6,MATCH(RAB!C85,'HARGA SATUAN'!$C$7:$C$1492,0),0))</f>
        <v>47459</v>
      </c>
      <c r="H85" s="361">
        <f t="shared" ca="1" si="28"/>
        <v>0</v>
      </c>
      <c r="I85" s="361">
        <f t="shared" ca="1" si="29"/>
        <v>189836</v>
      </c>
      <c r="J85" s="361">
        <f t="shared" ca="1" si="30"/>
        <v>0</v>
      </c>
      <c r="K85" s="362">
        <f t="shared" ca="1" si="31"/>
        <v>189836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7">
        <v>2</v>
      </c>
      <c r="C86" s="508" t="s">
        <v>32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484">
        <f>F84*0.8</f>
        <v>3.2</v>
      </c>
      <c r="G86" s="360">
        <f ca="1">IF(ISERROR(OFFSET('HARGA SATUAN'!$I$6,MATCH(RAB!C86,'HARGA SATUAN'!$C$7:$C$1492,0),0)),0,OFFSET('HARGA SATUAN'!$I$6,MATCH(RAB!C86,'HARGA SATUAN'!$C$7:$C$1492,0),0))</f>
        <v>30000</v>
      </c>
      <c r="H86" s="361">
        <f t="shared" ca="1" si="28"/>
        <v>0</v>
      </c>
      <c r="I86" s="361">
        <f t="shared" ca="1" si="29"/>
        <v>96000</v>
      </c>
      <c r="J86" s="361">
        <f t="shared" ca="1" si="30"/>
        <v>0</v>
      </c>
      <c r="K86" s="362">
        <f t="shared" ca="1" si="31"/>
        <v>96000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7">
        <v>3</v>
      </c>
      <c r="C87" s="508" t="s">
        <v>33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84">
        <f>F84*1</f>
        <v>4</v>
      </c>
      <c r="G87" s="360">
        <f ca="1">IF(ISERROR(OFFSET('HARGA SATUAN'!$I$6,MATCH(RAB!C87,'HARGA SATUAN'!$C$7:$C$1492,0),0)),0,OFFSET('HARGA SATUAN'!$I$6,MATCH(RAB!C87,'HARGA SATUAN'!$C$7:$C$1492,0),0))</f>
        <v>9500</v>
      </c>
      <c r="H87" s="361">
        <f t="shared" ca="1" si="28"/>
        <v>0</v>
      </c>
      <c r="I87" s="361">
        <f t="shared" ca="1" si="29"/>
        <v>38000</v>
      </c>
      <c r="J87" s="361">
        <f t="shared" ca="1" si="30"/>
        <v>0</v>
      </c>
      <c r="K87" s="362">
        <f t="shared" ca="1" si="31"/>
        <v>38000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7">
        <v>4</v>
      </c>
      <c r="C88" s="508" t="s">
        <v>737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484">
        <f>F84*1</f>
        <v>4</v>
      </c>
      <c r="G88" s="360">
        <f ca="1">IF(ISERROR(OFFSET('HARGA SATUAN'!$I$6,MATCH(RAB!C88,'HARGA SATUAN'!$C$7:$C$1492,0),0)),0,OFFSET('HARGA SATUAN'!$I$6,MATCH(RAB!C88,'HARGA SATUAN'!$C$7:$C$1492,0),0))</f>
        <v>16200</v>
      </c>
      <c r="H88" s="361">
        <f t="shared" ca="1" si="28"/>
        <v>0</v>
      </c>
      <c r="I88" s="361">
        <f t="shared" ca="1" si="29"/>
        <v>0</v>
      </c>
      <c r="J88" s="361">
        <f t="shared" ca="1" si="30"/>
        <v>64800</v>
      </c>
      <c r="K88" s="362">
        <f t="shared" ca="1" si="31"/>
        <v>64800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373"/>
      <c r="C89" s="374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484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8"/>
        <v>0</v>
      </c>
      <c r="I89" s="361">
        <f t="shared" ca="1" si="29"/>
        <v>0</v>
      </c>
      <c r="J89" s="361">
        <f t="shared" ca="1" si="30"/>
        <v>0</v>
      </c>
      <c r="K89" s="362">
        <f t="shared" ca="1" si="31"/>
        <v>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373"/>
      <c r="C90" s="510" t="s">
        <v>1624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484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28"/>
        <v>0</v>
      </c>
      <c r="I90" s="361">
        <f t="shared" ca="1" si="29"/>
        <v>0</v>
      </c>
      <c r="J90" s="361">
        <f t="shared" ca="1" si="30"/>
        <v>0</v>
      </c>
      <c r="K90" s="362">
        <f t="shared" ca="1" si="31"/>
        <v>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373">
        <v>1</v>
      </c>
      <c r="C91" s="109" t="s">
        <v>65</v>
      </c>
      <c r="D91" s="358" t="str">
        <f ca="1">IF(ISERROR(OFFSET('HARGA SATUAN'!$D$6,MATCH(RAB!C91,'HARGA SATUAN'!$C$7:$C$1492,0),0)),"",OFFSET('HARGA SATUAN'!$D$6,MATCH(RAB!C91,'HARGA SATUAN'!$C$7:$C$1492,0),0))</f>
        <v>MDU-KD</v>
      </c>
      <c r="E91" s="359" t="str">
        <f ca="1">IF(B91="+","Unit",IF(ISERROR(OFFSET('HARGA SATUAN'!$E$6,MATCH(RAB!C91,'HARGA SATUAN'!$C$7:$C$1492,0),0)),"",OFFSET('HARGA SATUAN'!$E$6,MATCH(RAB!C91,'HARGA SATUAN'!$C$7:$C$1492,0),0)))</f>
        <v>Mtr</v>
      </c>
      <c r="F91" s="484">
        <v>720</v>
      </c>
      <c r="G91" s="360">
        <f ca="1">IF(ISERROR(OFFSET('HARGA SATUAN'!$I$6,MATCH(RAB!C91,'HARGA SATUAN'!$C$7:$C$1492,0),0)),0,OFFSET('HARGA SATUAN'!$I$6,MATCH(RAB!C91,'HARGA SATUAN'!$C$7:$C$1492,0),0))</f>
        <v>14200</v>
      </c>
      <c r="H91" s="361">
        <f t="shared" ca="1" si="28"/>
        <v>10224000</v>
      </c>
      <c r="I91" s="361">
        <f t="shared" ca="1" si="29"/>
        <v>0</v>
      </c>
      <c r="J91" s="361">
        <f t="shared" ca="1" si="30"/>
        <v>0</v>
      </c>
      <c r="K91" s="362">
        <f t="shared" ca="1" si="31"/>
        <v>10224000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373">
        <v>2</v>
      </c>
      <c r="C92" s="109" t="s">
        <v>301</v>
      </c>
      <c r="D92" s="358" t="str">
        <f ca="1">IF(ISERROR(OFFSET('HARGA SATUAN'!$D$6,MATCH(RAB!C92,'HARGA SATUAN'!$C$7:$C$1492,0),0)),"",OFFSET('HARGA SATUAN'!$D$6,MATCH(RAB!C92,'HARGA SATUAN'!$C$7:$C$1492,0),0))</f>
        <v>JASA</v>
      </c>
      <c r="E92" s="359" t="str">
        <f ca="1">IF(B92="+","Unit",IF(ISERROR(OFFSET('HARGA SATUAN'!$E$6,MATCH(RAB!C92,'HARGA SATUAN'!$C$7:$C$1492,0),0)),"",OFFSET('HARGA SATUAN'!$E$6,MATCH(RAB!C92,'HARGA SATUAN'!$C$7:$C$1492,0),0)))</f>
        <v>Per 50 m</v>
      </c>
      <c r="F92" s="484">
        <f>F91/200</f>
        <v>3.6</v>
      </c>
      <c r="G92" s="360">
        <f ca="1">IF(ISERROR(OFFSET('HARGA SATUAN'!$I$6,MATCH(RAB!C92,'HARGA SATUAN'!$C$7:$C$1492,0),0)),0,OFFSET('HARGA SATUAN'!$I$6,MATCH(RAB!C92,'HARGA SATUAN'!$C$7:$C$1492,0),0))</f>
        <v>300100</v>
      </c>
      <c r="H92" s="361">
        <f t="shared" ca="1" si="28"/>
        <v>0</v>
      </c>
      <c r="I92" s="361">
        <f t="shared" ca="1" si="29"/>
        <v>0</v>
      </c>
      <c r="J92" s="361">
        <f t="shared" ca="1" si="30"/>
        <v>1080360</v>
      </c>
      <c r="K92" s="362">
        <f t="shared" ca="1" si="31"/>
        <v>1080360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373">
        <v>3</v>
      </c>
      <c r="C93" s="109" t="s">
        <v>1157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84">
        <v>4</v>
      </c>
      <c r="G93" s="360">
        <f ca="1">IF(ISERROR(OFFSET('HARGA SATUAN'!$I$6,MATCH(RAB!C93,'HARGA SATUAN'!$C$7:$C$1492,0),0)),0,OFFSET('HARGA SATUAN'!$I$6,MATCH(RAB!C93,'HARGA SATUAN'!$C$7:$C$1492,0),0))</f>
        <v>36500</v>
      </c>
      <c r="H93" s="361">
        <f t="shared" ca="1" si="28"/>
        <v>0</v>
      </c>
      <c r="I93" s="361">
        <f t="shared" ca="1" si="29"/>
        <v>146000</v>
      </c>
      <c r="J93" s="361">
        <f t="shared" ca="1" si="30"/>
        <v>0</v>
      </c>
      <c r="K93" s="362">
        <f t="shared" ca="1" si="31"/>
        <v>146000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373">
        <v>4</v>
      </c>
      <c r="C94" s="197" t="s">
        <v>1099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84">
        <v>4</v>
      </c>
      <c r="G94" s="360">
        <f ca="1">IF(ISERROR(OFFSET('HARGA SATUAN'!$I$6,MATCH(RAB!C94,'HARGA SATUAN'!$C$7:$C$1492,0),0)),0,OFFSET('HARGA SATUAN'!$I$6,MATCH(RAB!C94,'HARGA SATUAN'!$C$7:$C$1492,0),0))</f>
        <v>13770</v>
      </c>
      <c r="H94" s="361">
        <f t="shared" ca="1" si="28"/>
        <v>0</v>
      </c>
      <c r="I94" s="361">
        <f t="shared" ca="1" si="29"/>
        <v>0</v>
      </c>
      <c r="J94" s="361">
        <f t="shared" ca="1" si="30"/>
        <v>55080</v>
      </c>
      <c r="K94" s="362">
        <f t="shared" ca="1" si="31"/>
        <v>55080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373"/>
      <c r="C95" s="374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484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:H116" ca="1" si="32">IF(OR(D95="MDU",D95="MDU-KD"),(IF($O$3="RAB NON MDU","PLN KD",G95*F95)),0)</f>
        <v>0</v>
      </c>
      <c r="I95" s="361">
        <f t="shared" ref="I95:I116" ca="1" si="33">IF(D95="HDW",G95*F95,0)</f>
        <v>0</v>
      </c>
      <c r="J95" s="361">
        <f t="shared" ref="J95:J116" ca="1" si="34">IF(D95="JASA",G95*F95,0)</f>
        <v>0</v>
      </c>
      <c r="K95" s="362">
        <f t="shared" ref="K95:K116" ca="1" si="35">SUM(H95:J95)</f>
        <v>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373"/>
      <c r="C96" s="510" t="s">
        <v>1631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484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32"/>
        <v>0</v>
      </c>
      <c r="I96" s="361">
        <f t="shared" ca="1" si="33"/>
        <v>0</v>
      </c>
      <c r="J96" s="361">
        <f t="shared" ca="1" si="34"/>
        <v>0</v>
      </c>
      <c r="K96" s="362">
        <f t="shared" ca="1" si="35"/>
        <v>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373"/>
      <c r="C97" s="374"/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484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2"/>
        <v>0</v>
      </c>
      <c r="I97" s="361">
        <f t="shared" ca="1" si="33"/>
        <v>0</v>
      </c>
      <c r="J97" s="361">
        <f t="shared" ca="1" si="34"/>
        <v>0</v>
      </c>
      <c r="K97" s="362">
        <f t="shared" ca="1" si="35"/>
        <v>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507" t="s">
        <v>1035</v>
      </c>
      <c r="C98" s="508" t="s">
        <v>1632</v>
      </c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484">
        <v>2</v>
      </c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32"/>
        <v>0</v>
      </c>
      <c r="I98" s="361">
        <f t="shared" ca="1" si="33"/>
        <v>0</v>
      </c>
      <c r="J98" s="361">
        <f t="shared" ca="1" si="34"/>
        <v>0</v>
      </c>
      <c r="K98" s="362">
        <f t="shared" ca="1" si="35"/>
        <v>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507">
        <v>1</v>
      </c>
      <c r="C99" s="508" t="s">
        <v>28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84">
        <f>F98*1</f>
        <v>2</v>
      </c>
      <c r="G99" s="360">
        <f ca="1">IF(ISERROR(OFFSET('HARGA SATUAN'!$I$6,MATCH(RAB!C99,'HARGA SATUAN'!$C$7:$C$1492,0),0)),0,OFFSET('HARGA SATUAN'!$I$6,MATCH(RAB!C99,'HARGA SATUAN'!$C$7:$C$1492,0),0))</f>
        <v>26500</v>
      </c>
      <c r="H99" s="361">
        <f t="shared" ca="1" si="32"/>
        <v>0</v>
      </c>
      <c r="I99" s="361">
        <f t="shared" ca="1" si="33"/>
        <v>53000</v>
      </c>
      <c r="J99" s="361">
        <f t="shared" ca="1" si="34"/>
        <v>0</v>
      </c>
      <c r="K99" s="362">
        <f t="shared" ca="1" si="35"/>
        <v>53000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507">
        <v>2</v>
      </c>
      <c r="C100" s="508" t="s">
        <v>203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f>F98*1</f>
        <v>2</v>
      </c>
      <c r="G100" s="360">
        <f ca="1">IF(ISERROR(OFFSET('HARGA SATUAN'!$I$6,MATCH(RAB!C100,'HARGA SATUAN'!$C$7:$C$1492,0),0)),0,OFFSET('HARGA SATUAN'!$I$6,MATCH(RAB!C100,'HARGA SATUAN'!$C$7:$C$1492,0),0))</f>
        <v>12500</v>
      </c>
      <c r="H100" s="361">
        <f t="shared" ca="1" si="32"/>
        <v>0</v>
      </c>
      <c r="I100" s="361">
        <f t="shared" ca="1" si="33"/>
        <v>25000</v>
      </c>
      <c r="J100" s="361">
        <f t="shared" ca="1" si="34"/>
        <v>0</v>
      </c>
      <c r="K100" s="362">
        <f t="shared" ca="1" si="35"/>
        <v>25000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507">
        <v>3</v>
      </c>
      <c r="C101" s="508" t="s">
        <v>206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484">
        <f>F98*12</f>
        <v>24</v>
      </c>
      <c r="G101" s="360">
        <f ca="1">IF(ISERROR(OFFSET('HARGA SATUAN'!$I$6,MATCH(RAB!C101,'HARGA SATUAN'!$C$7:$C$1492,0),0)),0,OFFSET('HARGA SATUAN'!$I$6,MATCH(RAB!C101,'HARGA SATUAN'!$C$7:$C$1492,0),0))</f>
        <v>39204</v>
      </c>
      <c r="H101" s="361">
        <f t="shared" ca="1" si="32"/>
        <v>0</v>
      </c>
      <c r="I101" s="361">
        <f t="shared" ca="1" si="33"/>
        <v>940896</v>
      </c>
      <c r="J101" s="361">
        <f t="shared" ca="1" si="34"/>
        <v>0</v>
      </c>
      <c r="K101" s="362">
        <f t="shared" ca="1" si="35"/>
        <v>940896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507">
        <v>4</v>
      </c>
      <c r="C102" s="508" t="s">
        <v>287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84">
        <f>F98*2</f>
        <v>4</v>
      </c>
      <c r="G102" s="360">
        <f ca="1">IF(ISERROR(OFFSET('HARGA SATUAN'!$I$6,MATCH(RAB!C102,'HARGA SATUAN'!$C$7:$C$1492,0),0)),0,OFFSET('HARGA SATUAN'!$I$6,MATCH(RAB!C102,'HARGA SATUAN'!$C$7:$C$1492,0),0))</f>
        <v>40000</v>
      </c>
      <c r="H102" s="361">
        <f t="shared" ca="1" si="32"/>
        <v>0</v>
      </c>
      <c r="I102" s="361">
        <f t="shared" ca="1" si="33"/>
        <v>160000</v>
      </c>
      <c r="J102" s="361">
        <f t="shared" ca="1" si="34"/>
        <v>0</v>
      </c>
      <c r="K102" s="362">
        <f t="shared" ca="1" si="35"/>
        <v>160000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507">
        <v>5</v>
      </c>
      <c r="C103" s="508" t="s">
        <v>26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84">
        <f>F98*1</f>
        <v>2</v>
      </c>
      <c r="G103" s="360">
        <f ca="1">IF(ISERROR(OFFSET('HARGA SATUAN'!$I$6,MATCH(RAB!C103,'HARGA SATUAN'!$C$7:$C$1492,0),0)),0,OFFSET('HARGA SATUAN'!$I$6,MATCH(RAB!C103,'HARGA SATUAN'!$C$7:$C$1492,0),0))</f>
        <v>2500</v>
      </c>
      <c r="H103" s="361">
        <f t="shared" ca="1" si="32"/>
        <v>0</v>
      </c>
      <c r="I103" s="361">
        <f t="shared" ca="1" si="33"/>
        <v>5000</v>
      </c>
      <c r="J103" s="361">
        <f t="shared" ca="1" si="34"/>
        <v>0</v>
      </c>
      <c r="K103" s="362">
        <f t="shared" ca="1" si="35"/>
        <v>5000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507">
        <v>6</v>
      </c>
      <c r="C104" s="508" t="s">
        <v>760</v>
      </c>
      <c r="D104" s="358" t="str">
        <f ca="1">IF(ISERROR(OFFSET('HARGA SATUAN'!$D$6,MATCH(RAB!C104,'HARGA SATUAN'!$C$7:$C$1492,0),0)),"",OFFSET('HARGA SATUAN'!$D$6,MATCH(RAB!C104,'HARGA SATUAN'!$C$7:$C$1492,0),0))</f>
        <v>JASA</v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484">
        <f>F98*1</f>
        <v>2</v>
      </c>
      <c r="G104" s="360">
        <f ca="1">IF(ISERROR(OFFSET('HARGA SATUAN'!$I$6,MATCH(RAB!C104,'HARGA SATUAN'!$C$7:$C$1492,0),0)),0,OFFSET('HARGA SATUAN'!$I$6,MATCH(RAB!C104,'HARGA SATUAN'!$C$7:$C$1492,0),0))</f>
        <v>36600</v>
      </c>
      <c r="H104" s="361">
        <f t="shared" ca="1" si="32"/>
        <v>0</v>
      </c>
      <c r="I104" s="361">
        <f t="shared" ca="1" si="33"/>
        <v>0</v>
      </c>
      <c r="J104" s="361">
        <f t="shared" ca="1" si="34"/>
        <v>73200</v>
      </c>
      <c r="K104" s="362">
        <f t="shared" ca="1" si="35"/>
        <v>73200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373"/>
      <c r="C105" s="374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484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32"/>
        <v>0</v>
      </c>
      <c r="I105" s="361">
        <f t="shared" ca="1" si="33"/>
        <v>0</v>
      </c>
      <c r="J105" s="361">
        <f t="shared" ca="1" si="34"/>
        <v>0</v>
      </c>
      <c r="K105" s="362">
        <f t="shared" ca="1" si="35"/>
        <v>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507" t="s">
        <v>1035</v>
      </c>
      <c r="C106" s="508" t="s">
        <v>1633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484">
        <f>F98</f>
        <v>2</v>
      </c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32"/>
        <v>0</v>
      </c>
      <c r="I106" s="361">
        <f t="shared" ca="1" si="33"/>
        <v>0</v>
      </c>
      <c r="J106" s="361">
        <f t="shared" ca="1" si="34"/>
        <v>0</v>
      </c>
      <c r="K106" s="362">
        <f t="shared" ca="1" si="35"/>
        <v>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516">
        <v>1</v>
      </c>
      <c r="C107" s="517" t="s">
        <v>597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84">
        <f>F106*1</f>
        <v>2</v>
      </c>
      <c r="G107" s="360">
        <f ca="1">IF(ISERROR(OFFSET('HARGA SATUAN'!$I$6,MATCH(RAB!C107,'HARGA SATUAN'!$C$7:$C$1492,0),0)),0,OFFSET('HARGA SATUAN'!$I$6,MATCH(RAB!C107,'HARGA SATUAN'!$C$7:$C$1492,0),0))</f>
        <v>120900</v>
      </c>
      <c r="H107" s="361">
        <f t="shared" ca="1" si="32"/>
        <v>0</v>
      </c>
      <c r="I107" s="361">
        <f t="shared" ca="1" si="33"/>
        <v>241800</v>
      </c>
      <c r="J107" s="361">
        <f t="shared" ca="1" si="34"/>
        <v>0</v>
      </c>
      <c r="K107" s="362">
        <f t="shared" ca="1" si="35"/>
        <v>241800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511">
        <v>2</v>
      </c>
      <c r="C108" s="514" t="s">
        <v>261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84">
        <f>F106*1</f>
        <v>2</v>
      </c>
      <c r="G108" s="360">
        <f ca="1">IF(ISERROR(OFFSET('HARGA SATUAN'!$I$6,MATCH(RAB!C108,'HARGA SATUAN'!$C$7:$C$1492,0),0)),0,OFFSET('HARGA SATUAN'!$I$6,MATCH(RAB!C108,'HARGA SATUAN'!$C$7:$C$1492,0),0))</f>
        <v>135800</v>
      </c>
      <c r="H108" s="361">
        <f t="shared" ca="1" si="32"/>
        <v>0</v>
      </c>
      <c r="I108" s="361">
        <f t="shared" ca="1" si="33"/>
        <v>271600</v>
      </c>
      <c r="J108" s="361">
        <f t="shared" ca="1" si="34"/>
        <v>0</v>
      </c>
      <c r="K108" s="362">
        <f t="shared" ca="1" si="35"/>
        <v>271600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11">
        <v>3</v>
      </c>
      <c r="C109" s="509" t="s">
        <v>214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6">
        <f>F106*1</f>
        <v>2</v>
      </c>
      <c r="G109" s="360">
        <f ca="1">IF(ISERROR(OFFSET('HARGA SATUAN'!$I$6,MATCH(RAB!C109,'HARGA SATUAN'!$C$7:$C$1492,0),0)),0,OFFSET('HARGA SATUAN'!$I$6,MATCH(RAB!C109,'HARGA SATUAN'!$C$7:$C$1492,0),0))</f>
        <v>4500</v>
      </c>
      <c r="H109" s="361">
        <f t="shared" ca="1" si="32"/>
        <v>0</v>
      </c>
      <c r="I109" s="361">
        <f t="shared" ca="1" si="33"/>
        <v>9000</v>
      </c>
      <c r="J109" s="361">
        <f t="shared" ca="1" si="34"/>
        <v>0</v>
      </c>
      <c r="K109" s="362">
        <f t="shared" ca="1" si="35"/>
        <v>9000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07">
        <v>4</v>
      </c>
      <c r="C110" s="508" t="s">
        <v>768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484">
        <f>F106*1</f>
        <v>2</v>
      </c>
      <c r="G110" s="360">
        <f ca="1">IF(ISERROR(OFFSET('HARGA SATUAN'!$I$6,MATCH(RAB!C110,'HARGA SATUAN'!$C$7:$C$1492,0),0)),0,OFFSET('HARGA SATUAN'!$I$6,MATCH(RAB!C110,'HARGA SATUAN'!$C$7:$C$1492,0),0))</f>
        <v>55500</v>
      </c>
      <c r="H110" s="361">
        <f t="shared" ca="1" si="32"/>
        <v>0</v>
      </c>
      <c r="I110" s="361">
        <f t="shared" ca="1" si="33"/>
        <v>0</v>
      </c>
      <c r="J110" s="361">
        <f t="shared" ca="1" si="34"/>
        <v>111000</v>
      </c>
      <c r="K110" s="362">
        <f t="shared" ca="1" si="35"/>
        <v>111000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7"/>
      <c r="C111" s="508"/>
      <c r="D111" s="358"/>
      <c r="E111" s="359"/>
      <c r="F111" s="484"/>
      <c r="G111" s="360"/>
      <c r="H111" s="361"/>
      <c r="I111" s="361"/>
      <c r="J111" s="361"/>
      <c r="K111" s="362"/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7" t="s">
        <v>1035</v>
      </c>
      <c r="C112" s="508" t="s">
        <v>1634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484">
        <f>F98</f>
        <v>2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32"/>
        <v>0</v>
      </c>
      <c r="I112" s="361">
        <f t="shared" ca="1" si="33"/>
        <v>0</v>
      </c>
      <c r="J112" s="361">
        <f t="shared" ca="1" si="34"/>
        <v>0</v>
      </c>
      <c r="K112" s="362">
        <f t="shared" ca="1" si="35"/>
        <v>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507">
        <v>1</v>
      </c>
      <c r="C113" s="508" t="s">
        <v>30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484">
        <f>F112*1</f>
        <v>2</v>
      </c>
      <c r="G113" s="360">
        <f ca="1">IF(ISERROR(OFFSET('HARGA SATUAN'!$I$6,MATCH(RAB!C113,'HARGA SATUAN'!$C$7:$C$1492,0),0)),0,OFFSET('HARGA SATUAN'!$I$6,MATCH(RAB!C113,'HARGA SATUAN'!$C$7:$C$1492,0),0))</f>
        <v>47459</v>
      </c>
      <c r="H113" s="361">
        <f t="shared" ca="1" si="32"/>
        <v>0</v>
      </c>
      <c r="I113" s="361">
        <f t="shared" ca="1" si="33"/>
        <v>94918</v>
      </c>
      <c r="J113" s="361">
        <f t="shared" ca="1" si="34"/>
        <v>0</v>
      </c>
      <c r="K113" s="362">
        <f t="shared" ca="1" si="35"/>
        <v>94918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507">
        <v>2</v>
      </c>
      <c r="C114" s="508" t="s">
        <v>32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Mtr</v>
      </c>
      <c r="F114" s="484">
        <f>F112*1</f>
        <v>2</v>
      </c>
      <c r="G114" s="360">
        <f ca="1">IF(ISERROR(OFFSET('HARGA SATUAN'!$I$6,MATCH(RAB!C114,'HARGA SATUAN'!$C$7:$C$1492,0),0)),0,OFFSET('HARGA SATUAN'!$I$6,MATCH(RAB!C114,'HARGA SATUAN'!$C$7:$C$1492,0),0))</f>
        <v>30000</v>
      </c>
      <c r="H114" s="361">
        <f t="shared" ca="1" si="32"/>
        <v>0</v>
      </c>
      <c r="I114" s="361">
        <f t="shared" ca="1" si="33"/>
        <v>60000</v>
      </c>
      <c r="J114" s="361">
        <f t="shared" ca="1" si="34"/>
        <v>0</v>
      </c>
      <c r="K114" s="362">
        <f t="shared" ca="1" si="35"/>
        <v>60000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507">
        <v>3</v>
      </c>
      <c r="C115" s="508" t="s">
        <v>33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84">
        <f>F112*1</f>
        <v>2</v>
      </c>
      <c r="G115" s="360">
        <f ca="1">IF(ISERROR(OFFSET('HARGA SATUAN'!$I$6,MATCH(RAB!C115,'HARGA SATUAN'!$C$7:$C$1492,0),0)),0,OFFSET('HARGA SATUAN'!$I$6,MATCH(RAB!C115,'HARGA SATUAN'!$C$7:$C$1492,0),0))</f>
        <v>9500</v>
      </c>
      <c r="H115" s="361">
        <f t="shared" ca="1" si="32"/>
        <v>0</v>
      </c>
      <c r="I115" s="361">
        <f t="shared" ca="1" si="33"/>
        <v>19000</v>
      </c>
      <c r="J115" s="361">
        <f t="shared" ca="1" si="34"/>
        <v>0</v>
      </c>
      <c r="K115" s="362">
        <f t="shared" ca="1" si="35"/>
        <v>19000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507">
        <v>4</v>
      </c>
      <c r="C116" s="508" t="s">
        <v>738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484">
        <f>F112*1</f>
        <v>2</v>
      </c>
      <c r="G116" s="360">
        <f ca="1">IF(ISERROR(OFFSET('HARGA SATUAN'!$I$6,MATCH(RAB!C116,'HARGA SATUAN'!$C$7:$C$1492,0),0)),0,OFFSET('HARGA SATUAN'!$I$6,MATCH(RAB!C116,'HARGA SATUAN'!$C$7:$C$1492,0),0))</f>
        <v>21200</v>
      </c>
      <c r="H116" s="361">
        <f t="shared" ca="1" si="32"/>
        <v>0</v>
      </c>
      <c r="I116" s="361">
        <f t="shared" ca="1" si="33"/>
        <v>0</v>
      </c>
      <c r="J116" s="361">
        <f t="shared" ca="1" si="34"/>
        <v>42400</v>
      </c>
      <c r="K116" s="362">
        <f t="shared" ca="1" si="35"/>
        <v>42400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507"/>
      <c r="C117" s="508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484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ref="H117:H135" ca="1" si="36">IF(OR(D117="MDU",D117="MDU-KD"),(IF($O$3="RAB NON MDU","PLN KD",G117*F117)),0)</f>
        <v>0</v>
      </c>
      <c r="I117" s="361">
        <f t="shared" ref="I117:I135" ca="1" si="37">IF(D117="HDW",G117*F117,0)</f>
        <v>0</v>
      </c>
      <c r="J117" s="361">
        <f t="shared" ref="J117:J135" ca="1" si="38">IF(D117="JASA",G117*F117,0)</f>
        <v>0</v>
      </c>
      <c r="K117" s="362">
        <f t="shared" ref="K117:K135" ca="1" si="39">SUM(H117:J117)</f>
        <v>0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507"/>
      <c r="C118" s="510" t="s">
        <v>1635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484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36"/>
        <v>0</v>
      </c>
      <c r="I118" s="361">
        <f t="shared" ca="1" si="37"/>
        <v>0</v>
      </c>
      <c r="J118" s="361">
        <f t="shared" ca="1" si="38"/>
        <v>0</v>
      </c>
      <c r="K118" s="362">
        <f t="shared" ca="1" si="39"/>
        <v>0</v>
      </c>
      <c r="L118" s="342"/>
      <c r="M118" s="342"/>
      <c r="N118" s="369"/>
      <c r="O118" s="344"/>
      <c r="P118" s="344"/>
      <c r="Q118" s="398"/>
      <c r="R118" s="344"/>
      <c r="S118" s="398"/>
      <c r="T118" s="399"/>
      <c r="U118" s="399"/>
      <c r="V118" s="399"/>
    </row>
    <row r="119" spans="1:22" s="365" customFormat="1">
      <c r="A119" s="336"/>
      <c r="B119" s="507"/>
      <c r="C119" s="508"/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484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36"/>
        <v>0</v>
      </c>
      <c r="I119" s="361">
        <f t="shared" ca="1" si="37"/>
        <v>0</v>
      </c>
      <c r="J119" s="361">
        <f t="shared" ca="1" si="38"/>
        <v>0</v>
      </c>
      <c r="K119" s="362">
        <f t="shared" ca="1" si="39"/>
        <v>0</v>
      </c>
      <c r="L119" s="342"/>
      <c r="M119" s="342"/>
      <c r="N119" s="369"/>
      <c r="O119" s="344"/>
      <c r="P119" s="344"/>
      <c r="Q119" s="398"/>
      <c r="R119" s="344"/>
      <c r="S119" s="398"/>
      <c r="T119" s="399"/>
      <c r="U119" s="399"/>
      <c r="V119" s="399"/>
    </row>
    <row r="120" spans="1:22" s="365" customFormat="1">
      <c r="A120" s="336"/>
      <c r="B120" s="520" t="s">
        <v>1035</v>
      </c>
      <c r="C120" s="521" t="s">
        <v>1636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522">
        <v>1</v>
      </c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36"/>
        <v>0</v>
      </c>
      <c r="I120" s="361">
        <f t="shared" ca="1" si="37"/>
        <v>0</v>
      </c>
      <c r="J120" s="361">
        <f t="shared" ca="1" si="38"/>
        <v>0</v>
      </c>
      <c r="K120" s="362">
        <f t="shared" ca="1" si="39"/>
        <v>0</v>
      </c>
      <c r="L120" s="342"/>
      <c r="M120" s="342"/>
      <c r="N120" s="369"/>
      <c r="O120" s="344"/>
      <c r="P120" s="344"/>
      <c r="Q120" s="398"/>
      <c r="R120" s="344"/>
      <c r="S120" s="398"/>
      <c r="T120" s="399"/>
      <c r="U120" s="399"/>
      <c r="V120" s="399"/>
    </row>
    <row r="121" spans="1:22" s="365" customFormat="1">
      <c r="A121" s="336"/>
      <c r="B121" s="520">
        <v>1</v>
      </c>
      <c r="C121" s="109" t="s">
        <v>1129</v>
      </c>
      <c r="D121" s="358" t="str">
        <f ca="1">IF(ISERROR(OFFSET('HARGA SATUAN'!$D$6,MATCH(RAB!C121,'HARGA SATUAN'!$C$7:$C$1492,0),0)),"",OFFSET('HARGA SATUAN'!$D$6,MATCH(RAB!C121,'HARGA SATUAN'!$C$7:$C$1492,0),0))</f>
        <v>MDU-KD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522">
        <f>F120*1</f>
        <v>1</v>
      </c>
      <c r="G121" s="360">
        <f ca="1">IF(ISERROR(OFFSET('HARGA SATUAN'!$I$6,MATCH(RAB!C121,'HARGA SATUAN'!$C$7:$C$1492,0),0)),0,OFFSET('HARGA SATUAN'!$I$6,MATCH(RAB!C121,'HARGA SATUAN'!$C$7:$C$1492,0),0))</f>
        <v>176900</v>
      </c>
      <c r="H121" s="361">
        <f t="shared" ca="1" si="36"/>
        <v>176900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176900</v>
      </c>
      <c r="L121" s="342"/>
      <c r="M121" s="342"/>
      <c r="N121" s="369"/>
      <c r="O121" s="344"/>
      <c r="P121" s="344"/>
      <c r="Q121" s="398"/>
      <c r="R121" s="344"/>
      <c r="S121" s="398"/>
      <c r="T121" s="399"/>
      <c r="U121" s="399"/>
      <c r="V121" s="399"/>
    </row>
    <row r="122" spans="1:22" s="365" customFormat="1">
      <c r="A122" s="336"/>
      <c r="B122" s="520">
        <v>2</v>
      </c>
      <c r="C122" s="521" t="s">
        <v>26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522">
        <f>F120*2</f>
        <v>2</v>
      </c>
      <c r="G122" s="360">
        <f ca="1">IF(ISERROR(OFFSET('HARGA SATUAN'!$I$6,MATCH(RAB!C122,'HARGA SATUAN'!$C$7:$C$1492,0),0)),0,OFFSET('HARGA SATUAN'!$I$6,MATCH(RAB!C122,'HARGA SATUAN'!$C$7:$C$1492,0),0))</f>
        <v>2500</v>
      </c>
      <c r="H122" s="361">
        <f t="shared" ca="1" si="36"/>
        <v>0</v>
      </c>
      <c r="I122" s="361">
        <f t="shared" ca="1" si="37"/>
        <v>5000</v>
      </c>
      <c r="J122" s="361">
        <f t="shared" ca="1" si="38"/>
        <v>0</v>
      </c>
      <c r="K122" s="362">
        <f t="shared" ca="1" si="39"/>
        <v>5000</v>
      </c>
      <c r="L122" s="342"/>
      <c r="M122" s="342"/>
      <c r="N122" s="369"/>
      <c r="O122" s="344"/>
      <c r="P122" s="344"/>
      <c r="Q122" s="398"/>
      <c r="R122" s="344"/>
      <c r="S122" s="398"/>
      <c r="T122" s="399"/>
      <c r="U122" s="399"/>
      <c r="V122" s="399"/>
    </row>
    <row r="123" spans="1:22" s="365" customFormat="1">
      <c r="A123" s="336"/>
      <c r="B123" s="520">
        <v>3</v>
      </c>
      <c r="C123" s="521" t="s">
        <v>38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22">
        <f>F121*1.8</f>
        <v>1.8</v>
      </c>
      <c r="G123" s="360">
        <f ca="1">IF(ISERROR(OFFSET('HARGA SATUAN'!$I$6,MATCH(RAB!C123,'HARGA SATUAN'!$C$7:$C$1492,0),0)),0,OFFSET('HARGA SATUAN'!$I$6,MATCH(RAB!C123,'HARGA SATUAN'!$C$7:$C$1492,0),0))</f>
        <v>8550</v>
      </c>
      <c r="H123" s="361">
        <f t="shared" ca="1" si="36"/>
        <v>0</v>
      </c>
      <c r="I123" s="361">
        <f t="shared" ca="1" si="37"/>
        <v>15390</v>
      </c>
      <c r="J123" s="361">
        <f t="shared" ca="1" si="38"/>
        <v>0</v>
      </c>
      <c r="K123" s="362">
        <f t="shared" ca="1" si="39"/>
        <v>15390</v>
      </c>
      <c r="L123" s="342"/>
      <c r="M123" s="342"/>
      <c r="N123" s="369"/>
      <c r="O123" s="344"/>
      <c r="P123" s="344"/>
      <c r="Q123" s="398"/>
      <c r="R123" s="344"/>
      <c r="S123" s="398"/>
      <c r="T123" s="399"/>
      <c r="U123" s="399"/>
      <c r="V123" s="399"/>
    </row>
    <row r="124" spans="1:22" s="365" customFormat="1">
      <c r="A124" s="336"/>
      <c r="B124" s="520">
        <v>4</v>
      </c>
      <c r="C124" s="521" t="s">
        <v>744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22">
        <f>F120*1</f>
        <v>1</v>
      </c>
      <c r="G124" s="360">
        <f ca="1">IF(ISERROR(OFFSET('HARGA SATUAN'!$I$6,MATCH(RAB!C124,'HARGA SATUAN'!$C$7:$C$1492,0),0)),0,OFFSET('HARGA SATUAN'!$I$6,MATCH(RAB!C124,'HARGA SATUAN'!$C$7:$C$1492,0),0))</f>
        <v>31200</v>
      </c>
      <c r="H124" s="361">
        <f t="shared" ca="1" si="36"/>
        <v>0</v>
      </c>
      <c r="I124" s="361">
        <f t="shared" ca="1" si="37"/>
        <v>0</v>
      </c>
      <c r="J124" s="361">
        <f t="shared" ca="1" si="38"/>
        <v>31200</v>
      </c>
      <c r="K124" s="362">
        <f t="shared" ca="1" si="39"/>
        <v>31200</v>
      </c>
      <c r="L124" s="342"/>
      <c r="M124" s="342"/>
      <c r="N124" s="369"/>
      <c r="O124" s="344"/>
      <c r="P124" s="344"/>
      <c r="Q124" s="398"/>
      <c r="R124" s="344"/>
      <c r="S124" s="398"/>
      <c r="T124" s="399"/>
      <c r="U124" s="399"/>
      <c r="V124" s="399"/>
    </row>
    <row r="125" spans="1:22" s="365" customFormat="1">
      <c r="A125" s="336"/>
      <c r="B125" s="507"/>
      <c r="C125" s="508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48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36"/>
        <v>0</v>
      </c>
      <c r="I125" s="361">
        <f t="shared" ca="1" si="37"/>
        <v>0</v>
      </c>
      <c r="J125" s="361">
        <f t="shared" ca="1" si="38"/>
        <v>0</v>
      </c>
      <c r="K125" s="362">
        <f t="shared" ca="1" si="39"/>
        <v>0</v>
      </c>
      <c r="L125" s="342"/>
      <c r="M125" s="342"/>
      <c r="N125" s="369"/>
      <c r="O125" s="344"/>
      <c r="P125" s="344"/>
      <c r="Q125" s="398"/>
      <c r="R125" s="344"/>
      <c r="S125" s="398"/>
      <c r="T125" s="399"/>
      <c r="U125" s="399"/>
      <c r="V125" s="399"/>
    </row>
    <row r="126" spans="1:22" s="365" customFormat="1">
      <c r="A126" s="336"/>
      <c r="B126" s="529" t="s">
        <v>1035</v>
      </c>
      <c r="C126" s="530" t="s">
        <v>1646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22">
        <v>1</v>
      </c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ref="H126:H134" ca="1" si="40">IF(OR(D126="MDU",D126="MDU-KD"),(IF($O$3="RAB NON MDU","PLN KD",G126*F126)),0)</f>
        <v>0</v>
      </c>
      <c r="I126" s="361">
        <f t="shared" ref="I126:I134" ca="1" si="41">IF(D126="HDW",G126*F126,0)</f>
        <v>0</v>
      </c>
      <c r="J126" s="361">
        <f t="shared" ref="J126:J134" ca="1" si="42">IF(D126="JASA",G126*F126,0)</f>
        <v>0</v>
      </c>
      <c r="K126" s="362">
        <f t="shared" ref="K126:K134" ca="1" si="43">SUM(H126:J126)</f>
        <v>0</v>
      </c>
      <c r="L126" s="342"/>
      <c r="M126" s="342"/>
      <c r="N126" s="369"/>
      <c r="O126" s="344"/>
      <c r="P126" s="344"/>
      <c r="Q126" s="398"/>
      <c r="R126" s="344"/>
      <c r="S126" s="398"/>
      <c r="T126" s="399"/>
      <c r="U126" s="399"/>
      <c r="V126" s="399"/>
    </row>
    <row r="127" spans="1:22" s="365" customFormat="1">
      <c r="A127" s="336"/>
      <c r="B127" s="529">
        <v>1</v>
      </c>
      <c r="C127" s="109" t="s">
        <v>1129</v>
      </c>
      <c r="D127" s="358" t="str">
        <f ca="1">IF(ISERROR(OFFSET('HARGA SATUAN'!$D$6,MATCH(RAB!C127,'HARGA SATUAN'!$C$7:$C$1492,0),0)),"",OFFSET('HARGA SATUAN'!$D$6,MATCH(RAB!C127,'HARGA SATUAN'!$C$7:$C$1492,0),0))</f>
        <v>MDU-KD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22">
        <f>F126*1</f>
        <v>1</v>
      </c>
      <c r="G127" s="360">
        <f ca="1">IF(ISERROR(OFFSET('HARGA SATUAN'!$I$6,MATCH(RAB!C127,'HARGA SATUAN'!$C$7:$C$1492,0),0)),0,OFFSET('HARGA SATUAN'!$I$6,MATCH(RAB!C127,'HARGA SATUAN'!$C$7:$C$1492,0),0))</f>
        <v>176900</v>
      </c>
      <c r="H127" s="361">
        <f t="shared" ca="1" si="40"/>
        <v>176900</v>
      </c>
      <c r="I127" s="361">
        <f t="shared" ca="1" si="41"/>
        <v>0</v>
      </c>
      <c r="J127" s="361">
        <f t="shared" ca="1" si="42"/>
        <v>0</v>
      </c>
      <c r="K127" s="362">
        <f t="shared" ca="1" si="43"/>
        <v>176900</v>
      </c>
      <c r="L127" s="342"/>
      <c r="M127" s="342"/>
      <c r="N127" s="369"/>
      <c r="O127" s="344"/>
      <c r="P127" s="344"/>
      <c r="Q127" s="398"/>
      <c r="R127" s="344"/>
      <c r="S127" s="398"/>
      <c r="T127" s="399"/>
      <c r="U127" s="399"/>
      <c r="V127" s="399"/>
    </row>
    <row r="128" spans="1:22" s="365" customFormat="1">
      <c r="A128" s="336"/>
      <c r="B128" s="529">
        <v>2</v>
      </c>
      <c r="C128" s="530" t="s">
        <v>37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22">
        <f>F126*1</f>
        <v>1</v>
      </c>
      <c r="G128" s="360">
        <f ca="1">IF(ISERROR(OFFSET('HARGA SATUAN'!$I$6,MATCH(RAB!C128,'HARGA SATUAN'!$C$7:$C$1492,0),0)),0,OFFSET('HARGA SATUAN'!$I$6,MATCH(RAB!C128,'HARGA SATUAN'!$C$7:$C$1492,0),0))</f>
        <v>63500</v>
      </c>
      <c r="H128" s="361">
        <f t="shared" ca="1" si="40"/>
        <v>0</v>
      </c>
      <c r="I128" s="361">
        <f t="shared" ca="1" si="41"/>
        <v>63500</v>
      </c>
      <c r="J128" s="361">
        <f t="shared" ca="1" si="42"/>
        <v>0</v>
      </c>
      <c r="K128" s="362">
        <f t="shared" ca="1" si="43"/>
        <v>63500</v>
      </c>
      <c r="L128" s="342"/>
      <c r="M128" s="342"/>
      <c r="N128" s="369"/>
      <c r="O128" s="344"/>
      <c r="P128" s="344"/>
      <c r="Q128" s="398"/>
      <c r="R128" s="344"/>
      <c r="S128" s="398"/>
      <c r="T128" s="399"/>
      <c r="U128" s="399"/>
      <c r="V128" s="399"/>
    </row>
    <row r="129" spans="1:22" s="365" customFormat="1">
      <c r="A129" s="336"/>
      <c r="B129" s="529">
        <v>3</v>
      </c>
      <c r="C129" s="530" t="s">
        <v>38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Mtr</v>
      </c>
      <c r="F129" s="522">
        <f>F126*1</f>
        <v>1</v>
      </c>
      <c r="G129" s="360">
        <f ca="1">IF(ISERROR(OFFSET('HARGA SATUAN'!$I$6,MATCH(RAB!C129,'HARGA SATUAN'!$C$7:$C$1492,0),0)),0,OFFSET('HARGA SATUAN'!$I$6,MATCH(RAB!C129,'HARGA SATUAN'!$C$7:$C$1492,0),0))</f>
        <v>8550</v>
      </c>
      <c r="H129" s="361">
        <f t="shared" ca="1" si="40"/>
        <v>0</v>
      </c>
      <c r="I129" s="361">
        <f t="shared" ca="1" si="41"/>
        <v>8550</v>
      </c>
      <c r="J129" s="361">
        <f t="shared" ca="1" si="42"/>
        <v>0</v>
      </c>
      <c r="K129" s="362">
        <f t="shared" ca="1" si="43"/>
        <v>8550</v>
      </c>
      <c r="L129" s="342"/>
      <c r="M129" s="342"/>
      <c r="N129" s="369"/>
      <c r="O129" s="344"/>
      <c r="P129" s="344"/>
      <c r="Q129" s="398"/>
      <c r="R129" s="344"/>
      <c r="S129" s="398"/>
      <c r="T129" s="399"/>
      <c r="U129" s="399"/>
      <c r="V129" s="399"/>
    </row>
    <row r="130" spans="1:22" s="365" customFormat="1">
      <c r="A130" s="336"/>
      <c r="B130" s="529">
        <v>4</v>
      </c>
      <c r="C130" s="530" t="s">
        <v>743</v>
      </c>
      <c r="D130" s="358" t="str">
        <f ca="1">IF(ISERROR(OFFSET('HARGA SATUAN'!$D$6,MATCH(RAB!C130,'HARGA SATUAN'!$C$7:$C$1492,0),0)),"",OFFSET('HARGA SATUAN'!$D$6,MATCH(RAB!C130,'HARGA SATUAN'!$C$7:$C$1492,0),0))</f>
        <v>JASA</v>
      </c>
      <c r="E130" s="359" t="str">
        <f ca="1">IF(B130="+","Unit",IF(ISERROR(OFFSET('HARGA SATUAN'!$E$6,MATCH(RAB!C130,'HARGA SATUAN'!$C$7:$C$1492,0),0)),"",OFFSET('HARGA SATUAN'!$E$6,MATCH(RAB!C130,'HARGA SATUAN'!$C$7:$C$1492,0),0)))</f>
        <v>Unit</v>
      </c>
      <c r="F130" s="522">
        <f>F126*1</f>
        <v>1</v>
      </c>
      <c r="G130" s="360">
        <f ca="1">IF(ISERROR(OFFSET('HARGA SATUAN'!$I$6,MATCH(RAB!C130,'HARGA SATUAN'!$C$7:$C$1492,0),0)),0,OFFSET('HARGA SATUAN'!$I$6,MATCH(RAB!C130,'HARGA SATUAN'!$C$7:$C$1492,0),0))</f>
        <v>31200</v>
      </c>
      <c r="H130" s="361">
        <f t="shared" ca="1" si="40"/>
        <v>0</v>
      </c>
      <c r="I130" s="361">
        <f t="shared" ca="1" si="41"/>
        <v>0</v>
      </c>
      <c r="J130" s="361">
        <f t="shared" ca="1" si="42"/>
        <v>31200</v>
      </c>
      <c r="K130" s="362">
        <f t="shared" ca="1" si="43"/>
        <v>31200</v>
      </c>
      <c r="L130" s="342"/>
      <c r="M130" s="342"/>
      <c r="N130" s="369"/>
      <c r="O130" s="344"/>
      <c r="P130" s="344"/>
      <c r="Q130" s="398"/>
      <c r="R130" s="344"/>
      <c r="S130" s="398"/>
      <c r="T130" s="399"/>
      <c r="U130" s="399"/>
      <c r="V130" s="399"/>
    </row>
    <row r="131" spans="1:22" s="365" customFormat="1">
      <c r="A131" s="336"/>
      <c r="B131" s="529"/>
      <c r="C131" s="530"/>
      <c r="D131" s="358"/>
      <c r="E131" s="359"/>
      <c r="F131" s="522"/>
      <c r="G131" s="360"/>
      <c r="H131" s="361"/>
      <c r="I131" s="361"/>
      <c r="J131" s="361"/>
      <c r="K131" s="362"/>
      <c r="L131" s="342"/>
      <c r="M131" s="342"/>
      <c r="N131" s="369"/>
      <c r="O131" s="344"/>
      <c r="P131" s="344"/>
      <c r="Q131" s="398"/>
      <c r="R131" s="344"/>
      <c r="S131" s="398"/>
      <c r="T131" s="399"/>
      <c r="U131" s="399"/>
      <c r="V131" s="399"/>
    </row>
    <row r="132" spans="1:22" s="365" customFormat="1">
      <c r="A132" s="336"/>
      <c r="B132" s="507"/>
      <c r="C132" s="508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484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40"/>
        <v>0</v>
      </c>
      <c r="I132" s="361">
        <f t="shared" ca="1" si="41"/>
        <v>0</v>
      </c>
      <c r="J132" s="361">
        <f t="shared" ca="1" si="42"/>
        <v>0</v>
      </c>
      <c r="K132" s="362">
        <f t="shared" ca="1" si="43"/>
        <v>0</v>
      </c>
      <c r="L132" s="342"/>
      <c r="M132" s="342"/>
      <c r="N132" s="369"/>
      <c r="O132" s="344"/>
      <c r="P132" s="344"/>
      <c r="Q132" s="398"/>
      <c r="R132" s="344"/>
      <c r="S132" s="398"/>
      <c r="T132" s="399"/>
      <c r="U132" s="399"/>
      <c r="V132" s="399"/>
    </row>
    <row r="133" spans="1:22" s="365" customFormat="1">
      <c r="A133" s="336"/>
      <c r="B133" s="373" t="s">
        <v>1549</v>
      </c>
      <c r="C133" s="374" t="s">
        <v>1619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484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40"/>
        <v>0</v>
      </c>
      <c r="I133" s="361">
        <f t="shared" ca="1" si="41"/>
        <v>0</v>
      </c>
      <c r="J133" s="361">
        <f t="shared" ca="1" si="42"/>
        <v>0</v>
      </c>
      <c r="K133" s="362">
        <f t="shared" ca="1" si="43"/>
        <v>0</v>
      </c>
      <c r="L133" s="342"/>
      <c r="M133" s="342"/>
      <c r="N133" s="369"/>
      <c r="O133" s="344"/>
      <c r="P133" s="344"/>
      <c r="Q133" s="398"/>
      <c r="R133" s="344"/>
      <c r="S133" s="398"/>
      <c r="T133" s="399"/>
      <c r="U133" s="399"/>
      <c r="V133" s="399"/>
    </row>
    <row r="134" spans="1:22" s="365" customFormat="1">
      <c r="A134" s="336"/>
      <c r="B134" s="373"/>
      <c r="C134" s="374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84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40"/>
        <v>0</v>
      </c>
      <c r="I134" s="361">
        <f t="shared" ca="1" si="41"/>
        <v>0</v>
      </c>
      <c r="J134" s="361">
        <f t="shared" ca="1" si="42"/>
        <v>0</v>
      </c>
      <c r="K134" s="362">
        <f t="shared" ca="1" si="43"/>
        <v>0</v>
      </c>
      <c r="L134" s="342"/>
      <c r="M134" s="342"/>
      <c r="N134" s="369"/>
      <c r="O134" s="344"/>
      <c r="P134" s="344"/>
      <c r="Q134" s="398"/>
      <c r="R134" s="344"/>
      <c r="S134" s="398"/>
      <c r="T134" s="399"/>
      <c r="U134" s="399"/>
      <c r="V134" s="399"/>
    </row>
    <row r="135" spans="1:22" s="365" customFormat="1">
      <c r="A135" s="336"/>
      <c r="B135" s="518" t="s">
        <v>1035</v>
      </c>
      <c r="C135" s="526" t="s">
        <v>1640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484">
        <v>1</v>
      </c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36"/>
        <v>0</v>
      </c>
      <c r="I135" s="361">
        <f t="shared" ca="1" si="37"/>
        <v>0</v>
      </c>
      <c r="J135" s="361">
        <f t="shared" ca="1" si="38"/>
        <v>0</v>
      </c>
      <c r="K135" s="362">
        <f t="shared" ca="1" si="39"/>
        <v>0</v>
      </c>
      <c r="L135" s="342"/>
      <c r="M135" s="342"/>
      <c r="N135" s="369"/>
      <c r="O135" s="344"/>
      <c r="P135" s="344"/>
      <c r="Q135" s="344"/>
      <c r="R135" s="344"/>
      <c r="S135" s="344"/>
      <c r="T135" s="403"/>
      <c r="U135" s="403"/>
      <c r="V135" s="403"/>
    </row>
    <row r="136" spans="1:22" s="365" customFormat="1">
      <c r="A136" s="336"/>
      <c r="B136" s="518">
        <v>1</v>
      </c>
      <c r="C136" s="109" t="s">
        <v>1147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484">
        <f>F135*1</f>
        <v>1</v>
      </c>
      <c r="G136" s="360">
        <f ca="1">IF(ISERROR(OFFSET('HARGA SATUAN'!$I$6,MATCH(RAB!C136,'HARGA SATUAN'!$C$7:$C$1492,0),0)),0,OFFSET('HARGA SATUAN'!$I$6,MATCH(RAB!C136,'HARGA SATUAN'!$C$7:$C$1492,0),0))</f>
        <v>56838600</v>
      </c>
      <c r="H136" s="361">
        <f t="shared" ref="H136:H193" ca="1" si="44">IF(OR(D136="MDU",D136="MDU-KD"),(IF($O$3="RAB NON MDU","PLN KD",G136*F136)),0)</f>
        <v>56838600</v>
      </c>
      <c r="I136" s="361">
        <f t="shared" ref="I136:I193" ca="1" si="45">IF(D136="HDW",G136*F136,0)</f>
        <v>0</v>
      </c>
      <c r="J136" s="361">
        <f t="shared" ref="J136:J193" ca="1" si="46">IF(D136="JASA",G136*F136,0)</f>
        <v>0</v>
      </c>
      <c r="K136" s="362">
        <f t="shared" ref="K136:K193" ca="1" si="47">SUM(H136:J136)</f>
        <v>56838600</v>
      </c>
      <c r="L136" s="342"/>
      <c r="M136" s="342"/>
      <c r="N136" s="369"/>
      <c r="O136" s="344"/>
      <c r="P136" s="344"/>
      <c r="Q136" s="344"/>
      <c r="R136" s="344"/>
      <c r="S136" s="344"/>
      <c r="T136" s="399"/>
      <c r="U136" s="399"/>
      <c r="V136" s="399"/>
    </row>
    <row r="137" spans="1:22" s="365" customFormat="1">
      <c r="A137" s="336"/>
      <c r="B137" s="511">
        <v>2</v>
      </c>
      <c r="C137" s="512" t="s">
        <v>1626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/>
      </c>
      <c r="F137" s="513"/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44"/>
        <v>0</v>
      </c>
      <c r="I137" s="361">
        <f t="shared" ca="1" si="45"/>
        <v>0</v>
      </c>
      <c r="J137" s="361">
        <f t="shared" ca="1" si="46"/>
        <v>0</v>
      </c>
      <c r="K137" s="362">
        <f t="shared" ca="1" si="47"/>
        <v>0</v>
      </c>
      <c r="L137" s="342"/>
      <c r="M137" s="342"/>
      <c r="N137" s="369"/>
      <c r="O137" s="344"/>
      <c r="P137" s="344"/>
      <c r="Q137" s="344"/>
      <c r="R137" s="344"/>
      <c r="S137" s="344"/>
      <c r="T137" s="399"/>
      <c r="U137" s="399"/>
      <c r="V137" s="399"/>
    </row>
    <row r="138" spans="1:22" s="365" customFormat="1">
      <c r="A138" s="336"/>
      <c r="B138" s="518"/>
      <c r="C138" s="512" t="s">
        <v>65</v>
      </c>
      <c r="D138" s="358" t="str">
        <f ca="1">IF(ISERROR(OFFSET('HARGA SATUAN'!$D$6,MATCH(RAB!C138,'HARGA SATUAN'!$C$7:$C$1492,0),0)),"",OFFSET('HARGA SATUAN'!$D$6,MATCH(RAB!C138,'HARGA SATUAN'!$C$7:$C$1492,0),0))</f>
        <v>MDU-KD</v>
      </c>
      <c r="E138" s="359" t="str">
        <f ca="1">IF(B138="+","Unit",IF(ISERROR(OFFSET('HARGA SATUAN'!$E$6,MATCH(RAB!C138,'HARGA SATUAN'!$C$7:$C$1492,0),0)),"",OFFSET('HARGA SATUAN'!$E$6,MATCH(RAB!C138,'HARGA SATUAN'!$C$7:$C$1492,0),0)))</f>
        <v>Mtr</v>
      </c>
      <c r="F138" s="484">
        <f>F135*(3*3)</f>
        <v>9</v>
      </c>
      <c r="G138" s="360">
        <f ca="1">IF(ISERROR(OFFSET('HARGA SATUAN'!$I$6,MATCH(RAB!C138,'HARGA SATUAN'!$C$7:$C$1492,0),0)),0,OFFSET('HARGA SATUAN'!$I$6,MATCH(RAB!C138,'HARGA SATUAN'!$C$7:$C$1492,0),0))</f>
        <v>14200</v>
      </c>
      <c r="H138" s="361">
        <f t="shared" ca="1" si="44"/>
        <v>127800</v>
      </c>
      <c r="I138" s="361">
        <f t="shared" ca="1" si="45"/>
        <v>0</v>
      </c>
      <c r="J138" s="361">
        <f t="shared" ca="1" si="46"/>
        <v>0</v>
      </c>
      <c r="K138" s="362">
        <f t="shared" ca="1" si="47"/>
        <v>127800</v>
      </c>
      <c r="L138" s="342"/>
      <c r="M138" s="342"/>
      <c r="N138" s="369"/>
      <c r="O138" s="344"/>
      <c r="P138" s="344"/>
      <c r="Q138" s="344"/>
      <c r="R138" s="344"/>
      <c r="S138" s="344"/>
      <c r="T138" s="403"/>
      <c r="U138" s="403"/>
      <c r="V138" s="403"/>
    </row>
    <row r="139" spans="1:22" s="365" customFormat="1">
      <c r="A139" s="336"/>
      <c r="B139" s="518"/>
      <c r="C139" s="109" t="s">
        <v>1402</v>
      </c>
      <c r="D139" s="358" t="str">
        <f ca="1">IF(ISERROR(OFFSET('HARGA SATUAN'!$D$6,MATCH(RAB!C139,'HARGA SATUAN'!$C$7:$C$1492,0),0)),"",OFFSET('HARGA SATUAN'!$D$6,MATCH(RAB!C139,'HARGA SATUAN'!$C$7:$C$1492,0),0))</f>
        <v>MDU-KD</v>
      </c>
      <c r="E139" s="359" t="str">
        <f ca="1">IF(B139="+","Unit",IF(ISERROR(OFFSET('HARGA SATUAN'!$E$6,MATCH(RAB!C139,'HARGA SATUAN'!$C$7:$C$1492,0),0)),"",OFFSET('HARGA SATUAN'!$E$6,MATCH(RAB!C139,'HARGA SATUAN'!$C$7:$C$1492,0),0)))</f>
        <v>Mtr</v>
      </c>
      <c r="F139" s="484">
        <f>F135*3</f>
        <v>3</v>
      </c>
      <c r="G139" s="360">
        <f ca="1">IF(ISERROR(OFFSET('HARGA SATUAN'!$I$6,MATCH(RAB!C139,'HARGA SATUAN'!$C$7:$C$1492,0),0)),0,OFFSET('HARGA SATUAN'!$I$6,MATCH(RAB!C139,'HARGA SATUAN'!$C$7:$C$1492,0),0))</f>
        <v>53300</v>
      </c>
      <c r="H139" s="361">
        <f t="shared" ca="1" si="44"/>
        <v>159900</v>
      </c>
      <c r="I139" s="361">
        <f t="shared" ca="1" si="45"/>
        <v>0</v>
      </c>
      <c r="J139" s="361">
        <f t="shared" ca="1" si="46"/>
        <v>0</v>
      </c>
      <c r="K139" s="362">
        <f t="shared" ca="1" si="47"/>
        <v>159900</v>
      </c>
      <c r="L139" s="406" t="e">
        <f ca="1">PROPER([94]!terbilang(K199))</f>
        <v>#NAME?</v>
      </c>
      <c r="M139" s="406"/>
      <c r="N139" s="369"/>
      <c r="O139" s="344"/>
      <c r="P139" s="344"/>
      <c r="Q139" s="344"/>
    </row>
    <row r="140" spans="1:22">
      <c r="B140" s="518">
        <v>3</v>
      </c>
      <c r="C140" s="109" t="s">
        <v>559</v>
      </c>
      <c r="D140" s="358" t="str">
        <f ca="1">IF(ISERROR(OFFSET('HARGA SATUAN'!$D$6,MATCH(RAB!C140,'HARGA SATUAN'!$C$7:$C$1492,0),0)),"",OFFSET('HARGA SATUAN'!$D$6,MATCH(RAB!C140,'HARGA SATUAN'!$C$7:$C$1492,0),0))</f>
        <v>MDU-KD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484">
        <f>F135*3</f>
        <v>3</v>
      </c>
      <c r="G140" s="360">
        <f ca="1">IF(ISERROR(OFFSET('HARGA SATUAN'!$I$6,MATCH(RAB!C140,'HARGA SATUAN'!$C$7:$C$1492,0),0)),0,OFFSET('HARGA SATUAN'!$I$6,MATCH(RAB!C140,'HARGA SATUAN'!$C$7:$C$1492,0),0))</f>
        <v>725900</v>
      </c>
      <c r="H140" s="361">
        <f t="shared" ca="1" si="44"/>
        <v>2177700</v>
      </c>
      <c r="I140" s="361">
        <f t="shared" ca="1" si="45"/>
        <v>0</v>
      </c>
      <c r="J140" s="361">
        <f t="shared" ca="1" si="46"/>
        <v>0</v>
      </c>
      <c r="K140" s="362">
        <f t="shared" ca="1" si="47"/>
        <v>2177700</v>
      </c>
    </row>
    <row r="141" spans="1:22">
      <c r="B141" s="518">
        <v>4</v>
      </c>
      <c r="C141" s="519" t="s">
        <v>535</v>
      </c>
      <c r="D141" s="358" t="str">
        <f ca="1">IF(ISERROR(OFFSET('HARGA SATUAN'!$D$6,MATCH(RAB!C141,'HARGA SATUAN'!$C$7:$C$1492,0),0)),"",OFFSET('HARGA SATUAN'!$D$6,MATCH(RAB!C141,'HARGA SATUAN'!$C$7:$C$1492,0),0))</f>
        <v>MDU-KD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484">
        <f>F135*3</f>
        <v>3</v>
      </c>
      <c r="G141" s="360">
        <f ca="1">IF(ISERROR(OFFSET('HARGA SATUAN'!$I$6,MATCH(RAB!C141,'HARGA SATUAN'!$C$7:$C$1492,0),0)),0,OFFSET('HARGA SATUAN'!$I$6,MATCH(RAB!C141,'HARGA SATUAN'!$C$7:$C$1492,0),0))</f>
        <v>848250</v>
      </c>
      <c r="H141" s="361">
        <f t="shared" ca="1" si="44"/>
        <v>2544750</v>
      </c>
      <c r="I141" s="361">
        <f t="shared" ca="1" si="45"/>
        <v>0</v>
      </c>
      <c r="J141" s="361">
        <f t="shared" ca="1" si="46"/>
        <v>0</v>
      </c>
      <c r="K141" s="362">
        <f t="shared" ca="1" si="47"/>
        <v>2544750</v>
      </c>
    </row>
    <row r="142" spans="1:22">
      <c r="B142" s="518">
        <v>5</v>
      </c>
      <c r="C142" s="519" t="s">
        <v>55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484">
        <f>F135*3</f>
        <v>3</v>
      </c>
      <c r="G142" s="360">
        <f ca="1">IF(ISERROR(OFFSET('HARGA SATUAN'!$I$6,MATCH(RAB!C142,'HARGA SATUAN'!$C$7:$C$1492,0),0)),0,OFFSET('HARGA SATUAN'!$I$6,MATCH(RAB!C142,'HARGA SATUAN'!$C$7:$C$1492,0),0))</f>
        <v>18000</v>
      </c>
      <c r="H142" s="361">
        <f t="shared" ca="1" si="44"/>
        <v>0</v>
      </c>
      <c r="I142" s="361">
        <f t="shared" ca="1" si="45"/>
        <v>54000</v>
      </c>
      <c r="J142" s="361">
        <f t="shared" ca="1" si="46"/>
        <v>0</v>
      </c>
      <c r="K142" s="362">
        <f t="shared" ca="1" si="47"/>
        <v>54000</v>
      </c>
    </row>
    <row r="143" spans="1:22">
      <c r="B143" s="518">
        <v>6</v>
      </c>
      <c r="C143" s="109" t="s">
        <v>1581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484">
        <f>F135*13</f>
        <v>13</v>
      </c>
      <c r="G143" s="360">
        <f ca="1">IF(ISERROR(OFFSET('HARGA SATUAN'!$I$6,MATCH(RAB!C143,'HARGA SATUAN'!$C$7:$C$1492,0),0)),0,OFFSET('HARGA SATUAN'!$I$6,MATCH(RAB!C143,'HARGA SATUAN'!$C$7:$C$1492,0),0))</f>
        <v>73300</v>
      </c>
      <c r="H143" s="361">
        <f t="shared" ca="1" si="44"/>
        <v>0</v>
      </c>
      <c r="I143" s="361">
        <f t="shared" ca="1" si="45"/>
        <v>952900</v>
      </c>
      <c r="J143" s="361">
        <f t="shared" ca="1" si="46"/>
        <v>0</v>
      </c>
      <c r="K143" s="362">
        <f t="shared" ca="1" si="47"/>
        <v>952900</v>
      </c>
    </row>
    <row r="144" spans="1:22">
      <c r="B144" s="518">
        <v>7</v>
      </c>
      <c r="C144" s="519" t="s">
        <v>163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484">
        <f>F135*28</f>
        <v>28</v>
      </c>
      <c r="G144" s="360">
        <f ca="1">IF(ISERROR(OFFSET('HARGA SATUAN'!$I$6,MATCH(RAB!C144,'HARGA SATUAN'!$C$7:$C$1492,0),0)),0,OFFSET('HARGA SATUAN'!$I$6,MATCH(RAB!C144,'HARGA SATUAN'!$C$7:$C$1492,0),0))</f>
        <v>7938</v>
      </c>
      <c r="H144" s="361">
        <f t="shared" ca="1" si="44"/>
        <v>0</v>
      </c>
      <c r="I144" s="361">
        <f t="shared" ca="1" si="45"/>
        <v>222264</v>
      </c>
      <c r="J144" s="361">
        <f t="shared" ca="1" si="46"/>
        <v>0</v>
      </c>
      <c r="K144" s="362">
        <f t="shared" ca="1" si="47"/>
        <v>222264</v>
      </c>
    </row>
    <row r="145" spans="2:11">
      <c r="B145" s="518">
        <v>8</v>
      </c>
      <c r="C145" s="519" t="s">
        <v>176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484">
        <f>F135*2</f>
        <v>2</v>
      </c>
      <c r="G145" s="360">
        <f ca="1">IF(ISERROR(OFFSET('HARGA SATUAN'!$I$6,MATCH(RAB!C145,'HARGA SATUAN'!$C$7:$C$1492,0),0)),0,OFFSET('HARGA SATUAN'!$I$6,MATCH(RAB!C145,'HARGA SATUAN'!$C$7:$C$1492,0),0))</f>
        <v>404600</v>
      </c>
      <c r="H145" s="361">
        <f t="shared" ca="1" si="44"/>
        <v>0</v>
      </c>
      <c r="I145" s="361">
        <f t="shared" ca="1" si="45"/>
        <v>809200</v>
      </c>
      <c r="J145" s="361">
        <f t="shared" ca="1" si="46"/>
        <v>0</v>
      </c>
      <c r="K145" s="362">
        <f t="shared" ca="1" si="47"/>
        <v>809200</v>
      </c>
    </row>
    <row r="146" spans="2:11">
      <c r="B146" s="518">
        <v>9</v>
      </c>
      <c r="C146" s="519" t="s">
        <v>184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484">
        <f>F135*3</f>
        <v>3</v>
      </c>
      <c r="G146" s="360">
        <f ca="1">IF(ISERROR(OFFSET('HARGA SATUAN'!$I$6,MATCH(RAB!C146,'HARGA SATUAN'!$C$7:$C$1492,0),0)),0,OFFSET('HARGA SATUAN'!$I$6,MATCH(RAB!C146,'HARGA SATUAN'!$C$7:$C$1492,0),0))</f>
        <v>15900</v>
      </c>
      <c r="H146" s="361">
        <f t="shared" ca="1" si="44"/>
        <v>0</v>
      </c>
      <c r="I146" s="361">
        <f t="shared" ca="1" si="45"/>
        <v>47700</v>
      </c>
      <c r="J146" s="361">
        <f t="shared" ca="1" si="46"/>
        <v>0</v>
      </c>
      <c r="K146" s="362">
        <f t="shared" ca="1" si="47"/>
        <v>47700</v>
      </c>
    </row>
    <row r="147" spans="2:11">
      <c r="B147" s="518">
        <v>10</v>
      </c>
      <c r="C147" s="519" t="s">
        <v>593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484">
        <f>F135*5</f>
        <v>5</v>
      </c>
      <c r="G147" s="360">
        <f ca="1">IF(ISERROR(OFFSET('HARGA SATUAN'!$I$6,MATCH(RAB!C147,'HARGA SATUAN'!$C$7:$C$1492,0),0)),0,OFFSET('HARGA SATUAN'!$I$6,MATCH(RAB!C147,'HARGA SATUAN'!$C$7:$C$1492,0),0))</f>
        <v>380500</v>
      </c>
      <c r="H147" s="361">
        <f t="shared" ca="1" si="44"/>
        <v>0</v>
      </c>
      <c r="I147" s="361">
        <f t="shared" ca="1" si="45"/>
        <v>1902500</v>
      </c>
      <c r="J147" s="361">
        <f t="shared" ca="1" si="46"/>
        <v>0</v>
      </c>
      <c r="K147" s="362">
        <f t="shared" ca="1" si="47"/>
        <v>1902500</v>
      </c>
    </row>
    <row r="148" spans="2:11">
      <c r="B148" s="518">
        <v>11</v>
      </c>
      <c r="C148" s="519" t="s">
        <v>594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Bh</v>
      </c>
      <c r="F148" s="484">
        <f>F135*4</f>
        <v>4</v>
      </c>
      <c r="G148" s="360">
        <f ca="1">IF(ISERROR(OFFSET('HARGA SATUAN'!$I$6,MATCH(RAB!C148,'HARGA SATUAN'!$C$7:$C$1492,0),0)),0,OFFSET('HARGA SATUAN'!$I$6,MATCH(RAB!C148,'HARGA SATUAN'!$C$7:$C$1492,0),0))</f>
        <v>559200</v>
      </c>
      <c r="H148" s="361">
        <f t="shared" ca="1" si="44"/>
        <v>0</v>
      </c>
      <c r="I148" s="361">
        <f t="shared" ca="1" si="45"/>
        <v>2236800</v>
      </c>
      <c r="J148" s="361">
        <f t="shared" ca="1" si="46"/>
        <v>0</v>
      </c>
      <c r="K148" s="362">
        <f t="shared" ca="1" si="47"/>
        <v>2236800</v>
      </c>
    </row>
    <row r="149" spans="2:11">
      <c r="B149" s="518">
        <v>12</v>
      </c>
      <c r="C149" s="519" t="s">
        <v>208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484">
        <f>F135*3</f>
        <v>3</v>
      </c>
      <c r="G149" s="360">
        <f ca="1">IF(ISERROR(OFFSET('HARGA SATUAN'!$I$6,MATCH(RAB!C149,'HARGA SATUAN'!$C$7:$C$1492,0),0)),0,OFFSET('HARGA SATUAN'!$I$6,MATCH(RAB!C149,'HARGA SATUAN'!$C$7:$C$1492,0),0))</f>
        <v>173400</v>
      </c>
      <c r="H149" s="361">
        <f t="shared" ca="1" si="44"/>
        <v>0</v>
      </c>
      <c r="I149" s="361">
        <f t="shared" ca="1" si="45"/>
        <v>520200</v>
      </c>
      <c r="J149" s="361">
        <f t="shared" ca="1" si="46"/>
        <v>0</v>
      </c>
      <c r="K149" s="362">
        <f t="shared" ca="1" si="47"/>
        <v>520200</v>
      </c>
    </row>
    <row r="150" spans="2:11">
      <c r="B150" s="518">
        <v>13</v>
      </c>
      <c r="C150" s="519" t="s">
        <v>247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484">
        <f>F135*2</f>
        <v>2</v>
      </c>
      <c r="G150" s="360">
        <f ca="1">IF(ISERROR(OFFSET('HARGA SATUAN'!$I$6,MATCH(RAB!C150,'HARGA SATUAN'!$C$7:$C$1492,0),0)),0,OFFSET('HARGA SATUAN'!$I$6,MATCH(RAB!C150,'HARGA SATUAN'!$C$7:$C$1492,0),0))</f>
        <v>57690</v>
      </c>
      <c r="H150" s="361">
        <f t="shared" ca="1" si="44"/>
        <v>0</v>
      </c>
      <c r="I150" s="361">
        <f t="shared" ca="1" si="45"/>
        <v>115380</v>
      </c>
      <c r="J150" s="361">
        <f t="shared" ca="1" si="46"/>
        <v>0</v>
      </c>
      <c r="K150" s="362">
        <f t="shared" ca="1" si="47"/>
        <v>115380</v>
      </c>
    </row>
    <row r="151" spans="2:11">
      <c r="B151" s="518">
        <v>14</v>
      </c>
      <c r="C151" s="519" t="s">
        <v>248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484">
        <f>F135*2</f>
        <v>2</v>
      </c>
      <c r="G151" s="360">
        <f ca="1">IF(ISERROR(OFFSET('HARGA SATUAN'!$I$6,MATCH(RAB!C151,'HARGA SATUAN'!$C$7:$C$1492,0),0)),0,OFFSET('HARGA SATUAN'!$I$6,MATCH(RAB!C151,'HARGA SATUAN'!$C$7:$C$1492,0),0))</f>
        <v>60300</v>
      </c>
      <c r="H151" s="361">
        <f t="shared" ca="1" si="44"/>
        <v>0</v>
      </c>
      <c r="I151" s="361">
        <f t="shared" ca="1" si="45"/>
        <v>120600</v>
      </c>
      <c r="J151" s="361">
        <f t="shared" ca="1" si="46"/>
        <v>0</v>
      </c>
      <c r="K151" s="362">
        <f t="shared" ca="1" si="47"/>
        <v>120600</v>
      </c>
    </row>
    <row r="152" spans="2:11">
      <c r="B152" s="518">
        <v>15</v>
      </c>
      <c r="C152" s="519" t="s">
        <v>267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484">
        <f>F135*4</f>
        <v>4</v>
      </c>
      <c r="G152" s="360">
        <f ca="1">IF(ISERROR(OFFSET('HARGA SATUAN'!$I$6,MATCH(RAB!C152,'HARGA SATUAN'!$C$7:$C$1492,0),0)),0,OFFSET('HARGA SATUAN'!$I$6,MATCH(RAB!C152,'HARGA SATUAN'!$C$7:$C$1492,0),0))</f>
        <v>129000</v>
      </c>
      <c r="H152" s="361">
        <f t="shared" ca="1" si="44"/>
        <v>0</v>
      </c>
      <c r="I152" s="361">
        <f t="shared" ca="1" si="45"/>
        <v>516000</v>
      </c>
      <c r="J152" s="361">
        <f t="shared" ca="1" si="46"/>
        <v>0</v>
      </c>
      <c r="K152" s="362">
        <f t="shared" ca="1" si="47"/>
        <v>516000</v>
      </c>
    </row>
    <row r="153" spans="2:11">
      <c r="B153" s="518">
        <v>16</v>
      </c>
      <c r="C153" s="519" t="s">
        <v>786</v>
      </c>
      <c r="D153" s="358" t="str">
        <f ca="1">IF(ISERROR(OFFSET('HARGA SATUAN'!$D$6,MATCH(RAB!C153,'HARGA SATUAN'!$C$7:$C$1492,0),0)),"",OFFSET('HARGA SATUAN'!$D$6,MATCH(RAB!C153,'HARGA SATUAN'!$C$7:$C$1492,0),0))</f>
        <v>JASA</v>
      </c>
      <c r="E153" s="359" t="str">
        <f ca="1">IF(B153="+","Unit",IF(ISERROR(OFFSET('HARGA SATUAN'!$E$6,MATCH(RAB!C153,'HARGA SATUAN'!$C$7:$C$1492,0),0)),"",OFFSET('HARGA SATUAN'!$E$6,MATCH(RAB!C153,'HARGA SATUAN'!$C$7:$C$1492,0),0)))</f>
        <v>Unit</v>
      </c>
      <c r="F153" s="484">
        <f>F135*1</f>
        <v>1</v>
      </c>
      <c r="G153" s="360">
        <f ca="1">IF(ISERROR(OFFSET('HARGA SATUAN'!$I$6,MATCH(RAB!C153,'HARGA SATUAN'!$C$7:$C$1492,0),0)),0,OFFSET('HARGA SATUAN'!$I$6,MATCH(RAB!C153,'HARGA SATUAN'!$C$7:$C$1492,0),0))</f>
        <v>3686500</v>
      </c>
      <c r="H153" s="361">
        <f t="shared" ca="1" si="44"/>
        <v>0</v>
      </c>
      <c r="I153" s="361">
        <f t="shared" ca="1" si="45"/>
        <v>0</v>
      </c>
      <c r="J153" s="361">
        <f t="shared" ca="1" si="46"/>
        <v>3686500</v>
      </c>
      <c r="K153" s="362">
        <f t="shared" ca="1" si="47"/>
        <v>3686500</v>
      </c>
    </row>
    <row r="154" spans="2:11">
      <c r="B154" s="504"/>
      <c r="C154" s="109"/>
      <c r="D154" s="358" t="str">
        <f ca="1">IF(ISERROR(OFFSET('HARGA SATUAN'!$D$6,MATCH(RAB!C154,'HARGA SATUAN'!$C$7:$C$1492,0),0)),"",OFFSET('HARGA SATUAN'!$D$6,MATCH(RAB!C154,'HARGA SATUAN'!$C$7:$C$1492,0),0))</f>
        <v/>
      </c>
      <c r="E154" s="359" t="str">
        <f ca="1">IF(B154="+","Unit",IF(ISERROR(OFFSET('HARGA SATUAN'!$E$6,MATCH(RAB!C154,'HARGA SATUAN'!$C$7:$C$1492,0),0)),"",OFFSET('HARGA SATUAN'!$E$6,MATCH(RAB!C154,'HARGA SATUAN'!$C$7:$C$1492,0),0)))</f>
        <v/>
      </c>
      <c r="F154" s="484"/>
      <c r="G154" s="360">
        <f ca="1">IF(ISERROR(OFFSET('HARGA SATUAN'!$I$6,MATCH(RAB!C154,'HARGA SATUAN'!$C$7:$C$1492,0),0)),0,OFFSET('HARGA SATUAN'!$I$6,MATCH(RAB!C154,'HARGA SATUAN'!$C$7:$C$1492,0),0))</f>
        <v>0</v>
      </c>
      <c r="H154" s="361">
        <f t="shared" ca="1" si="44"/>
        <v>0</v>
      </c>
      <c r="I154" s="361">
        <f t="shared" ca="1" si="45"/>
        <v>0</v>
      </c>
      <c r="J154" s="361">
        <f t="shared" ca="1" si="46"/>
        <v>0</v>
      </c>
      <c r="K154" s="362">
        <f t="shared" ca="1" si="47"/>
        <v>0</v>
      </c>
    </row>
    <row r="155" spans="2:11">
      <c r="B155" s="511" t="s">
        <v>1035</v>
      </c>
      <c r="C155" s="514" t="s">
        <v>1627</v>
      </c>
      <c r="D155" s="358" t="str">
        <f ca="1">IF(ISERROR(OFFSET('HARGA SATUAN'!$D$6,MATCH(RAB!C155,'HARGA SATUAN'!$C$7:$C$1492,0),0)),"",OFFSET('HARGA SATUAN'!$D$6,MATCH(RAB!C155,'HARGA SATUAN'!$C$7:$C$1492,0),0))</f>
        <v/>
      </c>
      <c r="E155" s="359" t="str">
        <f ca="1">IF(B155="+","Unit",IF(ISERROR(OFFSET('HARGA SATUAN'!$E$6,MATCH(RAB!C155,'HARGA SATUAN'!$C$7:$C$1492,0),0)),"",OFFSET('HARGA SATUAN'!$E$6,MATCH(RAB!C155,'HARGA SATUAN'!$C$7:$C$1492,0),0)))</f>
        <v>Unit</v>
      </c>
      <c r="F155" s="484">
        <v>2</v>
      </c>
      <c r="G155" s="360">
        <f ca="1">IF(ISERROR(OFFSET('HARGA SATUAN'!$I$6,MATCH(RAB!C155,'HARGA SATUAN'!$C$7:$C$1492,0),0)),0,OFFSET('HARGA SATUAN'!$I$6,MATCH(RAB!C155,'HARGA SATUAN'!$C$7:$C$1492,0),0))</f>
        <v>0</v>
      </c>
      <c r="H155" s="361">
        <f t="shared" ca="1" si="44"/>
        <v>0</v>
      </c>
      <c r="I155" s="361">
        <f t="shared" ca="1" si="45"/>
        <v>0</v>
      </c>
      <c r="J155" s="361">
        <f t="shared" ca="1" si="46"/>
        <v>0</v>
      </c>
      <c r="K155" s="362">
        <f t="shared" ca="1" si="47"/>
        <v>0</v>
      </c>
    </row>
    <row r="156" spans="2:11">
      <c r="B156" s="511">
        <v>1</v>
      </c>
      <c r="C156" s="509" t="s">
        <v>29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Bh</v>
      </c>
      <c r="F156" s="484">
        <f>F155*1</f>
        <v>2</v>
      </c>
      <c r="G156" s="360">
        <f ca="1">IF(ISERROR(OFFSET('HARGA SATUAN'!$I$6,MATCH(RAB!C156,'HARGA SATUAN'!$C$7:$C$1492,0),0)),0,OFFSET('HARGA SATUAN'!$I$6,MATCH(RAB!C156,'HARGA SATUAN'!$C$7:$C$1492,0),0))</f>
        <v>185200</v>
      </c>
      <c r="H156" s="361">
        <f t="shared" ca="1" si="44"/>
        <v>0</v>
      </c>
      <c r="I156" s="361">
        <f t="shared" ca="1" si="45"/>
        <v>370400</v>
      </c>
      <c r="J156" s="361">
        <f t="shared" ca="1" si="46"/>
        <v>0</v>
      </c>
      <c r="K156" s="362">
        <f t="shared" ca="1" si="47"/>
        <v>370400</v>
      </c>
    </row>
    <row r="157" spans="2:11">
      <c r="B157" s="507">
        <v>2</v>
      </c>
      <c r="C157" s="508" t="s">
        <v>30</v>
      </c>
      <c r="D157" s="358" t="str">
        <f ca="1">IF(ISERROR(OFFSET('HARGA SATUAN'!$D$6,MATCH(RAB!C157,'HARGA SATUAN'!$C$7:$C$1492,0),0)),"",OFFSET('HARGA SATUAN'!$D$6,MATCH(RAB!C157,'HARGA SATUAN'!$C$7:$C$1492,0),0))</f>
        <v>HDW</v>
      </c>
      <c r="E157" s="359" t="str">
        <f ca="1">IF(B157="+","Unit",IF(ISERROR(OFFSET('HARGA SATUAN'!$E$6,MATCH(RAB!C157,'HARGA SATUAN'!$C$7:$C$1492,0),0)),"",OFFSET('HARGA SATUAN'!$E$6,MATCH(RAB!C157,'HARGA SATUAN'!$C$7:$C$1492,0),0)))</f>
        <v>Bh</v>
      </c>
      <c r="F157" s="484">
        <f>F155*1</f>
        <v>2</v>
      </c>
      <c r="G157" s="360">
        <f ca="1">IF(ISERROR(OFFSET('HARGA SATUAN'!$I$6,MATCH(RAB!C157,'HARGA SATUAN'!$C$7:$C$1492,0),0)),0,OFFSET('HARGA SATUAN'!$I$6,MATCH(RAB!C157,'HARGA SATUAN'!$C$7:$C$1492,0),0))</f>
        <v>47459</v>
      </c>
      <c r="H157" s="361">
        <f t="shared" ca="1" si="44"/>
        <v>0</v>
      </c>
      <c r="I157" s="361">
        <f t="shared" ca="1" si="45"/>
        <v>94918</v>
      </c>
      <c r="J157" s="361">
        <f t="shared" ca="1" si="46"/>
        <v>0</v>
      </c>
      <c r="K157" s="362">
        <f t="shared" ca="1" si="47"/>
        <v>94918</v>
      </c>
    </row>
    <row r="158" spans="2:11">
      <c r="B158" s="507">
        <v>3</v>
      </c>
      <c r="C158" s="508" t="s">
        <v>31</v>
      </c>
      <c r="D158" s="358" t="str">
        <f ca="1">IF(ISERROR(OFFSET('HARGA SATUAN'!$D$6,MATCH(RAB!C158,'HARGA SATUAN'!$C$7:$C$1492,0),0)),"",OFFSET('HARGA SATUAN'!$D$6,MATCH(RAB!C158,'HARGA SATUAN'!$C$7:$C$1492,0),0))</f>
        <v>HDW</v>
      </c>
      <c r="E158" s="359" t="str">
        <f ca="1">IF(B158="+","Unit",IF(ISERROR(OFFSET('HARGA SATUAN'!$E$6,MATCH(RAB!C158,'HARGA SATUAN'!$C$7:$C$1492,0),0)),"",OFFSET('HARGA SATUAN'!$E$6,MATCH(RAB!C158,'HARGA SATUAN'!$C$7:$C$1492,0),0)))</f>
        <v>Bh</v>
      </c>
      <c r="F158" s="484">
        <f>F155*1</f>
        <v>2</v>
      </c>
      <c r="G158" s="360">
        <f ca="1">IF(ISERROR(OFFSET('HARGA SATUAN'!$I$6,MATCH(RAB!C158,'HARGA SATUAN'!$C$7:$C$1492,0),0)),0,OFFSET('HARGA SATUAN'!$I$6,MATCH(RAB!C158,'HARGA SATUAN'!$C$7:$C$1492,0),0))</f>
        <v>4880</v>
      </c>
      <c r="H158" s="361">
        <f t="shared" ca="1" si="44"/>
        <v>0</v>
      </c>
      <c r="I158" s="361">
        <f t="shared" ca="1" si="45"/>
        <v>9760</v>
      </c>
      <c r="J158" s="361">
        <f t="shared" ca="1" si="46"/>
        <v>0</v>
      </c>
      <c r="K158" s="362">
        <f t="shared" ca="1" si="47"/>
        <v>9760</v>
      </c>
    </row>
    <row r="159" spans="2:11">
      <c r="B159" s="507">
        <v>4</v>
      </c>
      <c r="C159" s="508" t="s">
        <v>32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Mtr</v>
      </c>
      <c r="F159" s="484">
        <f>F155*10</f>
        <v>20</v>
      </c>
      <c r="G159" s="360">
        <f ca="1">IF(ISERROR(OFFSET('HARGA SATUAN'!$I$6,MATCH(RAB!C159,'HARGA SATUAN'!$C$7:$C$1492,0),0)),0,OFFSET('HARGA SATUAN'!$I$6,MATCH(RAB!C159,'HARGA SATUAN'!$C$7:$C$1492,0),0))</f>
        <v>30000</v>
      </c>
      <c r="H159" s="361">
        <f t="shared" ca="1" si="44"/>
        <v>0</v>
      </c>
      <c r="I159" s="361">
        <f t="shared" ca="1" si="45"/>
        <v>600000</v>
      </c>
      <c r="J159" s="361">
        <f t="shared" ca="1" si="46"/>
        <v>0</v>
      </c>
      <c r="K159" s="362">
        <f t="shared" ca="1" si="47"/>
        <v>600000</v>
      </c>
    </row>
    <row r="160" spans="2:11">
      <c r="B160" s="507">
        <v>5</v>
      </c>
      <c r="C160" s="508" t="s">
        <v>33</v>
      </c>
      <c r="D160" s="358" t="str">
        <f ca="1">IF(ISERROR(OFFSET('HARGA SATUAN'!$D$6,MATCH(RAB!C160,'HARGA SATUAN'!$C$7:$C$1492,0),0)),"",OFFSET('HARGA SATUAN'!$D$6,MATCH(RAB!C160,'HARGA SATUAN'!$C$7:$C$1492,0),0))</f>
        <v>HDW</v>
      </c>
      <c r="E160" s="359" t="str">
        <f ca="1">IF(B160="+","Unit",IF(ISERROR(OFFSET('HARGA SATUAN'!$E$6,MATCH(RAB!C160,'HARGA SATUAN'!$C$7:$C$1492,0),0)),"",OFFSET('HARGA SATUAN'!$E$6,MATCH(RAB!C160,'HARGA SATUAN'!$C$7:$C$1492,0),0)))</f>
        <v>Bh</v>
      </c>
      <c r="F160" s="484">
        <f>F155*2</f>
        <v>4</v>
      </c>
      <c r="G160" s="360">
        <f ca="1">IF(ISERROR(OFFSET('HARGA SATUAN'!$I$6,MATCH(RAB!C160,'HARGA SATUAN'!$C$7:$C$1492,0),0)),0,OFFSET('HARGA SATUAN'!$I$6,MATCH(RAB!C160,'HARGA SATUAN'!$C$7:$C$1492,0),0))</f>
        <v>9500</v>
      </c>
      <c r="H160" s="361">
        <f t="shared" ca="1" si="44"/>
        <v>0</v>
      </c>
      <c r="I160" s="361">
        <f t="shared" ca="1" si="45"/>
        <v>38000</v>
      </c>
      <c r="J160" s="361">
        <f t="shared" ca="1" si="46"/>
        <v>0</v>
      </c>
      <c r="K160" s="362">
        <f t="shared" ca="1" si="47"/>
        <v>38000</v>
      </c>
    </row>
    <row r="161" spans="2:11">
      <c r="B161" s="507">
        <v>6</v>
      </c>
      <c r="C161" s="508" t="s">
        <v>34</v>
      </c>
      <c r="D161" s="358" t="str">
        <f ca="1">IF(ISERROR(OFFSET('HARGA SATUAN'!$D$6,MATCH(RAB!C161,'HARGA SATUAN'!$C$7:$C$1492,0),0)),"",OFFSET('HARGA SATUAN'!$D$6,MATCH(RAB!C161,'HARGA SATUAN'!$C$7:$C$1492,0),0))</f>
        <v>HDW</v>
      </c>
      <c r="E161" s="359" t="str">
        <f ca="1">IF(B161="+","Unit",IF(ISERROR(OFFSET('HARGA SATUAN'!$E$6,MATCH(RAB!C161,'HARGA SATUAN'!$C$7:$C$1492,0),0)),"",OFFSET('HARGA SATUAN'!$E$6,MATCH(RAB!C161,'HARGA SATUAN'!$C$7:$C$1492,0),0)))</f>
        <v>Bh</v>
      </c>
      <c r="F161" s="484">
        <f>F155*5.5</f>
        <v>11</v>
      </c>
      <c r="G161" s="360">
        <f ca="1">IF(ISERROR(OFFSET('HARGA SATUAN'!$I$6,MATCH(RAB!C161,'HARGA SATUAN'!$C$7:$C$1492,0),0)),0,OFFSET('HARGA SATUAN'!$I$6,MATCH(RAB!C161,'HARGA SATUAN'!$C$7:$C$1492,0),0))</f>
        <v>6100</v>
      </c>
      <c r="H161" s="361">
        <f t="shared" ca="1" si="44"/>
        <v>0</v>
      </c>
      <c r="I161" s="361">
        <f t="shared" ca="1" si="45"/>
        <v>67100</v>
      </c>
      <c r="J161" s="361">
        <f t="shared" ca="1" si="46"/>
        <v>0</v>
      </c>
      <c r="K161" s="362">
        <f t="shared" ca="1" si="47"/>
        <v>67100</v>
      </c>
    </row>
    <row r="162" spans="2:11">
      <c r="B162" s="507">
        <v>7</v>
      </c>
      <c r="C162" s="508" t="s">
        <v>35</v>
      </c>
      <c r="D162" s="358" t="str">
        <f ca="1">IF(ISERROR(OFFSET('HARGA SATUAN'!$D$6,MATCH(RAB!C162,'HARGA SATUAN'!$C$7:$C$1492,0),0)),"",OFFSET('HARGA SATUAN'!$D$6,MATCH(RAB!C162,'HARGA SATUAN'!$C$7:$C$1492,0),0))</f>
        <v>HDW</v>
      </c>
      <c r="E162" s="359" t="str">
        <f ca="1">IF(B162="+","Unit",IF(ISERROR(OFFSET('HARGA SATUAN'!$E$6,MATCH(RAB!C162,'HARGA SATUAN'!$C$7:$C$1492,0),0)),"",OFFSET('HARGA SATUAN'!$E$6,MATCH(RAB!C162,'HARGA SATUAN'!$C$7:$C$1492,0),0)))</f>
        <v>Bh</v>
      </c>
      <c r="F162" s="484">
        <f>F155*6</f>
        <v>12</v>
      </c>
      <c r="G162" s="360">
        <f ca="1">IF(ISERROR(OFFSET('HARGA SATUAN'!$I$6,MATCH(RAB!C162,'HARGA SATUAN'!$C$7:$C$1492,0),0)),0,OFFSET('HARGA SATUAN'!$I$6,MATCH(RAB!C162,'HARGA SATUAN'!$C$7:$C$1492,0),0))</f>
        <v>2300</v>
      </c>
      <c r="H162" s="361">
        <f t="shared" ca="1" si="44"/>
        <v>0</v>
      </c>
      <c r="I162" s="361">
        <f t="shared" ca="1" si="45"/>
        <v>27600</v>
      </c>
      <c r="J162" s="361">
        <f t="shared" ca="1" si="46"/>
        <v>0</v>
      </c>
      <c r="K162" s="362">
        <f t="shared" ca="1" si="47"/>
        <v>27600</v>
      </c>
    </row>
    <row r="163" spans="2:11">
      <c r="B163" s="507">
        <v>8</v>
      </c>
      <c r="C163" s="508" t="s">
        <v>1628</v>
      </c>
      <c r="D163" s="358" t="str">
        <f ca="1">IF(ISERROR(OFFSET('HARGA SATUAN'!$D$6,MATCH(RAB!C163,'HARGA SATUAN'!$C$7:$C$1492,0),0)),"",OFFSET('HARGA SATUAN'!$D$6,MATCH(RAB!C163,'HARGA SATUAN'!$C$7:$C$1492,0),0))</f>
        <v>HDW</v>
      </c>
      <c r="E163" s="359" t="str">
        <f ca="1">IF(B163="+","Unit",IF(ISERROR(OFFSET('HARGA SATUAN'!$E$6,MATCH(RAB!C163,'HARGA SATUAN'!$C$7:$C$1492,0),0)),"",OFFSET('HARGA SATUAN'!$E$6,MATCH(RAB!C163,'HARGA SATUAN'!$C$7:$C$1492,0),0)))</f>
        <v>Mtr</v>
      </c>
      <c r="F163" s="484">
        <f>F155*4.8</f>
        <v>9.6</v>
      </c>
      <c r="G163" s="360">
        <f ca="1">IF(ISERROR(OFFSET('HARGA SATUAN'!$I$6,MATCH(RAB!C163,'HARGA SATUAN'!$C$7:$C$1492,0),0)),0,OFFSET('HARGA SATUAN'!$I$6,MATCH(RAB!C163,'HARGA SATUAN'!$C$7:$C$1492,0),0))</f>
        <v>23310</v>
      </c>
      <c r="H163" s="361">
        <f t="shared" ca="1" si="44"/>
        <v>0</v>
      </c>
      <c r="I163" s="361">
        <f t="shared" ca="1" si="45"/>
        <v>223776</v>
      </c>
      <c r="J163" s="361">
        <f t="shared" ca="1" si="46"/>
        <v>0</v>
      </c>
      <c r="K163" s="362">
        <f t="shared" ca="1" si="47"/>
        <v>223776</v>
      </c>
    </row>
    <row r="164" spans="2:11">
      <c r="B164" s="507">
        <v>9</v>
      </c>
      <c r="C164" s="508" t="s">
        <v>736</v>
      </c>
      <c r="D164" s="358" t="str">
        <f ca="1">IF(ISERROR(OFFSET('HARGA SATUAN'!$D$6,MATCH(RAB!C164,'HARGA SATUAN'!$C$7:$C$1492,0),0)),"",OFFSET('HARGA SATUAN'!$D$6,MATCH(RAB!C164,'HARGA SATUAN'!$C$7:$C$1492,0),0))</f>
        <v>JASA</v>
      </c>
      <c r="E164" s="359" t="str">
        <f ca="1">IF(B164="+","Unit",IF(ISERROR(OFFSET('HARGA SATUAN'!$E$6,MATCH(RAB!C164,'HARGA SATUAN'!$C$7:$C$1492,0),0)),"",OFFSET('HARGA SATUAN'!$E$6,MATCH(RAB!C164,'HARGA SATUAN'!$C$7:$C$1492,0),0)))</f>
        <v>Unit</v>
      </c>
      <c r="F164" s="484">
        <f>F155*1</f>
        <v>2</v>
      </c>
      <c r="G164" s="360">
        <f ca="1">IF(ISERROR(OFFSET('HARGA SATUAN'!$I$6,MATCH(RAB!C164,'HARGA SATUAN'!$C$7:$C$1492,0),0)),0,OFFSET('HARGA SATUAN'!$I$6,MATCH(RAB!C164,'HARGA SATUAN'!$C$7:$C$1492,0),0))</f>
        <v>65400</v>
      </c>
      <c r="H164" s="361">
        <f t="shared" ca="1" si="44"/>
        <v>0</v>
      </c>
      <c r="I164" s="361">
        <f t="shared" ca="1" si="45"/>
        <v>0</v>
      </c>
      <c r="J164" s="361">
        <f t="shared" ca="1" si="46"/>
        <v>130800</v>
      </c>
      <c r="K164" s="362">
        <f t="shared" ca="1" si="47"/>
        <v>130800</v>
      </c>
    </row>
    <row r="165" spans="2:11">
      <c r="B165" s="507"/>
      <c r="C165" s="508"/>
      <c r="D165" s="358" t="str">
        <f ca="1">IF(ISERROR(OFFSET('HARGA SATUAN'!$D$6,MATCH(RAB!C165,'HARGA SATUAN'!$C$7:$C$1492,0),0)),"",OFFSET('HARGA SATUAN'!$D$6,MATCH(RAB!C165,'HARGA SATUAN'!$C$7:$C$1492,0),0))</f>
        <v/>
      </c>
      <c r="E165" s="359" t="str">
        <f ca="1">IF(B165="+","Unit",IF(ISERROR(OFFSET('HARGA SATUAN'!$E$6,MATCH(RAB!C165,'HARGA SATUAN'!$C$7:$C$1492,0),0)),"",OFFSET('HARGA SATUAN'!$E$6,MATCH(RAB!C165,'HARGA SATUAN'!$C$7:$C$1492,0),0)))</f>
        <v/>
      </c>
      <c r="F165" s="484"/>
      <c r="G165" s="360">
        <f ca="1">IF(ISERROR(OFFSET('HARGA SATUAN'!$I$6,MATCH(RAB!C165,'HARGA SATUAN'!$C$7:$C$1492,0),0)),0,OFFSET('HARGA SATUAN'!$I$6,MATCH(RAB!C165,'HARGA SATUAN'!$C$7:$C$1492,0),0))</f>
        <v>0</v>
      </c>
      <c r="H165" s="361">
        <f t="shared" ref="H165:H192" ca="1" si="48">IF(OR(D165="MDU",D165="MDU-KD"),(IF($O$3="RAB NON MDU","PLN KD",G165*F165)),0)</f>
        <v>0</v>
      </c>
      <c r="I165" s="361">
        <f t="shared" ref="I165:I192" ca="1" si="49">IF(D165="HDW",G165*F165,0)</f>
        <v>0</v>
      </c>
      <c r="J165" s="361">
        <f t="shared" ref="J165:J192" ca="1" si="50">IF(D165="JASA",G165*F165,0)</f>
        <v>0</v>
      </c>
      <c r="K165" s="362">
        <f t="shared" ref="K165:K192" ca="1" si="51">SUM(H165:J165)</f>
        <v>0</v>
      </c>
    </row>
    <row r="166" spans="2:11">
      <c r="B166" s="373" t="s">
        <v>1550</v>
      </c>
      <c r="C166" s="374" t="s">
        <v>1457</v>
      </c>
      <c r="D166" s="358" t="str">
        <f ca="1">IF(ISERROR(OFFSET('HARGA SATUAN'!$D$6,MATCH(RAB!C166,'HARGA SATUAN'!$C$7:$C$1492,0),0)),"",OFFSET('HARGA SATUAN'!$D$6,MATCH(RAB!C166,'HARGA SATUAN'!$C$7:$C$1492,0),0))</f>
        <v/>
      </c>
      <c r="E166" s="359" t="str">
        <f ca="1">IF(B166="+","Unit",IF(ISERROR(OFFSET('HARGA SATUAN'!$E$6,MATCH(RAB!C166,'HARGA SATUAN'!$C$7:$C$1492,0),0)),"",OFFSET('HARGA SATUAN'!$E$6,MATCH(RAB!C166,'HARGA SATUAN'!$C$7:$C$1492,0),0)))</f>
        <v/>
      </c>
      <c r="F166" s="484"/>
      <c r="G166" s="360">
        <f ca="1">IF(ISERROR(OFFSET('HARGA SATUAN'!$I$6,MATCH(RAB!C166,'HARGA SATUAN'!$C$7:$C$1492,0),0)),0,OFFSET('HARGA SATUAN'!$I$6,MATCH(RAB!C166,'HARGA SATUAN'!$C$7:$C$1492,0),0))</f>
        <v>0</v>
      </c>
      <c r="H166" s="361">
        <f t="shared" ca="1" si="48"/>
        <v>0</v>
      </c>
      <c r="I166" s="361">
        <f t="shared" ca="1" si="49"/>
        <v>0</v>
      </c>
      <c r="J166" s="361">
        <f t="shared" ca="1" si="50"/>
        <v>0</v>
      </c>
      <c r="K166" s="362">
        <f t="shared" ca="1" si="51"/>
        <v>0</v>
      </c>
    </row>
    <row r="167" spans="2:11">
      <c r="B167" s="507"/>
      <c r="C167" s="508"/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/>
      </c>
      <c r="F167" s="484"/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48"/>
        <v>0</v>
      </c>
      <c r="I167" s="361">
        <f t="shared" ca="1" si="49"/>
        <v>0</v>
      </c>
      <c r="J167" s="361">
        <f t="shared" ca="1" si="50"/>
        <v>0</v>
      </c>
      <c r="K167" s="362">
        <f t="shared" ca="1" si="51"/>
        <v>0</v>
      </c>
    </row>
    <row r="168" spans="2:11">
      <c r="B168" s="499" t="s">
        <v>1035</v>
      </c>
      <c r="C168" s="500" t="s">
        <v>1641</v>
      </c>
      <c r="D168" s="358" t="str">
        <f ca="1">IF(ISERROR(OFFSET('HARGA SATUAN'!$D$6,MATCH(RAB!C168,'HARGA SATUAN'!$C$7:$C$1492,0),0)),"",OFFSET('HARGA SATUAN'!$D$6,MATCH(RAB!C168,'HARGA SATUAN'!$C$7:$C$1492,0),0))</f>
        <v/>
      </c>
      <c r="E168" s="359" t="str">
        <f ca="1">IF(B168="+","Unit",IF(ISERROR(OFFSET('HARGA SATUAN'!$E$6,MATCH(RAB!C168,'HARGA SATUAN'!$C$7:$C$1492,0),0)),"",OFFSET('HARGA SATUAN'!$E$6,MATCH(RAB!C168,'HARGA SATUAN'!$C$7:$C$1492,0),0)))</f>
        <v>Unit</v>
      </c>
      <c r="F168" s="506">
        <v>1</v>
      </c>
      <c r="G168" s="360">
        <f ca="1">IF(ISERROR(OFFSET('HARGA SATUAN'!$I$6,MATCH(RAB!C168,'HARGA SATUAN'!$C$7:$C$1492,0),0)),0,OFFSET('HARGA SATUAN'!$I$6,MATCH(RAB!C168,'HARGA SATUAN'!$C$7:$C$1492,0),0))</f>
        <v>0</v>
      </c>
      <c r="H168" s="361">
        <f t="shared" ca="1" si="48"/>
        <v>0</v>
      </c>
      <c r="I168" s="361">
        <f t="shared" ca="1" si="49"/>
        <v>0</v>
      </c>
      <c r="J168" s="361">
        <f t="shared" ca="1" si="50"/>
        <v>0</v>
      </c>
      <c r="K168" s="362">
        <f t="shared" ca="1" si="51"/>
        <v>0</v>
      </c>
    </row>
    <row r="169" spans="2:11" ht="30">
      <c r="B169" s="527">
        <v>1</v>
      </c>
      <c r="C169" s="109" t="s">
        <v>1196</v>
      </c>
      <c r="D169" s="358" t="str">
        <f ca="1">IF(ISERROR(OFFSET('HARGA SATUAN'!$D$6,MATCH(RAB!C169,'HARGA SATUAN'!$C$7:$C$1492,0),0)),"",OFFSET('HARGA SATUAN'!$D$6,MATCH(RAB!C169,'HARGA SATUAN'!$C$7:$C$1492,0),0))</f>
        <v>MDU-KD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506">
        <f>F168*1</f>
        <v>1</v>
      </c>
      <c r="G169" s="360">
        <f ca="1">IF(ISERROR(OFFSET('HARGA SATUAN'!$I$6,MATCH(RAB!C169,'HARGA SATUAN'!$C$7:$C$1492,0),0)),0,OFFSET('HARGA SATUAN'!$I$6,MATCH(RAB!C169,'HARGA SATUAN'!$C$7:$C$1492,0),0))</f>
        <v>1504200</v>
      </c>
      <c r="H169" s="361">
        <f t="shared" ca="1" si="48"/>
        <v>1504200</v>
      </c>
      <c r="I169" s="361">
        <f t="shared" ca="1" si="49"/>
        <v>0</v>
      </c>
      <c r="J169" s="361">
        <f t="shared" ca="1" si="50"/>
        <v>0</v>
      </c>
      <c r="K169" s="362">
        <f t="shared" ca="1" si="51"/>
        <v>1504200</v>
      </c>
    </row>
    <row r="170" spans="2:11">
      <c r="B170" s="527">
        <v>2</v>
      </c>
      <c r="C170" s="528" t="s">
        <v>518</v>
      </c>
      <c r="D170" s="358" t="str">
        <f ca="1">IF(ISERROR(OFFSET('HARGA SATUAN'!$D$6,MATCH(RAB!C170,'HARGA SATUAN'!$C$7:$C$1492,0),0)),"",OFFSET('HARGA SATUAN'!$D$6,MATCH(RAB!C170,'HARGA SATUAN'!$C$7:$C$1492,0),0))</f>
        <v>MDU-KD</v>
      </c>
      <c r="E170" s="359" t="str">
        <f ca="1">IF(B170="+","Unit",IF(ISERROR(OFFSET('HARGA SATUAN'!$E$6,MATCH(RAB!C170,'HARGA SATUAN'!$C$7:$C$1492,0),0)),"",OFFSET('HARGA SATUAN'!$E$6,MATCH(RAB!C170,'HARGA SATUAN'!$C$7:$C$1492,0),0)))</f>
        <v>Unit</v>
      </c>
      <c r="F170" s="506">
        <f>F168*1</f>
        <v>1</v>
      </c>
      <c r="G170" s="360">
        <f ca="1">IF(ISERROR(OFFSET('HARGA SATUAN'!$I$6,MATCH(RAB!C170,'HARGA SATUAN'!$C$7:$C$1492,0),0)),0,OFFSET('HARGA SATUAN'!$I$6,MATCH(RAB!C170,'HARGA SATUAN'!$C$7:$C$1492,0),0))</f>
        <v>14217900</v>
      </c>
      <c r="H170" s="361">
        <f t="shared" ca="1" si="48"/>
        <v>14217900</v>
      </c>
      <c r="I170" s="361">
        <f t="shared" ca="1" si="49"/>
        <v>0</v>
      </c>
      <c r="J170" s="361">
        <f t="shared" ca="1" si="50"/>
        <v>0</v>
      </c>
      <c r="K170" s="362">
        <f t="shared" ca="1" si="51"/>
        <v>14217900</v>
      </c>
    </row>
    <row r="171" spans="2:11">
      <c r="B171" s="527">
        <v>3</v>
      </c>
      <c r="C171" s="528" t="s">
        <v>1142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Unit</v>
      </c>
      <c r="F171" s="506">
        <f>F168*1</f>
        <v>1</v>
      </c>
      <c r="G171" s="360">
        <f ca="1">IF(ISERROR(OFFSET('HARGA SATUAN'!$I$6,MATCH(RAB!C171,'HARGA SATUAN'!$C$7:$C$1492,0),0)),0,OFFSET('HARGA SATUAN'!$I$6,MATCH(RAB!C171,'HARGA SATUAN'!$C$7:$C$1492,0),0))</f>
        <v>1113900</v>
      </c>
      <c r="H171" s="361">
        <f t="shared" ca="1" si="48"/>
        <v>0</v>
      </c>
      <c r="I171" s="361">
        <f t="shared" ca="1" si="49"/>
        <v>1113900</v>
      </c>
      <c r="J171" s="361">
        <f t="shared" ca="1" si="50"/>
        <v>0</v>
      </c>
      <c r="K171" s="362">
        <f t="shared" ca="1" si="51"/>
        <v>1113900</v>
      </c>
    </row>
    <row r="172" spans="2:11">
      <c r="B172" s="527">
        <v>4</v>
      </c>
      <c r="C172" s="109" t="s">
        <v>80</v>
      </c>
      <c r="D172" s="358" t="str">
        <f ca="1">IF(ISERROR(OFFSET('HARGA SATUAN'!$D$6,MATCH(RAB!C172,'HARGA SATUAN'!$C$7:$C$1492,0),0)),"",OFFSET('HARGA SATUAN'!$D$6,MATCH(RAB!C172,'HARGA SATUAN'!$C$7:$C$1492,0),0))</f>
        <v>MDU-KD</v>
      </c>
      <c r="E172" s="359" t="str">
        <f ca="1">IF(B172="+","Unit",IF(ISERROR(OFFSET('HARGA SATUAN'!$E$6,MATCH(RAB!C172,'HARGA SATUAN'!$C$7:$C$1492,0),0)),"",OFFSET('HARGA SATUAN'!$E$6,MATCH(RAB!C172,'HARGA SATUAN'!$C$7:$C$1492,0),0)))</f>
        <v>Mtr</v>
      </c>
      <c r="F172" s="506">
        <v>44</v>
      </c>
      <c r="G172" s="360">
        <f ca="1">IF(ISERROR(OFFSET('HARGA SATUAN'!$I$6,MATCH(RAB!C172,'HARGA SATUAN'!$C$7:$C$1492,0),0)),0,OFFSET('HARGA SATUAN'!$I$6,MATCH(RAB!C172,'HARGA SATUAN'!$C$7:$C$1492,0),0))</f>
        <v>94700</v>
      </c>
      <c r="H172" s="361">
        <f t="shared" ca="1" si="48"/>
        <v>4166800</v>
      </c>
      <c r="I172" s="361">
        <f t="shared" ca="1" si="49"/>
        <v>0</v>
      </c>
      <c r="J172" s="361">
        <f t="shared" ca="1" si="50"/>
        <v>0</v>
      </c>
      <c r="K172" s="362">
        <f t="shared" ca="1" si="51"/>
        <v>4166800</v>
      </c>
    </row>
    <row r="173" spans="2:11">
      <c r="B173" s="527">
        <v>5</v>
      </c>
      <c r="C173" s="528" t="s">
        <v>799</v>
      </c>
      <c r="D173" s="358" t="str">
        <f ca="1">IF(ISERROR(OFFSET('HARGA SATUAN'!$D$6,MATCH(RAB!C173,'HARGA SATUAN'!$C$7:$C$1492,0),0)),"",OFFSET('HARGA SATUAN'!$D$6,MATCH(RAB!C173,'HARGA SATUAN'!$C$7:$C$1492,0),0))</f>
        <v>JASA</v>
      </c>
      <c r="E173" s="359" t="str">
        <f ca="1">IF(B173="+","Unit",IF(ISERROR(OFFSET('HARGA SATUAN'!$E$6,MATCH(RAB!C173,'HARGA SATUAN'!$C$7:$C$1492,0),0)),"",OFFSET('HARGA SATUAN'!$E$6,MATCH(RAB!C173,'HARGA SATUAN'!$C$7:$C$1492,0),0)))</f>
        <v>Unit</v>
      </c>
      <c r="F173" s="506">
        <f>F168*1</f>
        <v>1</v>
      </c>
      <c r="G173" s="360">
        <f ca="1">IF(ISERROR(OFFSET('HARGA SATUAN'!$I$6,MATCH(RAB!C173,'HARGA SATUAN'!$C$7:$C$1492,0),0)),0,OFFSET('HARGA SATUAN'!$I$6,MATCH(RAB!C173,'HARGA SATUAN'!$C$7:$C$1492,0),0))</f>
        <v>106400</v>
      </c>
      <c r="H173" s="361">
        <f t="shared" ca="1" si="48"/>
        <v>0</v>
      </c>
      <c r="I173" s="361">
        <f t="shared" ca="1" si="49"/>
        <v>0</v>
      </c>
      <c r="J173" s="361">
        <f t="shared" ca="1" si="50"/>
        <v>106400</v>
      </c>
      <c r="K173" s="362">
        <f t="shared" ca="1" si="51"/>
        <v>106400</v>
      </c>
    </row>
    <row r="174" spans="2:11">
      <c r="B174" s="507"/>
      <c r="C174" s="508"/>
      <c r="D174" s="358" t="str">
        <f ca="1">IF(ISERROR(OFFSET('HARGA SATUAN'!$D$6,MATCH(RAB!C174,'HARGA SATUAN'!$C$7:$C$1492,0),0)),"",OFFSET('HARGA SATUAN'!$D$6,MATCH(RAB!C174,'HARGA SATUAN'!$C$7:$C$1492,0),0))</f>
        <v/>
      </c>
      <c r="E174" s="359" t="str">
        <f ca="1">IF(B174="+","Unit",IF(ISERROR(OFFSET('HARGA SATUAN'!$E$6,MATCH(RAB!C174,'HARGA SATUAN'!$C$7:$C$1492,0),0)),"",OFFSET('HARGA SATUAN'!$E$6,MATCH(RAB!C174,'HARGA SATUAN'!$C$7:$C$1492,0),0)))</f>
        <v/>
      </c>
      <c r="F174" s="484"/>
      <c r="G174" s="360">
        <f ca="1">IF(ISERROR(OFFSET('HARGA SATUAN'!$I$6,MATCH(RAB!C174,'HARGA SATUAN'!$C$7:$C$1492,0),0)),0,OFFSET('HARGA SATUAN'!$I$6,MATCH(RAB!C174,'HARGA SATUAN'!$C$7:$C$1492,0),0))</f>
        <v>0</v>
      </c>
      <c r="H174" s="361">
        <f t="shared" ca="1" si="48"/>
        <v>0</v>
      </c>
      <c r="I174" s="361">
        <f t="shared" ca="1" si="49"/>
        <v>0</v>
      </c>
      <c r="J174" s="361">
        <f t="shared" ca="1" si="50"/>
        <v>0</v>
      </c>
      <c r="K174" s="362">
        <f t="shared" ca="1" si="51"/>
        <v>0</v>
      </c>
    </row>
    <row r="175" spans="2:11">
      <c r="B175" s="507" t="s">
        <v>1035</v>
      </c>
      <c r="C175" s="515" t="s">
        <v>1629</v>
      </c>
      <c r="D175" s="358" t="str">
        <f ca="1">IF(ISERROR(OFFSET('HARGA SATUAN'!$D$6,MATCH(RAB!C175,'HARGA SATUAN'!$C$7:$C$1492,0),0)),"",OFFSET('HARGA SATUAN'!$D$6,MATCH(RAB!C175,'HARGA SATUAN'!$C$7:$C$1492,0),0))</f>
        <v/>
      </c>
      <c r="E175" s="359" t="str">
        <f ca="1">IF(B175="+","Unit",IF(ISERROR(OFFSET('HARGA SATUAN'!$E$6,MATCH(RAB!C175,'HARGA SATUAN'!$C$7:$C$1492,0),0)),"",OFFSET('HARGA SATUAN'!$E$6,MATCH(RAB!C175,'HARGA SATUAN'!$C$7:$C$1492,0),0)))</f>
        <v>Unit</v>
      </c>
      <c r="F175" s="506">
        <v>1</v>
      </c>
      <c r="G175" s="360">
        <f ca="1">IF(ISERROR(OFFSET('HARGA SATUAN'!$I$6,MATCH(RAB!C175,'HARGA SATUAN'!$C$7:$C$1492,0),0)),0,OFFSET('HARGA SATUAN'!$I$6,MATCH(RAB!C175,'HARGA SATUAN'!$C$7:$C$1492,0),0))</f>
        <v>0</v>
      </c>
      <c r="H175" s="361">
        <f t="shared" ca="1" si="48"/>
        <v>0</v>
      </c>
      <c r="I175" s="361">
        <f t="shared" ca="1" si="49"/>
        <v>0</v>
      </c>
      <c r="J175" s="361">
        <f t="shared" ca="1" si="50"/>
        <v>0</v>
      </c>
      <c r="K175" s="362">
        <f t="shared" ca="1" si="51"/>
        <v>0</v>
      </c>
    </row>
    <row r="176" spans="2:11">
      <c r="B176" s="507">
        <v>1</v>
      </c>
      <c r="C176" s="515" t="s">
        <v>163</v>
      </c>
      <c r="D176" s="358" t="str">
        <f ca="1">IF(ISERROR(OFFSET('HARGA SATUAN'!$D$6,MATCH(RAB!C176,'HARGA SATUAN'!$C$7:$C$1492,0),0)),"",OFFSET('HARGA SATUAN'!$D$6,MATCH(RAB!C176,'HARGA SATUAN'!$C$7:$C$1492,0),0))</f>
        <v>HDW</v>
      </c>
      <c r="E176" s="359" t="str">
        <f ca="1">IF(B176="+","Unit",IF(ISERROR(OFFSET('HARGA SATUAN'!$E$6,MATCH(RAB!C176,'HARGA SATUAN'!$C$7:$C$1492,0),0)),"",OFFSET('HARGA SATUAN'!$E$6,MATCH(RAB!C176,'HARGA SATUAN'!$C$7:$C$1492,0),0)))</f>
        <v>Bh</v>
      </c>
      <c r="F176" s="506">
        <f>F175*4</f>
        <v>4</v>
      </c>
      <c r="G176" s="360">
        <f ca="1">IF(ISERROR(OFFSET('HARGA SATUAN'!$I$6,MATCH(RAB!C176,'HARGA SATUAN'!$C$7:$C$1492,0),0)),0,OFFSET('HARGA SATUAN'!$I$6,MATCH(RAB!C176,'HARGA SATUAN'!$C$7:$C$1492,0),0))</f>
        <v>7938</v>
      </c>
      <c r="H176" s="361">
        <f t="shared" ca="1" si="48"/>
        <v>0</v>
      </c>
      <c r="I176" s="361">
        <f t="shared" ca="1" si="49"/>
        <v>31752</v>
      </c>
      <c r="J176" s="361">
        <f t="shared" ca="1" si="50"/>
        <v>0</v>
      </c>
      <c r="K176" s="362">
        <f t="shared" ca="1" si="51"/>
        <v>31752</v>
      </c>
    </row>
    <row r="177" spans="2:11">
      <c r="B177" s="507">
        <v>2</v>
      </c>
      <c r="C177" s="515" t="s">
        <v>593</v>
      </c>
      <c r="D177" s="358" t="str">
        <f ca="1">IF(ISERROR(OFFSET('HARGA SATUAN'!$D$6,MATCH(RAB!C177,'HARGA SATUAN'!$C$7:$C$1492,0),0)),"",OFFSET('HARGA SATUAN'!$D$6,MATCH(RAB!C177,'HARGA SATUAN'!$C$7:$C$1492,0),0))</f>
        <v>HDW</v>
      </c>
      <c r="E177" s="359" t="str">
        <f ca="1">IF(B177="+","Unit",IF(ISERROR(OFFSET('HARGA SATUAN'!$E$6,MATCH(RAB!C177,'HARGA SATUAN'!$C$7:$C$1492,0),0)),"",OFFSET('HARGA SATUAN'!$E$6,MATCH(RAB!C177,'HARGA SATUAN'!$C$7:$C$1492,0),0)))</f>
        <v>Bh</v>
      </c>
      <c r="F177" s="506">
        <f>F175*1</f>
        <v>1</v>
      </c>
      <c r="G177" s="360">
        <f ca="1">IF(ISERROR(OFFSET('HARGA SATUAN'!$I$6,MATCH(RAB!C177,'HARGA SATUAN'!$C$7:$C$1492,0),0)),0,OFFSET('HARGA SATUAN'!$I$6,MATCH(RAB!C177,'HARGA SATUAN'!$C$7:$C$1492,0),0))</f>
        <v>380500</v>
      </c>
      <c r="H177" s="361">
        <f t="shared" ca="1" si="48"/>
        <v>0</v>
      </c>
      <c r="I177" s="361">
        <f t="shared" ca="1" si="49"/>
        <v>380500</v>
      </c>
      <c r="J177" s="361">
        <f t="shared" ca="1" si="50"/>
        <v>0</v>
      </c>
      <c r="K177" s="362">
        <f t="shared" ca="1" si="51"/>
        <v>380500</v>
      </c>
    </row>
    <row r="178" spans="2:11">
      <c r="B178" s="507">
        <v>3</v>
      </c>
      <c r="C178" s="515" t="s">
        <v>248</v>
      </c>
      <c r="D178" s="358" t="str">
        <f ca="1">IF(ISERROR(OFFSET('HARGA SATUAN'!$D$6,MATCH(RAB!C178,'HARGA SATUAN'!$C$7:$C$1492,0),0)),"",OFFSET('HARGA SATUAN'!$D$6,MATCH(RAB!C178,'HARGA SATUAN'!$C$7:$C$1492,0),0))</f>
        <v>HDW</v>
      </c>
      <c r="E178" s="359" t="str">
        <f ca="1">IF(B178="+","Unit",IF(ISERROR(OFFSET('HARGA SATUAN'!$E$6,MATCH(RAB!C178,'HARGA SATUAN'!$C$7:$C$1492,0),0)),"",OFFSET('HARGA SATUAN'!$E$6,MATCH(RAB!C178,'HARGA SATUAN'!$C$7:$C$1492,0),0)))</f>
        <v>Bh</v>
      </c>
      <c r="F178" s="506">
        <f>F175*2</f>
        <v>2</v>
      </c>
      <c r="G178" s="360">
        <f ca="1">IF(ISERROR(OFFSET('HARGA SATUAN'!$I$6,MATCH(RAB!C178,'HARGA SATUAN'!$C$7:$C$1492,0),0)),0,OFFSET('HARGA SATUAN'!$I$6,MATCH(RAB!C178,'HARGA SATUAN'!$C$7:$C$1492,0),0))</f>
        <v>60300</v>
      </c>
      <c r="H178" s="361">
        <f t="shared" ca="1" si="48"/>
        <v>0</v>
      </c>
      <c r="I178" s="361">
        <f t="shared" ca="1" si="49"/>
        <v>120600</v>
      </c>
      <c r="J178" s="361">
        <f t="shared" ca="1" si="50"/>
        <v>0</v>
      </c>
      <c r="K178" s="362">
        <f t="shared" ca="1" si="51"/>
        <v>120600</v>
      </c>
    </row>
    <row r="179" spans="2:11">
      <c r="B179" s="507">
        <v>4</v>
      </c>
      <c r="C179" s="508" t="s">
        <v>595</v>
      </c>
      <c r="D179" s="358" t="str">
        <f ca="1">IF(ISERROR(OFFSET('HARGA SATUAN'!$D$6,MATCH(RAB!C179,'HARGA SATUAN'!$C$7:$C$1492,0),0)),"",OFFSET('HARGA SATUAN'!$D$6,MATCH(RAB!C179,'HARGA SATUAN'!$C$7:$C$1492,0),0))</f>
        <v>HDW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484">
        <f>F175*1</f>
        <v>1</v>
      </c>
      <c r="G179" s="360">
        <f ca="1">IF(ISERROR(OFFSET('HARGA SATUAN'!$I$6,MATCH(RAB!C179,'HARGA SATUAN'!$C$7:$C$1492,0),0)),0,OFFSET('HARGA SATUAN'!$I$6,MATCH(RAB!C179,'HARGA SATUAN'!$C$7:$C$1492,0),0))</f>
        <v>78500</v>
      </c>
      <c r="H179" s="361">
        <f t="shared" ca="1" si="48"/>
        <v>0</v>
      </c>
      <c r="I179" s="361">
        <f t="shared" ca="1" si="49"/>
        <v>78500</v>
      </c>
      <c r="J179" s="361">
        <f t="shared" ca="1" si="50"/>
        <v>0</v>
      </c>
      <c r="K179" s="362">
        <f t="shared" ca="1" si="51"/>
        <v>78500</v>
      </c>
    </row>
    <row r="180" spans="2:11">
      <c r="B180" s="507">
        <v>5</v>
      </c>
      <c r="C180" s="508" t="s">
        <v>229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Bh</v>
      </c>
      <c r="F180" s="484">
        <f>F175*1</f>
        <v>1</v>
      </c>
      <c r="G180" s="360">
        <f ca="1">IF(ISERROR(OFFSET('HARGA SATUAN'!$I$6,MATCH(RAB!C180,'HARGA SATUAN'!$C$7:$C$1492,0),0)),0,OFFSET('HARGA SATUAN'!$I$6,MATCH(RAB!C180,'HARGA SATUAN'!$C$7:$C$1492,0),0))</f>
        <v>4212</v>
      </c>
      <c r="H180" s="361">
        <f t="shared" ca="1" si="48"/>
        <v>0</v>
      </c>
      <c r="I180" s="361">
        <f t="shared" ca="1" si="49"/>
        <v>4212</v>
      </c>
      <c r="J180" s="361">
        <f t="shared" ca="1" si="50"/>
        <v>0</v>
      </c>
      <c r="K180" s="362">
        <f t="shared" ca="1" si="51"/>
        <v>4212</v>
      </c>
    </row>
    <row r="181" spans="2:11">
      <c r="B181" s="507">
        <v>6</v>
      </c>
      <c r="C181" s="508" t="s">
        <v>266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Mtr</v>
      </c>
      <c r="F181" s="484">
        <f>F175*1</f>
        <v>1</v>
      </c>
      <c r="G181" s="360">
        <f ca="1">IF(ISERROR(OFFSET('HARGA SATUAN'!$I$6,MATCH(RAB!C181,'HARGA SATUAN'!$C$7:$C$1492,0),0)),0,OFFSET('HARGA SATUAN'!$I$6,MATCH(RAB!C181,'HARGA SATUAN'!$C$7:$C$1492,0),0))</f>
        <v>23310</v>
      </c>
      <c r="H181" s="361">
        <f t="shared" ca="1" si="48"/>
        <v>0</v>
      </c>
      <c r="I181" s="361">
        <f t="shared" ca="1" si="49"/>
        <v>23310</v>
      </c>
      <c r="J181" s="361">
        <f t="shared" ca="1" si="50"/>
        <v>0</v>
      </c>
      <c r="K181" s="362">
        <f t="shared" ca="1" si="51"/>
        <v>23310</v>
      </c>
    </row>
    <row r="182" spans="2:11">
      <c r="B182" s="507">
        <v>7</v>
      </c>
      <c r="C182" s="508" t="s">
        <v>35</v>
      </c>
      <c r="D182" s="358" t="str">
        <f ca="1">IF(ISERROR(OFFSET('HARGA SATUAN'!$D$6,MATCH(RAB!C182,'HARGA SATUAN'!$C$7:$C$1492,0),0)),"",OFFSET('HARGA SATUAN'!$D$6,MATCH(RAB!C182,'HARGA SATUAN'!$C$7:$C$1492,0),0))</f>
        <v>HDW</v>
      </c>
      <c r="E182" s="359" t="str">
        <f ca="1">IF(B182="+","Unit",IF(ISERROR(OFFSET('HARGA SATUAN'!$E$6,MATCH(RAB!C182,'HARGA SATUAN'!$C$7:$C$1492,0),0)),"",OFFSET('HARGA SATUAN'!$E$6,MATCH(RAB!C182,'HARGA SATUAN'!$C$7:$C$1492,0),0)))</f>
        <v>Bh</v>
      </c>
      <c r="F182" s="484">
        <f>F175*1</f>
        <v>1</v>
      </c>
      <c r="G182" s="360">
        <f ca="1">IF(ISERROR(OFFSET('HARGA SATUAN'!$I$6,MATCH(RAB!C182,'HARGA SATUAN'!$C$7:$C$1492,0),0)),0,OFFSET('HARGA SATUAN'!$I$6,MATCH(RAB!C182,'HARGA SATUAN'!$C$7:$C$1492,0),0))</f>
        <v>2300</v>
      </c>
      <c r="H182" s="361">
        <f t="shared" ca="1" si="48"/>
        <v>0</v>
      </c>
      <c r="I182" s="361">
        <f t="shared" ca="1" si="49"/>
        <v>2300</v>
      </c>
      <c r="J182" s="361">
        <f t="shared" ca="1" si="50"/>
        <v>0</v>
      </c>
      <c r="K182" s="362">
        <f t="shared" ca="1" si="51"/>
        <v>2300</v>
      </c>
    </row>
    <row r="183" spans="2:11">
      <c r="B183" s="507"/>
      <c r="C183" s="508"/>
      <c r="D183" s="358"/>
      <c r="E183" s="359"/>
      <c r="F183" s="484"/>
      <c r="G183" s="360"/>
      <c r="H183" s="361"/>
      <c r="I183" s="361"/>
      <c r="J183" s="361"/>
      <c r="K183" s="362"/>
    </row>
    <row r="184" spans="2:11">
      <c r="B184" s="507" t="s">
        <v>1035</v>
      </c>
      <c r="C184" s="508" t="s">
        <v>1630</v>
      </c>
      <c r="D184" s="358" t="str">
        <f ca="1">IF(ISERROR(OFFSET('HARGA SATUAN'!$D$6,MATCH(RAB!C184,'HARGA SATUAN'!$C$7:$C$1492,0),0)),"",OFFSET('HARGA SATUAN'!$D$6,MATCH(RAB!C184,'HARGA SATUAN'!$C$7:$C$1492,0),0))</f>
        <v/>
      </c>
      <c r="E184" s="359" t="str">
        <f ca="1">IF(B184="+","Unit",IF(ISERROR(OFFSET('HARGA SATUAN'!$E$6,MATCH(RAB!C184,'HARGA SATUAN'!$C$7:$C$1492,0),0)),"",OFFSET('HARGA SATUAN'!$E$6,MATCH(RAB!C184,'HARGA SATUAN'!$C$7:$C$1492,0),0)))</f>
        <v>Unit</v>
      </c>
      <c r="F184" s="484">
        <v>1</v>
      </c>
      <c r="G184" s="360">
        <f ca="1">IF(ISERROR(OFFSET('HARGA SATUAN'!$I$6,MATCH(RAB!C184,'HARGA SATUAN'!$C$7:$C$1492,0),0)),0,OFFSET('HARGA SATUAN'!$I$6,MATCH(RAB!C184,'HARGA SATUAN'!$C$7:$C$1492,0),0))</f>
        <v>0</v>
      </c>
      <c r="H184" s="361">
        <f t="shared" ca="1" si="48"/>
        <v>0</v>
      </c>
      <c r="I184" s="361">
        <f t="shared" ca="1" si="49"/>
        <v>0</v>
      </c>
      <c r="J184" s="361">
        <f t="shared" ca="1" si="50"/>
        <v>0</v>
      </c>
      <c r="K184" s="362">
        <f t="shared" ca="1" si="51"/>
        <v>0</v>
      </c>
    </row>
    <row r="185" spans="2:11">
      <c r="B185" s="507">
        <v>1</v>
      </c>
      <c r="C185" s="508" t="s">
        <v>29</v>
      </c>
      <c r="D185" s="358" t="str">
        <f ca="1">IF(ISERROR(OFFSET('HARGA SATUAN'!$D$6,MATCH(RAB!C185,'HARGA SATUAN'!$C$7:$C$1492,0),0)),"",OFFSET('HARGA SATUAN'!$D$6,MATCH(RAB!C185,'HARGA SATUAN'!$C$7:$C$1492,0),0))</f>
        <v>HDW</v>
      </c>
      <c r="E185" s="359" t="str">
        <f ca="1">IF(B185="+","Unit",IF(ISERROR(OFFSET('HARGA SATUAN'!$E$6,MATCH(RAB!C185,'HARGA SATUAN'!$C$7:$C$1492,0),0)),"",OFFSET('HARGA SATUAN'!$E$6,MATCH(RAB!C185,'HARGA SATUAN'!$C$7:$C$1492,0),0)))</f>
        <v>Bh</v>
      </c>
      <c r="F185" s="484">
        <f>F184*1</f>
        <v>1</v>
      </c>
      <c r="G185" s="360">
        <f ca="1">IF(ISERROR(OFFSET('HARGA SATUAN'!$I$6,MATCH(RAB!C185,'HARGA SATUAN'!$C$7:$C$1492,0),0)),0,OFFSET('HARGA SATUAN'!$I$6,MATCH(RAB!C185,'HARGA SATUAN'!$C$7:$C$1492,0),0))</f>
        <v>185200</v>
      </c>
      <c r="H185" s="361">
        <f t="shared" ca="1" si="48"/>
        <v>0</v>
      </c>
      <c r="I185" s="361">
        <f t="shared" ca="1" si="49"/>
        <v>185200</v>
      </c>
      <c r="J185" s="361">
        <f t="shared" ca="1" si="50"/>
        <v>0</v>
      </c>
      <c r="K185" s="362">
        <f t="shared" ca="1" si="51"/>
        <v>185200</v>
      </c>
    </row>
    <row r="186" spans="2:11">
      <c r="B186" s="507">
        <v>2</v>
      </c>
      <c r="C186" s="508" t="s">
        <v>30</v>
      </c>
      <c r="D186" s="358" t="str">
        <f ca="1">IF(ISERROR(OFFSET('HARGA SATUAN'!$D$6,MATCH(RAB!C186,'HARGA SATUAN'!$C$7:$C$1492,0),0)),"",OFFSET('HARGA SATUAN'!$D$6,MATCH(RAB!C186,'HARGA SATUAN'!$C$7:$C$1492,0),0))</f>
        <v>HDW</v>
      </c>
      <c r="E186" s="359" t="str">
        <f ca="1">IF(B186="+","Unit",IF(ISERROR(OFFSET('HARGA SATUAN'!$E$6,MATCH(RAB!C186,'HARGA SATUAN'!$C$7:$C$1492,0),0)),"",OFFSET('HARGA SATUAN'!$E$6,MATCH(RAB!C186,'HARGA SATUAN'!$C$7:$C$1492,0),0)))</f>
        <v>Bh</v>
      </c>
      <c r="F186" s="484">
        <f>F184*1</f>
        <v>1</v>
      </c>
      <c r="G186" s="360">
        <f ca="1">IF(ISERROR(OFFSET('HARGA SATUAN'!$I$6,MATCH(RAB!C186,'HARGA SATUAN'!$C$7:$C$1492,0),0)),0,OFFSET('HARGA SATUAN'!$I$6,MATCH(RAB!C186,'HARGA SATUAN'!$C$7:$C$1492,0),0))</f>
        <v>47459</v>
      </c>
      <c r="H186" s="361">
        <f t="shared" ca="1" si="48"/>
        <v>0</v>
      </c>
      <c r="I186" s="361">
        <f t="shared" ca="1" si="49"/>
        <v>47459</v>
      </c>
      <c r="J186" s="361">
        <f t="shared" ca="1" si="50"/>
        <v>0</v>
      </c>
      <c r="K186" s="362">
        <f t="shared" ca="1" si="51"/>
        <v>47459</v>
      </c>
    </row>
    <row r="187" spans="2:11">
      <c r="B187" s="507">
        <v>3</v>
      </c>
      <c r="C187" s="508" t="s">
        <v>32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Mtr</v>
      </c>
      <c r="F187" s="484">
        <f>F184*1.5</f>
        <v>1.5</v>
      </c>
      <c r="G187" s="360">
        <f ca="1">IF(ISERROR(OFFSET('HARGA SATUAN'!$I$6,MATCH(RAB!C187,'HARGA SATUAN'!$C$7:$C$1492,0),0)),0,OFFSET('HARGA SATUAN'!$I$6,MATCH(RAB!C187,'HARGA SATUAN'!$C$7:$C$1492,0),0))</f>
        <v>30000</v>
      </c>
      <c r="H187" s="361">
        <f t="shared" ca="1" si="48"/>
        <v>0</v>
      </c>
      <c r="I187" s="361">
        <f t="shared" ca="1" si="49"/>
        <v>45000</v>
      </c>
      <c r="J187" s="361">
        <f t="shared" ca="1" si="50"/>
        <v>0</v>
      </c>
      <c r="K187" s="362">
        <f t="shared" ca="1" si="51"/>
        <v>45000</v>
      </c>
    </row>
    <row r="188" spans="2:11">
      <c r="B188" s="507">
        <v>4</v>
      </c>
      <c r="C188" s="508" t="s">
        <v>33</v>
      </c>
      <c r="D188" s="358" t="str">
        <f ca="1">IF(ISERROR(OFFSET('HARGA SATUAN'!$D$6,MATCH(RAB!C188,'HARGA SATUAN'!$C$7:$C$1492,0),0)),"",OFFSET('HARGA SATUAN'!$D$6,MATCH(RAB!C188,'HARGA SATUAN'!$C$7:$C$1492,0),0))</f>
        <v>HDW</v>
      </c>
      <c r="E188" s="359" t="str">
        <f ca="1">IF(B188="+","Unit",IF(ISERROR(OFFSET('HARGA SATUAN'!$E$6,MATCH(RAB!C188,'HARGA SATUAN'!$C$7:$C$1492,0),0)),"",OFFSET('HARGA SATUAN'!$E$6,MATCH(RAB!C188,'HARGA SATUAN'!$C$7:$C$1492,0),0)))</f>
        <v>Bh</v>
      </c>
      <c r="F188" s="484">
        <f>F184*2</f>
        <v>2</v>
      </c>
      <c r="G188" s="360">
        <f ca="1">IF(ISERROR(OFFSET('HARGA SATUAN'!$I$6,MATCH(RAB!C188,'HARGA SATUAN'!$C$7:$C$1492,0),0)),0,OFFSET('HARGA SATUAN'!$I$6,MATCH(RAB!C188,'HARGA SATUAN'!$C$7:$C$1492,0),0))</f>
        <v>9500</v>
      </c>
      <c r="H188" s="361">
        <f t="shared" ca="1" si="48"/>
        <v>0</v>
      </c>
      <c r="I188" s="361">
        <f t="shared" ca="1" si="49"/>
        <v>19000</v>
      </c>
      <c r="J188" s="361">
        <f t="shared" ca="1" si="50"/>
        <v>0</v>
      </c>
      <c r="K188" s="362">
        <f t="shared" ca="1" si="51"/>
        <v>19000</v>
      </c>
    </row>
    <row r="189" spans="2:11">
      <c r="B189" s="507">
        <v>5</v>
      </c>
      <c r="C189" s="508" t="s">
        <v>735</v>
      </c>
      <c r="D189" s="358" t="str">
        <f ca="1">IF(ISERROR(OFFSET('HARGA SATUAN'!$D$6,MATCH(RAB!C189,'HARGA SATUAN'!$C$7:$C$1492,0),0)),"",OFFSET('HARGA SATUAN'!$D$6,MATCH(RAB!C189,'HARGA SATUAN'!$C$7:$C$1492,0),0))</f>
        <v>JASA</v>
      </c>
      <c r="E189" s="359" t="str">
        <f ca="1">IF(B189="+","Unit",IF(ISERROR(OFFSET('HARGA SATUAN'!$E$6,MATCH(RAB!C189,'HARGA SATUAN'!$C$7:$C$1492,0),0)),"",OFFSET('HARGA SATUAN'!$E$6,MATCH(RAB!C189,'HARGA SATUAN'!$C$7:$C$1492,0),0)))</f>
        <v>Unit</v>
      </c>
      <c r="F189" s="484">
        <f>F184*1</f>
        <v>1</v>
      </c>
      <c r="G189" s="360">
        <f ca="1">IF(ISERROR(OFFSET('HARGA SATUAN'!$I$6,MATCH(RAB!C189,'HARGA SATUAN'!$C$7:$C$1492,0),0)),0,OFFSET('HARGA SATUAN'!$I$6,MATCH(RAB!C189,'HARGA SATUAN'!$C$7:$C$1492,0),0))</f>
        <v>56400</v>
      </c>
      <c r="H189" s="361">
        <f t="shared" ca="1" si="48"/>
        <v>0</v>
      </c>
      <c r="I189" s="361">
        <f t="shared" ca="1" si="49"/>
        <v>0</v>
      </c>
      <c r="J189" s="361">
        <f t="shared" ca="1" si="50"/>
        <v>56400</v>
      </c>
      <c r="K189" s="362">
        <f t="shared" ca="1" si="51"/>
        <v>56400</v>
      </c>
    </row>
    <row r="190" spans="2:11">
      <c r="B190" s="507"/>
      <c r="C190" s="508"/>
      <c r="D190" s="358" t="str">
        <f ca="1">IF(ISERROR(OFFSET('HARGA SATUAN'!$D$6,MATCH(RAB!C190,'HARGA SATUAN'!$C$7:$C$1492,0),0)),"",OFFSET('HARGA SATUAN'!$D$6,MATCH(RAB!C190,'HARGA SATUAN'!$C$7:$C$1492,0),0))</f>
        <v/>
      </c>
      <c r="E190" s="359" t="str">
        <f ca="1">IF(B190="+","Unit",IF(ISERROR(OFFSET('HARGA SATUAN'!$E$6,MATCH(RAB!C190,'HARGA SATUAN'!$C$7:$C$1492,0),0)),"",OFFSET('HARGA SATUAN'!$E$6,MATCH(RAB!C190,'HARGA SATUAN'!$C$7:$C$1492,0),0)))</f>
        <v/>
      </c>
      <c r="F190" s="484"/>
      <c r="G190" s="360">
        <f ca="1">IF(ISERROR(OFFSET('HARGA SATUAN'!$I$6,MATCH(RAB!C190,'HARGA SATUAN'!$C$7:$C$1492,0),0)),0,OFFSET('HARGA SATUAN'!$I$6,MATCH(RAB!C190,'HARGA SATUAN'!$C$7:$C$1492,0),0))</f>
        <v>0</v>
      </c>
      <c r="H190" s="361">
        <f t="shared" ca="1" si="48"/>
        <v>0</v>
      </c>
      <c r="I190" s="361">
        <f t="shared" ca="1" si="49"/>
        <v>0</v>
      </c>
      <c r="J190" s="361">
        <f t="shared" ca="1" si="50"/>
        <v>0</v>
      </c>
      <c r="K190" s="362">
        <f t="shared" ca="1" si="51"/>
        <v>0</v>
      </c>
    </row>
    <row r="191" spans="2:11">
      <c r="B191" s="373" t="s">
        <v>1550</v>
      </c>
      <c r="C191" s="374" t="s">
        <v>1615</v>
      </c>
      <c r="D191" s="358" t="str">
        <f ca="1">IF(ISERROR(OFFSET('HARGA SATUAN'!$D$6,MATCH(RAB!C191,'HARGA SATUAN'!$C$7:$C$1492,0),0)),"",OFFSET('HARGA SATUAN'!$D$6,MATCH(RAB!C191,'HARGA SATUAN'!$C$7:$C$1492,0),0))</f>
        <v/>
      </c>
      <c r="E191" s="359" t="str">
        <f ca="1">IF(B191="+","Unit",IF(ISERROR(OFFSET('HARGA SATUAN'!$E$6,MATCH(RAB!C191,'HARGA SATUAN'!$C$7:$C$1492,0),0)),"",OFFSET('HARGA SATUAN'!$E$6,MATCH(RAB!C191,'HARGA SATUAN'!$C$7:$C$1492,0),0)))</f>
        <v/>
      </c>
      <c r="F191" s="484"/>
      <c r="G191" s="360">
        <f ca="1">IF(ISERROR(OFFSET('HARGA SATUAN'!$I$6,MATCH(RAB!C191,'HARGA SATUAN'!$C$7:$C$1492,0),0)),0,OFFSET('HARGA SATUAN'!$I$6,MATCH(RAB!C191,'HARGA SATUAN'!$C$7:$C$1492,0),0))</f>
        <v>0</v>
      </c>
      <c r="H191" s="361">
        <f t="shared" ca="1" si="48"/>
        <v>0</v>
      </c>
      <c r="I191" s="361">
        <f t="shared" ca="1" si="49"/>
        <v>0</v>
      </c>
      <c r="J191" s="361">
        <f t="shared" ca="1" si="50"/>
        <v>0</v>
      </c>
      <c r="K191" s="362">
        <f t="shared" ca="1" si="51"/>
        <v>0</v>
      </c>
    </row>
    <row r="192" spans="2:11">
      <c r="B192" s="375"/>
      <c r="C192" s="109"/>
      <c r="D192" s="358" t="str">
        <f ca="1">IF(ISERROR(OFFSET('HARGA SATUAN'!$D$6,MATCH(RAB!C192,'HARGA SATUAN'!$C$7:$C$1492,0),0)),"",OFFSET('HARGA SATUAN'!$D$6,MATCH(RAB!C192,'HARGA SATUAN'!$C$7:$C$1492,0),0))</f>
        <v/>
      </c>
      <c r="E192" s="359" t="str">
        <f ca="1">IF(B192="+","Unit",IF(ISERROR(OFFSET('HARGA SATUAN'!$E$6,MATCH(RAB!C192,'HARGA SATUAN'!$C$7:$C$1492,0),0)),"",OFFSET('HARGA SATUAN'!$E$6,MATCH(RAB!C192,'HARGA SATUAN'!$C$7:$C$1492,0),0)))</f>
        <v/>
      </c>
      <c r="F192" s="484"/>
      <c r="G192" s="360">
        <f ca="1">IF(ISERROR(OFFSET('HARGA SATUAN'!$I$6,MATCH(RAB!C192,'HARGA SATUAN'!$C$7:$C$1492,0),0)),0,OFFSET('HARGA SATUAN'!$I$6,MATCH(RAB!C192,'HARGA SATUAN'!$C$7:$C$1492,0),0))</f>
        <v>0</v>
      </c>
      <c r="H192" s="361">
        <f t="shared" ca="1" si="48"/>
        <v>0</v>
      </c>
      <c r="I192" s="361">
        <f t="shared" ca="1" si="49"/>
        <v>0</v>
      </c>
      <c r="J192" s="361">
        <f t="shared" ca="1" si="50"/>
        <v>0</v>
      </c>
      <c r="K192" s="362">
        <f t="shared" ca="1" si="51"/>
        <v>0</v>
      </c>
    </row>
    <row r="193" spans="2:13">
      <c r="B193" s="376"/>
      <c r="C193" s="377" t="s">
        <v>475</v>
      </c>
      <c r="D193" s="358" t="str">
        <f ca="1">IF(ISERROR(OFFSET('HARGA SATUAN'!$D$6,MATCH(RAB!C193,'HARGA SATUAN'!$C$7:$C$1492,0),0)),"",OFFSET('HARGA SATUAN'!$D$6,MATCH(RAB!C193,'HARGA SATUAN'!$C$7:$C$1492,0),0))</f>
        <v/>
      </c>
      <c r="E193" s="359" t="str">
        <f ca="1">IF(B193="+","Unit",IF(ISERROR(OFFSET('HARGA SATUAN'!$E$6,MATCH(RAB!C193,'HARGA SATUAN'!$C$7:$C$1492,0),0)),"",OFFSET('HARGA SATUAN'!$E$6,MATCH(RAB!C193,'HARGA SATUAN'!$C$7:$C$1492,0),0)))</f>
        <v/>
      </c>
      <c r="F193" s="484"/>
      <c r="G193" s="360">
        <f ca="1">IF(ISERROR(OFFSET('HARGA SATUAN'!$I$6,MATCH(RAB!C193,'HARGA SATUAN'!$C$7:$C$1492,0),0)),0,OFFSET('HARGA SATUAN'!$I$6,MATCH(RAB!C193,'HARGA SATUAN'!$C$7:$C$1492,0),0))</f>
        <v>0</v>
      </c>
      <c r="H193" s="361">
        <f t="shared" ca="1" si="44"/>
        <v>0</v>
      </c>
      <c r="I193" s="361">
        <f t="shared" ca="1" si="45"/>
        <v>0</v>
      </c>
      <c r="J193" s="361">
        <f t="shared" ca="1" si="46"/>
        <v>0</v>
      </c>
      <c r="K193" s="362">
        <f t="shared" ca="1" si="47"/>
        <v>0</v>
      </c>
    </row>
    <row r="194" spans="2:13">
      <c r="B194" s="379">
        <v>1</v>
      </c>
      <c r="C194" s="380" t="s">
        <v>1091</v>
      </c>
      <c r="D194" s="381" t="str">
        <f ca="1">IF(ISERROR(OFFSET('HARGA SATUAN'!$D$6,MATCH(RAB!C194,'HARGA SATUAN'!$C$7:$C$1492,0),0)),"",OFFSET('HARGA SATUAN'!$D$6,MATCH(RAB!C194,'HARGA SATUAN'!$C$7:$C$1492,0),0))</f>
        <v>JASA</v>
      </c>
      <c r="E194" s="382" t="str">
        <f ca="1">IF(ISERROR(OFFSET('HARGA SATUAN'!$E$6,MATCH(RAB!C194,'HARGA SATUAN'!$C$7:$C$1492,0),0)),"",OFFSET('HARGA SATUAN'!$E$6,MATCH(RAB!C194,'HARGA SATUAN'!$C$7:$C$1492,0),0))</f>
        <v>Lot</v>
      </c>
      <c r="F194" s="383">
        <v>1</v>
      </c>
      <c r="G194" s="384">
        <f ca="1">IF(ISERROR(OFFSET('HARGA SATUAN'!$I$6,MATCH(RAB!C194,'HARGA SATUAN'!$C$7:$C$1492,0),0)),0,OFFSET('HARGA SATUAN'!$I$6,MATCH(RAB!C194,'HARGA SATUAN'!$C$7:$C$1492,0),0))</f>
        <v>2.5000000000000001E-2</v>
      </c>
      <c r="H194" s="385">
        <f ca="1">2.5%*(SUM(H14:H193))</f>
        <v>2418243.75</v>
      </c>
      <c r="I194" s="385">
        <f t="shared" ref="I194" ca="1" si="52">2.5%*(SUM(I14:I193))</f>
        <v>1311096.0616666668</v>
      </c>
      <c r="J194" s="385">
        <f ca="1">2.5%*(SUM(J14:J193))</f>
        <v>157989.33333333337</v>
      </c>
      <c r="K194" s="386">
        <f ca="1">SUM(H194:J194)</f>
        <v>3887329.145</v>
      </c>
    </row>
    <row r="195" spans="2:13">
      <c r="B195" s="387"/>
      <c r="C195" s="388"/>
      <c r="D195" s="358" t="str">
        <f ca="1">IF(ISERROR(OFFSET('HARGA SATUAN'!$D$6,MATCH(RAB!C195,'HARGA SATUAN'!$C$7:$C$1492,0),0)),"",OFFSET('HARGA SATUAN'!$D$6,MATCH(RAB!C195,'HARGA SATUAN'!$C$7:$C$1492,0),0))</f>
        <v/>
      </c>
      <c r="E195" s="359" t="str">
        <f ca="1">IF(ISERROR(OFFSET('HARGA SATUAN'!$E$6,MATCH(RAB!C195,'HARGA SATUAN'!$C$7:$C$1492,0),0)),"",OFFSET('HARGA SATUAN'!$E$6,MATCH(RAB!C195,'HARGA SATUAN'!$C$7:$C$1492,0),0))</f>
        <v/>
      </c>
      <c r="F195" s="378"/>
      <c r="G195" s="360" t="str">
        <f ca="1">IF(ISERROR(OFFSET('HARGA SATUAN'!$I$6,MATCH(RAB!C195,'HARGA SATUAN'!$C$7:$C$1492,0),0)),"",OFFSET('HARGA SATUAN'!$I$6,MATCH(RAB!C195,'HARGA SATUAN'!$C$7:$C$1492,0),0))</f>
        <v/>
      </c>
      <c r="H195" s="361">
        <f ca="1">IF(OR(D195="MDU",D195="MDU-KD"),IF(G195="PLN",0,G195*F195),0)</f>
        <v>0</v>
      </c>
      <c r="I195" s="361">
        <f ca="1">IF(D195="HDW",IF(G195="PLN",0,G195*F195),0)</f>
        <v>0</v>
      </c>
      <c r="J195" s="361">
        <f ca="1">IF(D195="JASA",IF(G195="PLN",0,G195*F195),0)</f>
        <v>0</v>
      </c>
      <c r="K195" s="362">
        <f ca="1">SUM(H195:J195)</f>
        <v>0</v>
      </c>
    </row>
    <row r="196" spans="2:13" ht="15.75" thickBot="1">
      <c r="B196" s="389"/>
      <c r="C196" s="390"/>
      <c r="D196" s="391"/>
      <c r="E196" s="392"/>
      <c r="F196" s="392"/>
      <c r="G196" s="392"/>
      <c r="H196" s="393"/>
      <c r="I196" s="393"/>
      <c r="J196" s="393"/>
      <c r="K196" s="394"/>
    </row>
    <row r="197" spans="2:13">
      <c r="B197" s="395"/>
      <c r="C197" s="652" t="s">
        <v>1008</v>
      </c>
      <c r="D197" s="652"/>
      <c r="E197" s="652"/>
      <c r="F197" s="652"/>
      <c r="G197" s="396" t="s">
        <v>9</v>
      </c>
      <c r="H197" s="397">
        <f ca="1">SUM(H14:H195)</f>
        <v>99147993.75</v>
      </c>
      <c r="I197" s="397">
        <f ca="1">SUM(I14:I195)</f>
        <v>53754938.528333336</v>
      </c>
      <c r="J197" s="397">
        <f ca="1">SUM(J14:J195)</f>
        <v>6477562.666666667</v>
      </c>
      <c r="K197" s="397">
        <f ca="1">SUM(K14:K195)</f>
        <v>159380494.94500002</v>
      </c>
    </row>
    <row r="198" spans="2:13">
      <c r="B198" s="400"/>
      <c r="C198" s="635" t="s">
        <v>1460</v>
      </c>
      <c r="D198" s="635"/>
      <c r="E198" s="635"/>
      <c r="F198" s="635"/>
      <c r="G198" s="401" t="s">
        <v>9</v>
      </c>
      <c r="H198" s="402">
        <f ca="1">H197*0.11</f>
        <v>10906279.3125</v>
      </c>
      <c r="I198" s="402">
        <f ca="1">I197*0.11</f>
        <v>5913043.2381166667</v>
      </c>
      <c r="J198" s="402">
        <f ca="1">J197*0.11</f>
        <v>712531.89333333343</v>
      </c>
      <c r="K198" s="402">
        <f ca="1">K197*0.11</f>
        <v>17531854.443950001</v>
      </c>
    </row>
    <row r="199" spans="2:13" ht="15.75" thickBot="1">
      <c r="B199" s="400"/>
      <c r="C199" s="633" t="s">
        <v>463</v>
      </c>
      <c r="D199" s="633"/>
      <c r="E199" s="633"/>
      <c r="F199" s="633"/>
      <c r="G199" s="404" t="s">
        <v>9</v>
      </c>
      <c r="H199" s="405">
        <f ca="1">SUM(H197:H198)</f>
        <v>110054273.0625</v>
      </c>
      <c r="I199" s="405">
        <f ca="1">SUM(I197:I198)</f>
        <v>59667981.766450003</v>
      </c>
      <c r="J199" s="404">
        <f ca="1">SUM(J197:J198)</f>
        <v>7190094.5600000005</v>
      </c>
      <c r="K199" s="404">
        <f ca="1">SUM(K197:K198)</f>
        <v>176912349.38895002</v>
      </c>
      <c r="M199" s="488"/>
    </row>
    <row r="200" spans="2:13">
      <c r="B200" s="636" t="str">
        <f ca="1">"Terbilang : "&amp;PROPER(IF(K199=0,"nol",IF(K199&lt;0,"minus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IF(--MID(TEXT(ABS(K199),"000000000000000"),1,3)=0,"",MID(TEXT(ABS(K199),"000000000000000"),1,1)&amp;" ratus "&amp;MID(TEXT(ABS(K199),"000000000000000"),2,1)&amp;" puluh "&amp;MID(TEXT(ABS(K199),"000000000000000"),3,1)&amp;" trilyun ")&amp; IF(--MID(TEXT(ABS(K199),"000000000000000"),4,3)=0,"",MID(TEXT(ABS(K199),"000000000000000"),4,1)&amp;" ratus "&amp;MID(TEXT(ABS(K199),"000000000000000"),5,1)&amp;" puluh "&amp;MID(TEXT(ABS(K199),"000000000000000"),6,1)&amp;" milyar ")&amp; IF(--MID(TEXT(ABS(K199),"000000000000000"),7,3)=0,"",MID(TEXT(ABS(K199),"000000000000000"),7,1)&amp;" ratus "&amp;MID(TEXT(ABS(K199),"000000000000000"),8,1)&amp;" puluh "&amp;MID(TEXT(ABS(K199),"000000000000000"),9,1)&amp;" juta ")&amp; IF(--MID(TEXT(ABS(K199),"000000000000000"),10,3)=0,"",IF(--MID(TEXT(ABS(K199),"000000000000000"),10,3)=1,"*",MID(TEXT(ABS(K199),"000000000000000"),10,1)&amp;" ratus "&amp;MID(TEXT(ABS(K199),"000000000000000"),11,1)&amp;" puluh ")&amp;MID(TEXT(ABS(K199),"000000000000000"),12,1)&amp;" ribu ")&amp; IF(--MID(TEXT(ABS(K199),"000000000000000"),13,3)=0,"",MID(TEXT(ABS(K199),"000000000000000"),13,1)&amp;" ratus "&amp;MID(TEXT(ABS(K199),"000000000000000"),14,1)&amp;" puluh "&amp;MID(TEXT(ABS(K199),"000000000000000"),15,1)),1,"satu"),2,"dua"),3,"tiga"),4,"empat"),5,"lima"),6,"enam"),7,"tujuh"),8,"delapan"),9,"sembilan"),"0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Enam Juta Sembilan Ratus Dua Belas Ribu Tiga Ratus Empat Puluh Sembilan Rupiah</v>
      </c>
      <c r="C200" s="637"/>
      <c r="D200" s="637"/>
      <c r="E200" s="637"/>
      <c r="F200" s="637"/>
      <c r="G200" s="637"/>
      <c r="H200" s="637"/>
      <c r="I200" s="637"/>
      <c r="J200" s="637"/>
      <c r="K200" s="638"/>
    </row>
    <row r="201" spans="2:13">
      <c r="B201" s="639"/>
      <c r="C201" s="640"/>
      <c r="D201" s="640"/>
      <c r="E201" s="640"/>
      <c r="F201" s="640"/>
      <c r="G201" s="640"/>
      <c r="H201" s="640"/>
      <c r="I201" s="640"/>
      <c r="J201" s="640"/>
      <c r="K201" s="641"/>
    </row>
    <row r="202" spans="2:13" ht="15.75" thickBot="1">
      <c r="B202" s="407" t="str">
        <f>"Harga yang dipakai adalah "&amp;'HARGA SATUAN'!I5&amp;""</f>
        <v>Harga yang dipakai adalah RAB HSS 2023</v>
      </c>
      <c r="C202" s="408"/>
      <c r="D202" s="409"/>
      <c r="E202" s="409"/>
      <c r="F202" s="409"/>
      <c r="G202" s="410"/>
      <c r="H202" s="410"/>
      <c r="I202" s="410"/>
      <c r="J202" s="410"/>
      <c r="K202" s="411"/>
    </row>
    <row r="203" spans="2:13">
      <c r="C203" s="412"/>
      <c r="E203" s="414"/>
      <c r="F203" s="414"/>
      <c r="G203" s="414"/>
    </row>
    <row r="204" spans="2:13">
      <c r="C204" s="337"/>
      <c r="E204" s="414"/>
      <c r="F204" s="414"/>
      <c r="G204" s="414"/>
      <c r="H204" s="642"/>
      <c r="I204" s="642"/>
      <c r="J204" s="643"/>
      <c r="K204" s="643"/>
    </row>
    <row r="205" spans="2:13">
      <c r="C205" s="337"/>
      <c r="E205" s="414"/>
      <c r="F205" s="414"/>
      <c r="G205" s="414"/>
      <c r="H205" s="415"/>
      <c r="I205" s="632" t="s">
        <v>1613</v>
      </c>
      <c r="J205" s="632"/>
      <c r="K205" s="632"/>
    </row>
    <row r="206" spans="2:13">
      <c r="C206" s="337"/>
      <c r="E206" s="414"/>
      <c r="F206" s="414"/>
      <c r="G206" s="414"/>
      <c r="H206" s="415"/>
      <c r="I206" s="632" t="s">
        <v>1551</v>
      </c>
      <c r="J206" s="632"/>
      <c r="K206" s="632"/>
    </row>
    <row r="207" spans="2:13">
      <c r="C207" s="337"/>
      <c r="E207" s="414"/>
      <c r="F207" s="414"/>
      <c r="G207" s="414"/>
      <c r="H207" s="416"/>
      <c r="I207" s="417"/>
      <c r="J207" s="417"/>
      <c r="K207" s="417"/>
    </row>
    <row r="208" spans="2:13">
      <c r="C208" s="337"/>
      <c r="E208" s="414"/>
      <c r="F208" s="414"/>
      <c r="G208" s="414"/>
      <c r="H208" s="416"/>
      <c r="I208" s="416"/>
      <c r="J208" s="416"/>
      <c r="K208" s="416"/>
    </row>
    <row r="209" spans="3:11">
      <c r="C209" s="337"/>
      <c r="E209" s="414"/>
      <c r="F209" s="414"/>
      <c r="G209" s="414"/>
      <c r="H209" s="416"/>
      <c r="I209" s="416"/>
      <c r="J209" s="416"/>
      <c r="K209" s="416"/>
    </row>
    <row r="210" spans="3:11">
      <c r="C210" s="337"/>
      <c r="E210" s="414"/>
      <c r="F210" s="414"/>
      <c r="G210" s="414"/>
      <c r="H210" s="416"/>
      <c r="I210" s="416"/>
      <c r="J210" s="416"/>
      <c r="K210" s="416"/>
    </row>
    <row r="211" spans="3:11">
      <c r="C211" s="337"/>
      <c r="E211" s="414"/>
      <c r="F211" s="414"/>
      <c r="G211" s="414"/>
      <c r="H211" s="418"/>
      <c r="I211" s="632" t="s">
        <v>1552</v>
      </c>
      <c r="J211" s="632"/>
      <c r="K211" s="632"/>
    </row>
    <row r="212" spans="3:11">
      <c r="C212" s="412"/>
      <c r="E212" s="414"/>
      <c r="F212" s="414"/>
      <c r="G212" s="414"/>
      <c r="H212" s="416"/>
      <c r="I212" s="416"/>
      <c r="J212" s="416"/>
      <c r="K212" s="416"/>
    </row>
    <row r="213" spans="3:11">
      <c r="C213" s="412"/>
      <c r="E213" s="414"/>
      <c r="F213" s="414"/>
      <c r="G213" s="414"/>
      <c r="H213" s="416"/>
      <c r="I213" s="416"/>
      <c r="J213" s="416"/>
      <c r="K213" s="416"/>
    </row>
    <row r="214" spans="3:11">
      <c r="C214" s="412"/>
      <c r="E214" s="414"/>
      <c r="F214" s="414"/>
      <c r="G214" s="414"/>
      <c r="H214" s="416"/>
      <c r="I214" s="416"/>
      <c r="J214" s="416"/>
      <c r="K214" s="416"/>
    </row>
  </sheetData>
  <sheetProtection sort="0" autoFilter="0"/>
  <protectedRanges>
    <protectedRange sqref="B192 B147:B154" name="Range1_1"/>
    <protectedRange sqref="F14:F16 F21:F23" name="Range1_1_2_2"/>
    <protectedRange sqref="B191:C191 B58:C59 B89:C90 B91:B94 B166:C166 B95:C111 B133:C134 C147:C154 C118 B83:C83" name="Range1_1_1"/>
    <protectedRange sqref="C138" name="Range1_1_2_2_1"/>
    <protectedRange sqref="C192" name="Range1_1_3_12"/>
    <protectedRange sqref="C40 C42:C57" name="Range1_1_3_2"/>
    <protectedRange sqref="F18:F20" name="Range1_1_2_2_1_1"/>
    <protectedRange sqref="B27:C27 B29:C38 B24:B26" name="Range1_1_1_1"/>
    <protectedRange sqref="B28:C28" name="Range1_6_1_1"/>
    <protectedRange sqref="F24:F38" name="Range1_1_2_2_1_3"/>
    <protectedRange sqref="C25 C121 C61 C127" name="Range1_1_3_3"/>
    <protectedRange sqref="C26 C62" name="Range1_1_3_4"/>
    <protectedRange sqref="C41 C63" name="Range1_1_3_5"/>
    <protectedRange sqref="C91" name="Range1_1_3_6"/>
    <protectedRange sqref="C92" name="Range1_1_3_8"/>
    <protectedRange sqref="C93" name="Range1_1_3_9"/>
    <protectedRange sqref="C94" name="Range1_1_3_10"/>
    <protectedRange sqref="C139" name="Range1_1_3_16"/>
    <protectedRange sqref="C143" name="Range1_1_3_17"/>
    <protectedRange sqref="C136" name="Range1_1_3_11"/>
    <protectedRange sqref="C172" name="Range1_1_3_13"/>
  </protectedRanges>
  <mergeCells count="22">
    <mergeCell ref="O3:P4"/>
    <mergeCell ref="B4:K4"/>
    <mergeCell ref="C197:F197"/>
    <mergeCell ref="B11:B13"/>
    <mergeCell ref="C11:C13"/>
    <mergeCell ref="D11:D13"/>
    <mergeCell ref="E11:E13"/>
    <mergeCell ref="F11:F13"/>
    <mergeCell ref="G11:G13"/>
    <mergeCell ref="I12:I13"/>
    <mergeCell ref="I206:K206"/>
    <mergeCell ref="I211:K211"/>
    <mergeCell ref="C199:F199"/>
    <mergeCell ref="G6:K6"/>
    <mergeCell ref="I205:K205"/>
    <mergeCell ref="C198:F198"/>
    <mergeCell ref="B200:K201"/>
    <mergeCell ref="H204:K204"/>
    <mergeCell ref="H11:K11"/>
    <mergeCell ref="H12:H13"/>
    <mergeCell ref="J12:J13"/>
    <mergeCell ref="K12:K13"/>
  </mergeCells>
  <phoneticPr fontId="140" type="noConversion"/>
  <conditionalFormatting sqref="C15 C17:C20">
    <cfRule type="cellIs" dxfId="19" priority="482" operator="equal">
      <formula>0</formula>
    </cfRule>
  </conditionalFormatting>
  <conditionalFormatting sqref="C25:C26">
    <cfRule type="cellIs" dxfId="18" priority="62" operator="equal">
      <formula>0</formula>
    </cfRule>
  </conditionalFormatting>
  <conditionalFormatting sqref="C41">
    <cfRule type="cellIs" dxfId="17" priority="57" operator="equal">
      <formula>0</formula>
    </cfRule>
  </conditionalFormatting>
  <conditionalFormatting sqref="C61:C63">
    <cfRule type="cellIs" dxfId="15" priority="5" operator="equal">
      <formula>0</formula>
    </cfRule>
  </conditionalFormatting>
  <conditionalFormatting sqref="C91:C94">
    <cfRule type="cellIs" dxfId="14" priority="51" operator="equal">
      <formula>0</formula>
    </cfRule>
  </conditionalFormatting>
  <conditionalFormatting sqref="C121">
    <cfRule type="cellIs" dxfId="13" priority="24" operator="equal">
      <formula>0</formula>
    </cfRule>
  </conditionalFormatting>
  <conditionalFormatting sqref="C136">
    <cfRule type="cellIs" dxfId="11" priority="2" operator="equal">
      <formula>0</formula>
    </cfRule>
  </conditionalFormatting>
  <conditionalFormatting sqref="C139:C140">
    <cfRule type="cellIs" dxfId="10" priority="28" operator="equal">
      <formula>0</formula>
    </cfRule>
  </conditionalFormatting>
  <conditionalFormatting sqref="C143">
    <cfRule type="cellIs" dxfId="9" priority="27" operator="equal">
      <formula>0</formula>
    </cfRule>
  </conditionalFormatting>
  <conditionalFormatting sqref="C154">
    <cfRule type="cellIs" dxfId="8" priority="73" operator="equal">
      <formula>0</formula>
    </cfRule>
  </conditionalFormatting>
  <conditionalFormatting sqref="C169">
    <cfRule type="cellIs" dxfId="7" priority="11" operator="equal">
      <formula>0</formula>
    </cfRule>
  </conditionalFormatting>
  <conditionalFormatting sqref="C172">
    <cfRule type="cellIs" dxfId="6" priority="10" operator="equal">
      <formula>0</formula>
    </cfRule>
  </conditionalFormatting>
  <conditionalFormatting sqref="C192">
    <cfRule type="cellIs" dxfId="5" priority="80" operator="equal">
      <formula>0</formula>
    </cfRule>
  </conditionalFormatting>
  <conditionalFormatting sqref="E1:E3 G1:G13 E5:E13 H12:I12 O13 E60:E82 G60:K82 E194:G194 H194:K196 E195:H195 E196:F196 S14:V57 E14:K59">
    <cfRule type="cellIs" dxfId="4" priority="1062" stopIfTrue="1" operator="equal">
      <formula>0</formula>
    </cfRule>
  </conditionalFormatting>
  <conditionalFormatting sqref="E83:K193">
    <cfRule type="cellIs" dxfId="3" priority="4" stopIfTrue="1" operator="equal">
      <formula>0</formula>
    </cfRule>
  </conditionalFormatting>
  <conditionalFormatting sqref="G195:G65661 E200:E65661">
    <cfRule type="cellIs" dxfId="1" priority="196" stopIfTrue="1" operator="equal">
      <formula>0</formula>
    </cfRule>
  </conditionalFormatting>
  <conditionalFormatting sqref="C12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74 F179:F193 C137:C138 F24:F39 F59 F83:F108 F110:F167 H14:K19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6" zoomScaleNormal="115" zoomScaleSheetLayoutView="100" workbookViewId="0">
      <selection activeCell="Y36" sqref="Y36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14" t="s">
        <v>1439</v>
      </c>
      <c r="X2" s="715"/>
      <c r="Y2" s="715"/>
      <c r="Z2" s="715"/>
      <c r="AA2" s="715"/>
      <c r="AB2" s="715"/>
      <c r="AC2" s="715"/>
      <c r="AD2" s="716"/>
    </row>
    <row r="3" spans="3:30">
      <c r="C3" s="238"/>
      <c r="W3" s="717"/>
      <c r="X3" s="718"/>
      <c r="Y3" s="718"/>
      <c r="Z3" s="718"/>
      <c r="AA3" s="718"/>
      <c r="AB3" s="718"/>
      <c r="AC3" s="718"/>
      <c r="AD3" s="71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4" t="s">
        <v>990</v>
      </c>
      <c r="Y5" s="664"/>
      <c r="Z5" s="664"/>
      <c r="AA5" s="664" t="s">
        <v>988</v>
      </c>
      <c r="AB5" s="664"/>
      <c r="AC5" s="664" t="s">
        <v>989</v>
      </c>
      <c r="AD5" s="665"/>
    </row>
    <row r="6" spans="3:30">
      <c r="C6" s="238"/>
      <c r="W6" s="241">
        <v>1</v>
      </c>
      <c r="X6" s="664" t="s">
        <v>993</v>
      </c>
      <c r="Y6" s="664"/>
      <c r="Z6" s="664"/>
      <c r="AA6" s="664"/>
      <c r="AB6" s="664"/>
      <c r="AC6" s="664"/>
      <c r="AD6" s="665"/>
    </row>
    <row r="7" spans="3:30">
      <c r="C7" s="238"/>
      <c r="E7" s="494" t="str">
        <f>PETA!$C$6</f>
        <v>KOORDINAT : -6.8652081,110.7254052</v>
      </c>
      <c r="W7" s="241">
        <v>2</v>
      </c>
      <c r="X7" s="664" t="s">
        <v>994</v>
      </c>
      <c r="Y7" s="664"/>
      <c r="Z7" s="664"/>
      <c r="AA7" s="664"/>
      <c r="AB7" s="664"/>
      <c r="AC7" s="664"/>
      <c r="AD7" s="665"/>
    </row>
    <row r="8" spans="3:30">
      <c r="C8" s="238"/>
      <c r="W8" s="241">
        <v>3</v>
      </c>
      <c r="X8" s="664" t="s">
        <v>995</v>
      </c>
      <c r="Y8" s="664"/>
      <c r="Z8" s="664"/>
      <c r="AA8" s="664"/>
      <c r="AB8" s="664"/>
      <c r="AC8" s="664"/>
      <c r="AD8" s="665"/>
    </row>
    <row r="9" spans="3:30" ht="12.75">
      <c r="C9" s="238"/>
      <c r="O9" s="523"/>
      <c r="W9" s="241">
        <v>4</v>
      </c>
      <c r="X9" s="664" t="s">
        <v>996</v>
      </c>
      <c r="Y9" s="664"/>
      <c r="Z9" s="664"/>
      <c r="AA9" s="664"/>
      <c r="AB9" s="664"/>
      <c r="AC9" s="664"/>
      <c r="AD9" s="665"/>
    </row>
    <row r="10" spans="3:30">
      <c r="C10" s="238"/>
      <c r="W10" s="241">
        <v>5</v>
      </c>
      <c r="X10" s="664" t="s">
        <v>997</v>
      </c>
      <c r="Y10" s="664"/>
      <c r="Z10" s="664"/>
      <c r="AA10" s="664"/>
      <c r="AB10" s="664"/>
      <c r="AC10" s="664"/>
      <c r="AD10" s="665"/>
    </row>
    <row r="11" spans="3:30">
      <c r="C11" s="238"/>
      <c r="W11" s="241">
        <v>6</v>
      </c>
      <c r="X11" s="664" t="s">
        <v>998</v>
      </c>
      <c r="Y11" s="664"/>
      <c r="Z11" s="664"/>
      <c r="AA11" s="664"/>
      <c r="AB11" s="664"/>
      <c r="AC11" s="664"/>
      <c r="AD11" s="665"/>
    </row>
    <row r="12" spans="3:30">
      <c r="C12" s="238"/>
      <c r="W12" s="241">
        <v>7</v>
      </c>
      <c r="X12" s="664" t="s">
        <v>999</v>
      </c>
      <c r="Y12" s="664"/>
      <c r="Z12" s="664"/>
      <c r="AA12" s="664"/>
      <c r="AB12" s="664"/>
      <c r="AC12" s="664"/>
      <c r="AD12" s="665"/>
    </row>
    <row r="13" spans="3:30" ht="12.75" customHeight="1">
      <c r="C13" s="238"/>
      <c r="W13" s="241">
        <v>8</v>
      </c>
      <c r="X13" s="664" t="s">
        <v>1000</v>
      </c>
      <c r="Y13" s="664"/>
      <c r="Z13" s="664"/>
      <c r="AA13" s="664"/>
      <c r="AB13" s="664"/>
      <c r="AC13" s="664"/>
      <c r="AD13" s="665"/>
    </row>
    <row r="14" spans="3:30">
      <c r="C14" s="238"/>
      <c r="W14" s="241">
        <v>9</v>
      </c>
      <c r="X14" s="664" t="s">
        <v>1001</v>
      </c>
      <c r="Y14" s="664"/>
      <c r="Z14" s="664"/>
      <c r="AA14" s="664"/>
      <c r="AB14" s="664"/>
      <c r="AC14" s="664"/>
      <c r="AD14" s="665"/>
    </row>
    <row r="15" spans="3:30">
      <c r="C15" s="238"/>
      <c r="W15" s="241">
        <v>10</v>
      </c>
      <c r="X15" s="664" t="s">
        <v>1010</v>
      </c>
      <c r="Y15" s="664"/>
      <c r="Z15" s="664"/>
      <c r="AA15" s="664"/>
      <c r="AB15" s="664"/>
      <c r="AC15" s="664"/>
      <c r="AD15" s="665"/>
    </row>
    <row r="16" spans="3:30">
      <c r="C16" s="238"/>
      <c r="W16" s="241">
        <v>11</v>
      </c>
      <c r="X16" s="664" t="s">
        <v>1458</v>
      </c>
      <c r="Y16" s="664"/>
      <c r="Z16" s="664"/>
      <c r="AA16" s="664"/>
      <c r="AB16" s="664"/>
      <c r="AC16" s="664"/>
      <c r="AD16" s="665"/>
    </row>
    <row r="17" spans="3:30">
      <c r="C17" s="238"/>
      <c r="S17" s="242"/>
      <c r="W17" s="241">
        <v>12</v>
      </c>
      <c r="X17" s="664" t="s">
        <v>1011</v>
      </c>
      <c r="Y17" s="664"/>
      <c r="Z17" s="664"/>
      <c r="AA17" s="664"/>
      <c r="AB17" s="664"/>
      <c r="AC17" s="664"/>
      <c r="AD17" s="665"/>
    </row>
    <row r="18" spans="3:30">
      <c r="C18" s="243"/>
      <c r="D18" s="244"/>
      <c r="E18" s="244"/>
      <c r="W18" s="241">
        <v>13</v>
      </c>
      <c r="X18" s="664"/>
      <c r="Y18" s="664"/>
      <c r="Z18" s="664"/>
      <c r="AA18" s="664"/>
      <c r="AB18" s="664"/>
      <c r="AC18" s="664"/>
      <c r="AD18" s="665"/>
    </row>
    <row r="19" spans="3:30">
      <c r="C19" s="238"/>
      <c r="W19" s="245"/>
      <c r="X19" s="712"/>
      <c r="Y19" s="712"/>
      <c r="Z19" s="712"/>
      <c r="AA19" s="712"/>
      <c r="AB19" s="712"/>
      <c r="AC19" s="712"/>
      <c r="AD19" s="713"/>
    </row>
    <row r="20" spans="3:30">
      <c r="C20" s="238"/>
      <c r="W20" s="699" t="s">
        <v>992</v>
      </c>
      <c r="X20" s="700"/>
      <c r="Y20" s="700"/>
      <c r="Z20" s="700"/>
      <c r="AA20" s="700"/>
      <c r="AB20" s="700"/>
      <c r="AC20" s="700"/>
      <c r="AD20" s="701"/>
    </row>
    <row r="21" spans="3:30">
      <c r="C21" s="238"/>
      <c r="W21" s="702" t="s">
        <v>985</v>
      </c>
      <c r="X21" s="703"/>
      <c r="Y21" s="703"/>
      <c r="Z21" s="704"/>
      <c r="AA21" s="705" t="s">
        <v>986</v>
      </c>
      <c r="AB21" s="706"/>
      <c r="AC21" s="706"/>
      <c r="AD21" s="707"/>
    </row>
    <row r="22" spans="3:30">
      <c r="C22" s="238"/>
      <c r="W22" s="708" t="s">
        <v>1637</v>
      </c>
      <c r="X22" s="709"/>
      <c r="Y22" s="496">
        <v>3</v>
      </c>
      <c r="Z22" s="503"/>
      <c r="AA22" s="710"/>
      <c r="AB22" s="711"/>
      <c r="AC22" s="248"/>
      <c r="AD22" s="249"/>
    </row>
    <row r="23" spans="3:30">
      <c r="C23" s="238"/>
      <c r="W23" s="708" t="s">
        <v>1638</v>
      </c>
      <c r="X23" s="709"/>
      <c r="Y23" s="496">
        <v>2</v>
      </c>
      <c r="Z23" s="503"/>
      <c r="AA23" s="697"/>
      <c r="AB23" s="698"/>
      <c r="AC23" s="248"/>
      <c r="AD23" s="249"/>
    </row>
    <row r="24" spans="3:30">
      <c r="C24" s="238"/>
      <c r="W24" s="693" t="s">
        <v>1621</v>
      </c>
      <c r="X24" s="694"/>
      <c r="Y24" s="246">
        <v>3</v>
      </c>
      <c r="Z24" s="247"/>
      <c r="AA24" s="695"/>
      <c r="AB24" s="696"/>
      <c r="AC24" s="248"/>
      <c r="AD24" s="249"/>
    </row>
    <row r="25" spans="3:30">
      <c r="C25" s="238"/>
      <c r="W25" s="693" t="s">
        <v>1642</v>
      </c>
      <c r="X25" s="694"/>
      <c r="Y25" s="246">
        <v>1</v>
      </c>
      <c r="Z25" s="247"/>
      <c r="AA25" s="697"/>
      <c r="AB25" s="698"/>
      <c r="AC25" s="248"/>
      <c r="AD25" s="249"/>
    </row>
    <row r="26" spans="3:30">
      <c r="C26" s="238"/>
      <c r="W26" s="485" t="s">
        <v>1622</v>
      </c>
      <c r="X26" s="486"/>
      <c r="Y26" s="246">
        <v>1</v>
      </c>
      <c r="Z26" s="247"/>
      <c r="AA26" s="697"/>
      <c r="AB26" s="698"/>
      <c r="AC26" s="248"/>
      <c r="AD26" s="249"/>
    </row>
    <row r="27" spans="3:30">
      <c r="C27" s="238"/>
      <c r="W27" s="485" t="s">
        <v>1646</v>
      </c>
      <c r="X27" s="486"/>
      <c r="Y27" s="246">
        <v>1</v>
      </c>
      <c r="Z27" s="247"/>
      <c r="AA27" s="692"/>
      <c r="AB27" s="687"/>
      <c r="AC27" s="248"/>
      <c r="AD27" s="249"/>
    </row>
    <row r="28" spans="3:30">
      <c r="C28" s="238"/>
      <c r="W28" s="485" t="s">
        <v>1634</v>
      </c>
      <c r="X28" s="486"/>
      <c r="Y28" s="246">
        <v>2</v>
      </c>
      <c r="Z28" s="247"/>
      <c r="AA28" s="692"/>
      <c r="AB28" s="687"/>
      <c r="AC28" s="248"/>
      <c r="AD28" s="249"/>
    </row>
    <row r="29" spans="3:30">
      <c r="C29" s="238"/>
      <c r="W29" s="525" t="s">
        <v>1623</v>
      </c>
      <c r="X29" s="487"/>
      <c r="Y29" s="246">
        <v>4</v>
      </c>
      <c r="Z29" s="247"/>
      <c r="AA29" s="692"/>
      <c r="AB29" s="687"/>
      <c r="AC29" s="248"/>
      <c r="AD29" s="249"/>
    </row>
    <row r="30" spans="3:30" ht="11.25" customHeight="1">
      <c r="C30" s="238"/>
      <c r="W30" s="485" t="s">
        <v>1627</v>
      </c>
      <c r="X30" s="486"/>
      <c r="Y30" s="246">
        <v>2</v>
      </c>
      <c r="Z30" s="247"/>
      <c r="AA30" s="692"/>
      <c r="AB30" s="687"/>
      <c r="AC30" s="248"/>
      <c r="AD30" s="249"/>
    </row>
    <row r="31" spans="3:30">
      <c r="C31" s="238"/>
      <c r="U31" s="250"/>
      <c r="W31" s="485" t="s">
        <v>1639</v>
      </c>
      <c r="X31" s="486"/>
      <c r="Y31" s="246">
        <v>1</v>
      </c>
      <c r="Z31" s="247"/>
      <c r="AA31" s="692"/>
      <c r="AB31" s="687"/>
      <c r="AC31" s="248"/>
      <c r="AD31" s="249"/>
    </row>
    <row r="32" spans="3:30">
      <c r="C32" s="238"/>
      <c r="U32" s="250"/>
      <c r="W32" s="485" t="s">
        <v>1632</v>
      </c>
      <c r="X32" s="486"/>
      <c r="Y32" s="246">
        <v>2</v>
      </c>
      <c r="Z32" s="247"/>
      <c r="AA32" s="692"/>
      <c r="AB32" s="687"/>
      <c r="AC32" s="248"/>
      <c r="AD32" s="249"/>
    </row>
    <row r="33" spans="3:30">
      <c r="C33" s="238"/>
      <c r="W33" s="485" t="s">
        <v>1633</v>
      </c>
      <c r="X33" s="486"/>
      <c r="Y33" s="246">
        <v>2</v>
      </c>
      <c r="Z33" s="247"/>
      <c r="AA33" s="692"/>
      <c r="AB33" s="687"/>
      <c r="AC33" s="248"/>
      <c r="AD33" s="249"/>
    </row>
    <row r="34" spans="3:30">
      <c r="C34" s="238"/>
      <c r="W34" s="485" t="s">
        <v>1647</v>
      </c>
      <c r="X34" s="486"/>
      <c r="Y34" s="246">
        <v>1</v>
      </c>
      <c r="Z34" s="247"/>
      <c r="AA34" s="692"/>
      <c r="AB34" s="687"/>
      <c r="AC34" s="248"/>
      <c r="AD34" s="249"/>
    </row>
    <row r="35" spans="3:30">
      <c r="C35" s="238"/>
      <c r="W35" s="684" t="s">
        <v>1648</v>
      </c>
      <c r="X35" s="685"/>
      <c r="Y35" s="246">
        <v>720</v>
      </c>
      <c r="Z35" s="247"/>
      <c r="AA35" s="692"/>
      <c r="AB35" s="687"/>
      <c r="AC35" s="248"/>
      <c r="AD35" s="249"/>
    </row>
    <row r="36" spans="3:30">
      <c r="C36" s="238"/>
      <c r="W36" s="684"/>
      <c r="X36" s="685"/>
      <c r="Y36" s="246"/>
      <c r="Z36" s="251"/>
      <c r="AA36" s="686"/>
      <c r="AB36" s="687"/>
      <c r="AC36" s="248"/>
      <c r="AD36" s="249"/>
    </row>
    <row r="37" spans="3:30" ht="12.75" customHeight="1">
      <c r="C37" s="238"/>
      <c r="W37" s="688"/>
      <c r="X37" s="689"/>
      <c r="Y37" s="246"/>
      <c r="Z37" s="251"/>
      <c r="AA37" s="690"/>
      <c r="AB37" s="691"/>
      <c r="AC37" s="252"/>
      <c r="AD37" s="253"/>
    </row>
    <row r="38" spans="3:30" ht="12.75" customHeight="1">
      <c r="C38" s="238"/>
      <c r="W38" s="688"/>
      <c r="X38" s="68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8"/>
      <c r="X39" s="689"/>
      <c r="Y39" s="254"/>
      <c r="Z39" s="257"/>
      <c r="AA39" s="680"/>
      <c r="AB39" s="681"/>
      <c r="AC39" s="252"/>
      <c r="AD39" s="253"/>
    </row>
    <row r="40" spans="3:30" ht="12" customHeight="1">
      <c r="C40" s="238"/>
      <c r="W40" s="676"/>
      <c r="X40" s="677"/>
      <c r="Y40" s="254"/>
      <c r="Z40" s="257"/>
      <c r="AA40" s="258"/>
      <c r="AB40" s="259"/>
      <c r="AC40" s="252"/>
      <c r="AD40" s="253"/>
    </row>
    <row r="41" spans="3:30" ht="12" customHeight="1">
      <c r="C41" s="238"/>
      <c r="P41" s="235">
        <f>180*4</f>
        <v>720</v>
      </c>
      <c r="W41" s="678"/>
      <c r="X41" s="679"/>
      <c r="Y41" s="260"/>
      <c r="Z41" s="261"/>
      <c r="AA41" s="680"/>
      <c r="AB41" s="681"/>
      <c r="AC41" s="252"/>
      <c r="AD41" s="253"/>
    </row>
    <row r="42" spans="3:30" ht="12" customHeight="1">
      <c r="C42" s="238"/>
      <c r="W42" s="682" t="s">
        <v>1459</v>
      </c>
      <c r="X42" s="683"/>
      <c r="Y42" s="683"/>
      <c r="Z42" s="68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61" t="s">
        <v>11</v>
      </c>
      <c r="X44" s="662"/>
      <c r="Y44" s="664"/>
      <c r="Z44" s="664"/>
      <c r="AA44" s="664"/>
      <c r="AB44" s="664"/>
      <c r="AC44" s="664"/>
      <c r="AD44" s="665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24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61" t="s">
        <v>984</v>
      </c>
      <c r="X45" s="662"/>
      <c r="Y45" s="664">
        <v>1</v>
      </c>
      <c r="Z45" s="664"/>
      <c r="AA45" s="664"/>
      <c r="AB45" s="664" t="s">
        <v>12</v>
      </c>
      <c r="AC45" s="66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61" t="s">
        <v>15</v>
      </c>
      <c r="X46" s="662"/>
      <c r="Y46" s="675"/>
      <c r="Z46" s="675"/>
      <c r="AA46" s="675"/>
      <c r="AB46" s="664" t="s">
        <v>16</v>
      </c>
      <c r="AC46" s="66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9" t="s">
        <v>17</v>
      </c>
      <c r="X47" s="669"/>
      <c r="Y47" s="669"/>
      <c r="Z47" s="669"/>
      <c r="AA47" s="669"/>
      <c r="AB47" s="669"/>
      <c r="AC47" s="669"/>
      <c r="AD47" s="67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71" t="str">
        <f>RAB!G6</f>
        <v>AGR SRI REZEKI DS. NGALURAN</v>
      </c>
      <c r="X48" s="671"/>
      <c r="Y48" s="671"/>
      <c r="Z48" s="671"/>
      <c r="AA48" s="671"/>
      <c r="AB48" s="671"/>
      <c r="AC48" s="671"/>
      <c r="AD48" s="67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71"/>
      <c r="X49" s="671"/>
      <c r="Y49" s="671"/>
      <c r="Z49" s="671"/>
      <c r="AA49" s="671"/>
      <c r="AB49" s="671"/>
      <c r="AC49" s="671"/>
      <c r="AD49" s="67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71"/>
      <c r="X50" s="671"/>
      <c r="Y50" s="671"/>
      <c r="Z50" s="671"/>
      <c r="AA50" s="671"/>
      <c r="AB50" s="671"/>
      <c r="AC50" s="671"/>
      <c r="AD50" s="67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73"/>
      <c r="X51" s="673"/>
      <c r="Y51" s="673"/>
      <c r="Z51" s="673"/>
      <c r="AA51" s="673"/>
      <c r="AB51" s="673"/>
      <c r="AC51" s="673"/>
      <c r="AD51" s="67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61" t="s">
        <v>18</v>
      </c>
      <c r="X52" s="662"/>
      <c r="Y52" s="664" t="s">
        <v>1616</v>
      </c>
      <c r="Z52" s="664"/>
      <c r="AA52" s="664"/>
      <c r="AB52" s="664"/>
      <c r="AC52" s="664"/>
      <c r="AD52" s="66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61" t="s">
        <v>19</v>
      </c>
      <c r="X53" s="662"/>
      <c r="Y53" s="664" t="s">
        <v>1617</v>
      </c>
      <c r="Z53" s="664"/>
      <c r="AA53" s="664"/>
      <c r="AB53" s="664"/>
      <c r="AC53" s="664"/>
      <c r="AD53" s="66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61" t="s">
        <v>20</v>
      </c>
      <c r="X54" s="662"/>
      <c r="Y54" s="663" t="s">
        <v>1618</v>
      </c>
      <c r="Z54" s="663"/>
      <c r="AA54" s="663"/>
      <c r="AB54" s="664"/>
      <c r="AC54" s="664"/>
      <c r="AD54" s="66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6" t="s">
        <v>21</v>
      </c>
      <c r="X55" s="667"/>
      <c r="Y55" s="663" t="s">
        <v>1554</v>
      </c>
      <c r="Z55" s="663"/>
      <c r="AA55" s="663"/>
      <c r="AB55" s="663"/>
      <c r="AC55" s="663"/>
      <c r="AD55" s="66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28" sqref="V28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0" t="s">
        <v>1531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217"/>
      <c r="AE4" s="216"/>
      <c r="AF4" s="216"/>
    </row>
    <row r="5" spans="2:32" ht="13.5" customHeight="1">
      <c r="B5" s="215"/>
      <c r="C5" s="215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217"/>
      <c r="AE5" s="216"/>
      <c r="AF5" s="216"/>
    </row>
    <row r="6" spans="2:32" ht="12.75" customHeight="1">
      <c r="B6" s="215"/>
      <c r="C6" s="215"/>
      <c r="D6" s="723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5"/>
      <c r="AE6" s="216"/>
      <c r="AF6" s="216"/>
    </row>
    <row r="7" spans="2:32" ht="12.75" customHeight="1" thickBot="1">
      <c r="B7" s="215"/>
      <c r="C7" s="215"/>
      <c r="D7" s="726"/>
      <c r="E7" s="727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U31" sqref="U31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4" t="s">
        <v>1530</v>
      </c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9" t="s">
        <v>1643</v>
      </c>
      <c r="D6" s="729"/>
      <c r="E6" s="729"/>
      <c r="F6" s="729"/>
      <c r="G6" s="729"/>
      <c r="H6" s="729"/>
      <c r="I6" s="729"/>
      <c r="J6" s="729"/>
      <c r="K6" s="729"/>
      <c r="L6" s="729"/>
      <c r="M6" s="729"/>
      <c r="W6" s="182"/>
      <c r="Y6" s="432"/>
      <c r="Z6" s="432"/>
      <c r="AA6" s="432"/>
      <c r="AB6" s="433"/>
      <c r="AC6" s="433"/>
    </row>
    <row r="7" spans="1:29" ht="18" customHeight="1">
      <c r="A7" s="181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2023-02-27T08:00:50Z</cp:lastPrinted>
  <dcterms:created xsi:type="dcterms:W3CDTF">2011-02-06T11:57:38Z</dcterms:created>
  <dcterms:modified xsi:type="dcterms:W3CDTF">2024-06-12T04:38:15Z</dcterms:modified>
</cp:coreProperties>
</file>