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51A45A86-38F1-4FD4-8A50-3E704FDBEAFB}" xr6:coauthVersionLast="47" xr6:coauthVersionMax="47" xr10:uidLastSave="{00000000-0000-0000-0000-000000000000}"/>
  <bookViews>
    <workbookView xWindow="-120" yWindow="-120" windowWidth="29040" windowHeight="1572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3" i="11" l="1"/>
  <c r="H33" i="11" s="1"/>
  <c r="E33" i="11"/>
  <c r="G33" i="11"/>
  <c r="F31" i="11"/>
  <c r="F30" i="11"/>
  <c r="F29" i="11"/>
  <c r="F28" i="11"/>
  <c r="F27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E31" i="11"/>
  <c r="G31" i="11"/>
  <c r="D32" i="11"/>
  <c r="J32" i="11" s="1"/>
  <c r="E32" i="11"/>
  <c r="G32" i="11"/>
  <c r="D18" i="11"/>
  <c r="J18" i="11" s="1"/>
  <c r="E18" i="11"/>
  <c r="G18" i="11"/>
  <c r="J33" i="11" l="1"/>
  <c r="I33" i="11"/>
  <c r="J29" i="11"/>
  <c r="J28" i="11"/>
  <c r="I32" i="11"/>
  <c r="J31" i="11"/>
  <c r="I26" i="11"/>
  <c r="H32" i="11"/>
  <c r="I31" i="11"/>
  <c r="H30" i="11"/>
  <c r="I30" i="11"/>
  <c r="I29" i="11"/>
  <c r="I28" i="11"/>
  <c r="H26" i="11"/>
  <c r="I27" i="11"/>
  <c r="H31" i="11"/>
  <c r="H27" i="11"/>
  <c r="H18" i="11"/>
  <c r="I18" i="11"/>
  <c r="K29" i="11" l="1"/>
  <c r="K33" i="11"/>
  <c r="K28" i="11"/>
  <c r="K32" i="11"/>
  <c r="K30" i="11"/>
  <c r="K26" i="11"/>
  <c r="K31" i="11"/>
  <c r="K27" i="11"/>
  <c r="K18" i="11"/>
  <c r="F24" i="11" l="1"/>
  <c r="F23" i="11"/>
  <c r="F22" i="11"/>
  <c r="F21" i="11"/>
  <c r="F20" i="1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E24" i="11"/>
  <c r="G24" i="11"/>
  <c r="D25" i="11"/>
  <c r="H25" i="11" s="1"/>
  <c r="E25" i="11"/>
  <c r="G25" i="11"/>
  <c r="I19" i="11" l="1"/>
  <c r="I23" i="11"/>
  <c r="J25" i="11"/>
  <c r="I25" i="11"/>
  <c r="H23" i="11"/>
  <c r="I22" i="11"/>
  <c r="J21" i="11"/>
  <c r="H19" i="11"/>
  <c r="I21" i="11"/>
  <c r="J24" i="11"/>
  <c r="I24" i="11"/>
  <c r="I20" i="11"/>
  <c r="H24" i="11"/>
  <c r="J22" i="11"/>
  <c r="H20" i="11"/>
  <c r="F45" i="11"/>
  <c r="F44" i="11"/>
  <c r="F43" i="11"/>
  <c r="F42" i="11"/>
  <c r="F54" i="11"/>
  <c r="F53" i="11"/>
  <c r="F52" i="11"/>
  <c r="F51" i="11"/>
  <c r="F50" i="11"/>
  <c r="F49" i="11"/>
  <c r="F48" i="11"/>
  <c r="K19" i="11" l="1"/>
  <c r="K22" i="11"/>
  <c r="K23" i="11"/>
  <c r="K21" i="11"/>
  <c r="K25" i="11"/>
  <c r="K24" i="11"/>
  <c r="K20" i="11"/>
  <c r="G46" i="11" l="1"/>
  <c r="G47" i="11"/>
  <c r="G48" i="11"/>
  <c r="G49" i="11"/>
  <c r="G50" i="11"/>
  <c r="G51" i="11"/>
  <c r="G52" i="11"/>
  <c r="G53" i="11"/>
  <c r="G54" i="11"/>
  <c r="G55" i="11"/>
  <c r="G56" i="11"/>
  <c r="G57" i="11"/>
  <c r="G58" i="11"/>
  <c r="D46" i="11"/>
  <c r="H46" i="11" s="1"/>
  <c r="E46" i="11"/>
  <c r="D47" i="11"/>
  <c r="J47" i="11" s="1"/>
  <c r="E47" i="11"/>
  <c r="D48" i="11"/>
  <c r="E48" i="11"/>
  <c r="D49" i="11"/>
  <c r="H49" i="11" s="1"/>
  <c r="E49" i="11"/>
  <c r="D50" i="11"/>
  <c r="H50" i="11" s="1"/>
  <c r="E50" i="11"/>
  <c r="D51" i="11"/>
  <c r="J51" i="11" s="1"/>
  <c r="E51" i="11"/>
  <c r="D52" i="11"/>
  <c r="E52" i="11"/>
  <c r="D53" i="11"/>
  <c r="H53" i="11" s="1"/>
  <c r="E53" i="11"/>
  <c r="D54" i="11"/>
  <c r="H54" i="11" s="1"/>
  <c r="E54" i="11"/>
  <c r="D55" i="11"/>
  <c r="J55" i="11" s="1"/>
  <c r="E55" i="11"/>
  <c r="D56" i="11"/>
  <c r="J56" i="11" s="1"/>
  <c r="E56" i="11"/>
  <c r="D57" i="11"/>
  <c r="I57" i="11" s="1"/>
  <c r="E57" i="11"/>
  <c r="D58" i="11"/>
  <c r="H58" i="11" s="1"/>
  <c r="E58" i="11"/>
  <c r="D36" i="11"/>
  <c r="H36" i="11" s="1"/>
  <c r="E36" i="11"/>
  <c r="G36" i="11"/>
  <c r="D37" i="11"/>
  <c r="J37" i="11" s="1"/>
  <c r="E37" i="11"/>
  <c r="G37" i="11"/>
  <c r="D38" i="11"/>
  <c r="J38" i="11" s="1"/>
  <c r="E38" i="11"/>
  <c r="G38" i="11"/>
  <c r="F35" i="11"/>
  <c r="I52" i="11" l="1"/>
  <c r="I48" i="11"/>
  <c r="I54" i="11"/>
  <c r="J46" i="11"/>
  <c r="H57" i="11"/>
  <c r="J50" i="11"/>
  <c r="H48" i="11"/>
  <c r="I46" i="11"/>
  <c r="J54" i="11"/>
  <c r="H52" i="11"/>
  <c r="I50" i="11"/>
  <c r="I56" i="11"/>
  <c r="I55" i="11"/>
  <c r="I51" i="11"/>
  <c r="I47" i="11"/>
  <c r="J58" i="11"/>
  <c r="H56" i="11"/>
  <c r="H55" i="11"/>
  <c r="J53" i="11"/>
  <c r="H51" i="11"/>
  <c r="J49" i="11"/>
  <c r="H47" i="11"/>
  <c r="I58" i="11"/>
  <c r="J57" i="11"/>
  <c r="I53" i="11"/>
  <c r="J52" i="11"/>
  <c r="I49" i="11"/>
  <c r="J48" i="11"/>
  <c r="I37" i="11"/>
  <c r="H37" i="11"/>
  <c r="I38" i="11"/>
  <c r="H38" i="11"/>
  <c r="J36" i="11"/>
  <c r="I36" i="11"/>
  <c r="K55" i="11" l="1"/>
  <c r="K50" i="11"/>
  <c r="K52" i="11"/>
  <c r="K49" i="11"/>
  <c r="K58" i="11"/>
  <c r="K47" i="11"/>
  <c r="K56" i="11"/>
  <c r="K54" i="11"/>
  <c r="K53" i="11"/>
  <c r="K48" i="11"/>
  <c r="K46" i="11"/>
  <c r="K57" i="11"/>
  <c r="K51" i="11"/>
  <c r="K38" i="11"/>
  <c r="K36" i="11"/>
  <c r="K37" i="11"/>
  <c r="D34" i="11" l="1"/>
  <c r="E34" i="11"/>
  <c r="G34" i="11"/>
  <c r="J35" i="11"/>
  <c r="D40" i="11"/>
  <c r="D41" i="11"/>
  <c r="D42" i="11"/>
  <c r="D43" i="11"/>
  <c r="D44" i="11"/>
  <c r="D45" i="11"/>
  <c r="D17" i="11"/>
  <c r="H17" i="11" s="1"/>
  <c r="E17" i="11"/>
  <c r="G17" i="11"/>
  <c r="D15" i="11"/>
  <c r="J15" i="11" s="1"/>
  <c r="E15" i="11"/>
  <c r="G15" i="11"/>
  <c r="D16" i="11"/>
  <c r="J16" i="11" s="1"/>
  <c r="E16" i="11"/>
  <c r="G16" i="11"/>
  <c r="H34" i="11" l="1"/>
  <c r="I35" i="11"/>
  <c r="J34" i="11"/>
  <c r="I34" i="11"/>
  <c r="H35" i="11"/>
  <c r="J17" i="11"/>
  <c r="I17" i="11"/>
  <c r="I15" i="11"/>
  <c r="H15" i="11"/>
  <c r="I16" i="11"/>
  <c r="H16" i="11"/>
  <c r="K35" i="11" l="1"/>
  <c r="K34" i="11"/>
  <c r="K17" i="11"/>
  <c r="K15" i="11"/>
  <c r="K16" i="11"/>
  <c r="G6" i="11" l="1"/>
  <c r="D39" i="11"/>
  <c r="J39" i="11" s="1"/>
  <c r="E39" i="11"/>
  <c r="G39" i="11"/>
  <c r="H40" i="11"/>
  <c r="E40" i="11"/>
  <c r="G40" i="11"/>
  <c r="E41" i="11"/>
  <c r="G41" i="11"/>
  <c r="J42" i="11"/>
  <c r="E42" i="11"/>
  <c r="G42" i="11"/>
  <c r="J43" i="11"/>
  <c r="E43" i="11"/>
  <c r="G43" i="11"/>
  <c r="E44" i="11"/>
  <c r="G44" i="11"/>
  <c r="H45" i="11"/>
  <c r="E45" i="11"/>
  <c r="G45" i="11"/>
  <c r="D20" i="60"/>
  <c r="H41" i="11" l="1"/>
  <c r="H44" i="11"/>
  <c r="J45" i="11"/>
  <c r="J44" i="11"/>
  <c r="I42" i="11"/>
  <c r="H42" i="11"/>
  <c r="J41" i="11"/>
  <c r="J40" i="11"/>
  <c r="I40" i="11"/>
  <c r="I44" i="11"/>
  <c r="H43" i="11"/>
  <c r="H39" i="11"/>
  <c r="I43" i="11"/>
  <c r="I39" i="11"/>
  <c r="I45" i="11"/>
  <c r="I41" i="11"/>
  <c r="D14" i="11"/>
  <c r="J14" i="11" s="1"/>
  <c r="E14" i="11"/>
  <c r="G14" i="11"/>
  <c r="K19" i="60"/>
  <c r="D19" i="60"/>
  <c r="K40" i="11" l="1"/>
  <c r="K42" i="11"/>
  <c r="K44" i="11"/>
  <c r="K45" i="11"/>
  <c r="K41" i="11"/>
  <c r="K39" i="11"/>
  <c r="K43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5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9" i="11"/>
  <c r="D60" i="11"/>
  <c r="H60" i="11" s="1"/>
  <c r="E6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0" i="11"/>
  <c r="I60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60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8" i="29" s="1"/>
  <c r="F237" i="29"/>
  <c r="F58" i="39"/>
  <c r="E58" i="39"/>
  <c r="F60" i="39" s="1"/>
  <c r="H62" i="11"/>
  <c r="H63" i="11" s="1"/>
  <c r="I62" i="11"/>
  <c r="I63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4" i="11"/>
  <c r="I64" i="11"/>
  <c r="F364" i="29"/>
  <c r="F69" i="39"/>
  <c r="F72" i="39"/>
  <c r="F367" i="29"/>
  <c r="J59" i="11"/>
  <c r="K59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62" i="11" l="1"/>
  <c r="K63" i="11" s="1"/>
  <c r="K64" i="11" s="1"/>
  <c r="B65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2" i="11"/>
  <c r="J6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28" i="41" l="1"/>
  <c r="F82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<sst xmlns="http://schemas.openxmlformats.org/spreadsheetml/2006/main" count="4733" uniqueCount="1636">
  <si>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</si>
  <si>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</si>
  <si>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</si>
  <si>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</si>
  <si>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</si>
  <si>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</si>
  <si>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</si>
  <si>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</si>
  <si>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</si>
  <si>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</si>
  <si>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</si>
  <si>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</si>
  <si>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</si>
  <si>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</si>
  <si>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</si>
  <si>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</si>
  <si>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</si>
  <si>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</si>
  <si>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</si>
  <si>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</si>
  <si>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</si>
  <si>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</si>
  <si>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</si>
  <si>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</si>
  <si>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</si>
  <si>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</si>
  <si>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</si>
  <si>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</si>
  <si>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</si>
  <si>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</si>
  <si>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</si>
  <si>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</si>
  <si>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</si>
  <si>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</si>
  <si>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</si>
  <si>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</si>
  <si>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</si>
  <si>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</si>
  <si>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</si>
  <si>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</si>
  <si>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</si>
  <si>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</si>
  <si>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</si>
  <si>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</si>
  <si>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</si>
  <si>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</si>
  <si>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</si>
  <si>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</si>
  <si>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</si>
  <si>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</si>
  <si>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</si>
  <si>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</si>
  <si>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</si>
  <si>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</si>
  <si>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</si>
  <si>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</si>
  <si>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</si>
  <si>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</si>
  <si>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</si>
  <si>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</si>
  <si>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</si>
  <si>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</si>
  <si>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</si>
  <si>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</si>
  <si>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</si>
  <si>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</si>
  <si>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</si>
  <si>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</si>
  <si>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</si>
  <si>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</si>
  <si>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</si>
  <si>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</si>
  <si>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</si>
  <si>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</si>
  <si>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</si>
  <si>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</si>
  <si>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</si>
  <si>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</si>
  <si>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</si>
  <si>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</si>
  <si>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</si>
  <si>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</si>
  <si>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</si>
  <si>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</si>
  <si>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</si>
  <si>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</si>
  <si>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</si>
  <si>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</si>
  <si>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</si>
  <si>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</si>
  <si>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</si>
  <si>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</si>
  <si>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</si>
  <si>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</si>
  <si>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</si>
  <si>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</si>
  <si>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</si>
  <si>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</si>
  <si>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</si>
  <si>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</si>
  <si>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</si>
  <si>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</si>
  <si>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</si>
  <si>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</si>
  <si>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</si>
  <si>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</si>
  <si>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</si>
  <si>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</si>
  <si>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</si>
  <si>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</si>
  <si>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</si>
  <si>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</si>
  <si>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</si>
  <si>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</si>
  <si>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</si>
  <si>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</si>
  <si>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</si>
  <si>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</si>
  <si>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</si>
  <si>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</si>
  <si>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</si>
  <si>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</si>
  <si>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</si>
  <si>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</si>
  <si>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</si>
  <si>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</si>
  <si>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</si>
  <si>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</si>
  <si>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</si>
  <si>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</si>
  <si>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</si>
  <si>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</si>
  <si>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</si>
  <si>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</si>
  <si>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</si>
  <si>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</si>
  <si>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</si>
  <si>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</si>
  <si>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</si>
  <si>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</si>
  <si>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</si>
  <si>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</si>
  <si>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</si>
  <si>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</si>
  <si>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</si>
  <si>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</si>
  <si>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</si>
  <si>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</si>
  <si>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</si>
  <si>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</si>
  <si>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</si>
  <si>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</si>
  <si>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</si>
  <si>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</si>
  <si>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</si>
  <si>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</si>
  <si>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</si>
  <si>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</si>
  <si>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</si>
  <si>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</si>
  <si>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</si>
  <si>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</si>
  <si>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</si>
  <si>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</si>
  <si>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</si>
  <si>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</si>
  <si>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</si>
  <si>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</si>
  <si>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</si>
  <si>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</si>
  <si>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</si>
  <si>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</si>
  <si>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</si>
  <si>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</si>
  <si>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</si>
  <si>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</si>
  <si>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</si>
  <si>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</si>
  <si>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</si>
  <si>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</si>
  <si>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</si>
  <si>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</si>
  <si>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</si>
  <si>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</si>
  <si>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</si>
  <si>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</si>
  <si>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</si>
  <si>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</si>
  <si>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</si>
  <si>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</si>
  <si>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</si>
  <si>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</si>
  <si>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</si>
  <si>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</si>
  <si>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</si>
  <si>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</si>
  <si>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</si>
  <si>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</si>
  <si>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</si>
  <si>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</si>
  <si>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</si>
  <si>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</si>
  <si>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</si>
  <si>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</si>
  <si>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</si>
  <si>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</si>
  <si>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</si>
  <si>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</si>
  <si>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</si>
  <si>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</si>
  <si>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</si>
  <si>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</si>
  <si>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</si>
  <si>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</si>
  <si>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</si>
  <si>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</si>
  <si>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</si>
  <si>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</si>
  <si>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</si>
  <si>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</si>
  <si>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</si>
  <si>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</si>
  <si>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</si>
  <si>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</si>
  <si>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</si>
  <si>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</si>
  <si>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</si>
  <si>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</si>
  <si>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</si>
  <si>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</si>
  <si>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</si>
  <si>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</si>
  <si>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</si>
  <si>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</si>
  <si>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</si>
  <si>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</si>
  <si>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</si>
  <si>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</si>
  <si>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</si>
  <si>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</si>
  <si>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</si>
  <si>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</si>
  <si>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</si>
  <si>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</si>
  <si>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</si>
  <si>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</si>
  <si>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</si>
  <si>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</si>
  <si>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</si>
  <si>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</si>
  <si>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</si>
  <si>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</si>
  <si>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</si>
  <si>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</si>
  <si>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</si>
  <si>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</si>
  <si>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</si>
  <si>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</si>
  <si>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</si>
  <si>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</si>
  <si>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</si>
  <si>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</si>
  <si>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</si>
  <si>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</si>
  <si>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</si>
  <si>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</si>
  <si>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</si>
  <si>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</si>
  <si>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</si>
  <si>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</si>
  <si>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</si>
  <si>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</si>
  <si>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</si>
  <si>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</si>
  <si>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</si>
  <si>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</si>
  <si>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</si>
  <si>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</si>
  <si>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</si>
  <si>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</si>
  <si>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</si>
  <si>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</si>
  <si>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</si>
  <si>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</si>
  <si>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</si>
  <si>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</si>
  <si>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</si>
  <si>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</si>
  <si>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</si>
  <si>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</si>
  <si>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</si>
  <si>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</si>
  <si>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</si>
  <si>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</si>
  <si>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</si>
  <si>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</si>
  <si>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</si>
  <si>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</si>
  <si>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</si>
  <si>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</si>
  <si>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</si>
  <si>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</si>
  <si>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</si>
  <si>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</si>
  <si>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</si>
  <si>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</si>
  <si>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</si>
  <si>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</si>
  <si>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</si>
  <si>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</si>
  <si>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</si>
  <si>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</si>
  <si>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</si>
  <si>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</si>
  <si>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</si>
  <si>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</si>
  <si>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</si>
  <si>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</si>
  <si>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</si>
  <si>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</si>
  <si>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</si>
  <si>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</si>
  <si>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</si>
  <si>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</si>
  <si>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</si>
  <si>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</si>
  <si>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</si>
  <si>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</si>
  <si>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</si>
  <si>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</si>
  <si>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</si>
  <si>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</si>
  <si>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</si>
  <si>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</si>
  <si>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</si>
  <si>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</si>
  <si>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</si>
  <si>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</si>
  <si>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</si>
  <si>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</si>
  <si>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</si>
  <si>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</si>
  <si>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</si>
  <si>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</si>
  <si>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</si>
  <si>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</si>
  <si>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</si>
  <si>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</si>
  <si>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</si>
  <si>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</si>
  <si>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</si>
  <si>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</si>
  <si>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</si>
  <si>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</si>
  <si>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</si>
  <si>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</si>
  <si>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</si>
  <si>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</si>
  <si>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</si>
  <si>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</si>
  <si>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</si>
  <si>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</si>
  <si>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</si>
  <si>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</si>
  <si>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</si>
  <si>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</si>
  <si>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</si>
  <si>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</si>
  <si>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</si>
  <si>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</si>
  <si>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</si>
  <si>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</si>
  <si>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</si>
  <si>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</si>
  <si>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</si>
  <si>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</si>
  <si>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</si>
  <si>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</si>
  <si>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</si>
  <si>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</si>
  <si>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</si>
  <si>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</si>
  <si>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</si>
  <si>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</si>
  <si>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</si>
  <si>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</si>
  <si>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</si>
  <si>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</si>
  <si>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</si>
  <si>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</si>
  <si>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</si>
  <si>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</si>
  <si>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</si>
  <si>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</si>
  <si>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</si>
  <si>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</si>
  <si>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</si>
  <si>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</si>
  <si>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</si>
  <si>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</si>
  <si>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</si>
  <si>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</si>
  <si>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</si>
  <si>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</si>
  <si>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</si>
  <si>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</si>
  <si>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</si>
  <si>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</si>
  <si>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</si>
  <si>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</si>
  <si>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</si>
  <si>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</si>
  <si>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</si>
  <si>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</si>
  <si>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</si>
  <si>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</si>
  <si>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</si>
  <si>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</si>
  <si>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</si>
  <si>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</si>
  <si>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</si>
  <si>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</si>
  <si>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</si>
  <si>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</si>
  <si>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</si>
  <si>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</si>
  <si>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</si>
  <si>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</si>
  <si>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</si>
  <si>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</si>
  <si>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</si>
  <si>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</si>
  <si>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</si>
  <si>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</si>
  <si>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</si>
  <si>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</si>
  <si>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</si>
  <si>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</si>
  <si>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</si>
  <si>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</si>
  <si>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</si>
  <si>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</si>
  <si>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</si>
  <si>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</si>
  <si>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</si>
  <si>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</si>
  <si>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</si>
  <si>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</si>
  <si>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</si>
  <si>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</si>
  <si>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</si>
  <si>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</si>
  <si>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</si>
  <si>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</si>
  <si>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</si>
  <si>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</si>
  <si>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</si>
  <si>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</si>
  <si>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</si>
  <si>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</si>
  <si>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</si>
  <si>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</si>
  <si>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</si>
  <si>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</si>
  <si>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</si>
  <si>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</si>
  <si>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</si>
  <si>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</si>
  <si>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</si>
  <si>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</si>
  <si>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</si>
  <si>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</si>
  <si>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</si>
  <si>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</si>
  <si>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</si>
  <si>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</si>
  <si>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</si>
  <si>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</si>
  <si>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</si>
  <si>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</si>
  <si>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</si>
  <si>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</si>
  <si>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</si>
  <si>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</si>
  <si>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</si>
  <si>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</si>
  <si>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</si>
  <si>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</si>
  <si>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</si>
  <si>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</si>
  <si>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</si>
  <si>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</si>
  <si>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</si>
  <si>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</si>
  <si>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</si>
  <si>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</si>
  <si>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</si>
  <si>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</si>
  <si>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</si>
  <si>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</si>
  <si>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</si>
  <si>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</si>
  <si>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</si>
  <si>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</si>
  <si>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</si>
  <si>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</si>
  <si>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</si>
  <si>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</si>
  <si>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</si>
  <si>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</si>
  <si>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</si>
  <si>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</si>
  <si>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</si>
  <si>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</si>
  <si>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</si>
  <si>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</si>
  <si>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</si>
  <si>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</si>
  <si>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</si>
  <si>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</si>
  <si>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</si>
  <si>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</si>
  <si>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</si>
  <si>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</si>
  <si>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</si>
  <si>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</si>
  <si>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</si>
  <si>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</si>
  <si>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</si>
  <si>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</si>
  <si>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</si>
  <si>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</si>
  <si>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</si>
  <si>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</si>
  <si>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</si>
  <si>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</si>
  <si>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</si>
  <si>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</si>
  <si>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</si>
  <si>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</si>
  <si>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</si>
  <si>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</si>
  <si>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</si>
  <si>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</si>
  <si>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</si>
  <si>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</si>
  <si>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</si>
  <si>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</si>
  <si>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</si>
  <si>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</si>
  <si>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</si>
  <si>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</si>
  <si>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</si>
  <si>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</si>
  <si>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</si>
  <si>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</si>
  <si>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</si>
  <si>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</si>
  <si>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</si>
  <si>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</si>
  <si>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</si>
  <si>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</si>
  <si>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</si>
  <si>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</si>
  <si>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</si>
  <si>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</si>
  <si>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</si>
  <si>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</si>
  <si>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</si>
  <si>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</si>
  <si>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</si>
  <si>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</si>
  <si>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</si>
  <si>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</si>
  <si>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</si>
  <si>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</si>
  <si>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</si>
  <si>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</si>
  <si>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</si>
  <si>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</si>
  <si>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</si>
  <si>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</si>
  <si>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</si>
  <si>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</si>
  <si>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</si>
  <si>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</si>
  <si>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</si>
  <si>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</si>
  <si>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</si>
  <si>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</si>
  <si>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</si>
  <si>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</si>
  <si>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</si>
  <si>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</si>
  <si>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</si>
  <si>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</si>
  <si>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</si>
  <si>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</si>
  <si>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</si>
  <si>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</si>
  <si>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</si>
  <si>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</si>
  <si>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</si>
  <si>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</si>
  <si>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</si>
  <si>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</si>
  <si>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</si>
  <si>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</si>
  <si>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</si>
  <si>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</si>
  <si>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</si>
  <si>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</si>
  <si>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</si>
  <si>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</si>
  <si>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</si>
  <si>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</si>
  <si>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</si>
  <si>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</si>
  <si>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</si>
  <si>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</si>
  <si>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</si>
  <si>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</si>
  <si>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</si>
  <si>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</si>
  <si>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</si>
  <si>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</si>
  <si>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</si>
  <si>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</si>
  <si>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</si>
  <si>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</si>
  <si>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</si>
  <si>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</si>
  <si>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</si>
  <si>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</si>
  <si>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</si>
  <si>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</si>
  <si>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</si>
  <si>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</si>
  <si>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</si>
  <si>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</si>
  <si>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</si>
  <si>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</si>
  <si>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</si>
  <si>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</si>
  <si>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</si>
  <si>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</si>
  <si>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</si>
  <si>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</si>
  <si>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</si>
  <si>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</si>
  <si>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</si>
  <si>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</si>
  <si>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</si>
  <si>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</si>
  <si>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</si>
  <si>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</si>
  <si>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</si>
  <si>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</si>
  <si>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</si>
  <si>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</si>
  <si>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</si>
  <si>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</si>
  <si>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</si>
  <si>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</si>
  <si>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</si>
  <si>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</si>
  <si>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</si>
  <si>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</si>
  <si>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</si>
  <si>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</si>
  <si>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</si>
  <si>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</si>
  <si>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</si>
  <si>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</si>
  <si>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</si>
  <si>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</si>
  <si>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</si>
  <si>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</si>
  <si>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</si>
  <si>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</si>
  <si>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</si>
  <si>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</si>
  <si>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</si>
  <si>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</si>
  <si>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</si>
  <si>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</si>
  <si>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</si>
  <si>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</si>
  <si>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</si>
  <si>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</si>
  <si>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</si>
  <si>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</si>
  <si>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</si>
  <si>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</si>
  <si>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</si>
  <si>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</si>
  <si>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</si>
  <si>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</si>
  <si>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</si>
  <si>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</si>
  <si>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</si>
  <si>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</si>
  <si>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</si>
  <si>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</si>
  <si>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</si>
  <si>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</si>
  <si>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</si>
  <si>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</si>
  <si>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</si>
  <si>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</si>
  <si>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</si>
  <si>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</si>
  <si>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</si>
  <si>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</si>
  <si>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</si>
  <si>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</si>
  <si>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</si>
  <si>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</si>
  <si>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</si>
  <si>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</si>
  <si>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</si>
  <si>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</si>
  <si>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</si>
  <si>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</si>
  <si>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</si>
  <si>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</si>
  <si>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</si>
  <si>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</si>
  <si>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</si>
  <si>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</si>
  <si>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</si>
  <si>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</si>
  <si>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</si>
  <si>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</si>
  <si>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</si>
  <si>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</si>
  <si>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</si>
  <si>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</si>
  <si>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</si>
  <si>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</si>
  <si>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</si>
  <si>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</si>
  <si>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</si>
  <si>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</si>
  <si>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</si>
  <si>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</si>
  <si>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</si>
  <si>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</si>
  <si>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</si>
  <si>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</si>
  <si>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</si>
  <si>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</si>
  <si>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</si>
  <si>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</si>
  <si>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</si>
  <si>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</si>
  <si>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</si>
  <si>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</si>
  <si>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</si>
  <si>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</si>
  <si>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</si>
  <si>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</si>
  <si>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</si>
  <si>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</si>
  <si>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</si>
  <si>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</si>
  <si>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</si>
  <si>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</si>
  <si>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</si>
  <si>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</si>
  <si>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</si>
  <si>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</si>
  <si>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</si>
  <si>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</si>
  <si>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</si>
  <si>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</si>
  <si>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</si>
  <si>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</si>
  <si>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</si>
  <si>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</si>
  <si>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</si>
  <si>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</si>
  <si>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</si>
  <si>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</si>
  <si>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</si>
  <si>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</si>
  <si>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</si>
  <si>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</si>
  <si>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</si>
  <si>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</si>
  <si>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</si>
  <si>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</si>
  <si>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</si>
  <si>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</si>
  <si>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</si>
  <si>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</si>
  <si>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</si>
  <si>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</si>
  <si>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</si>
  <si>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</si>
  <si>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</si>
  <si>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</si>
  <si>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</si>
  <si>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</si>
  <si>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</si>
  <si>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</si>
  <si>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</si>
  <si>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</si>
  <si>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</si>
  <si>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</si>
  <si>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</si>
  <si>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</si>
  <si>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</si>
  <si>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</si>
  <si>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</si>
  <si>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</si>
  <si>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</si>
  <si>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</si>
  <si>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</si>
  <si>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</si>
  <si>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</si>
  <si>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</si>
  <si>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</si>
  <si>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</si>
  <si>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</si>
  <si>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</si>
  <si>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</si>
  <si>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</si>
  <si>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</si>
  <si>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</si>
  <si>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</si>
  <si>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</si>
  <si>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</si>
  <si>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</si>
  <si>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</si>
  <si>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</si>
  <si>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</si>
  <si>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</si>
  <si>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</si>
  <si>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</si>
  <si>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</si>
  <si>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</si>
  <si>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</si>
  <si>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</si>
  <si>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</si>
  <si>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</si>
  <si>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</si>
  <si>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</si>
  <si>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</si>
  <si>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</si>
  <si>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</si>
  <si>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</si>
  <si>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</si>
  <si>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</si>
  <si>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</si>
  <si>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</si>
  <si>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</si>
  <si>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</si>
  <si>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</si>
  <si>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</si>
  <si>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</si>
  <si>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</si>
  <si>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</si>
  <si>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</si>
  <si>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</si>
  <si>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</si>
  <si>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</si>
  <si>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</si>
  <si>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</si>
  <si>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</si>
  <si>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</si>
  <si>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</si>
  <si>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</si>
  <si>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</si>
  <si>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</si>
  <si>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</si>
  <si>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</si>
  <si>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</si>
  <si>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</si>
  <si>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</si>
  <si>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</si>
  <si>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</si>
  <si>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</si>
  <si>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</si>
  <si>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</si>
  <si>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</si>
  <si>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</si>
  <si>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</si>
  <si>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</si>
  <si>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</si>
  <si>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</si>
  <si>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</si>
  <si>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</si>
  <si>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</si>
  <si>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</si>
  <si>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</si>
  <si>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</si>
  <si>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</si>
  <si>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</si>
  <si>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</si>
  <si>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</si>
  <si>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</si>
  <si>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</si>
  <si>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</si>
  <si>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</si>
  <si>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</si>
  <si>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</si>
  <si>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</si>
  <si>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</si>
  <si>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</si>
  <si>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</si>
  <si>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</si>
  <si>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</si>
  <si>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</si>
  <si>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</si>
  <si>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</si>
  <si>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</si>
  <si>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</si>
  <si>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</si>
  <si>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</si>
  <si>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</si>
  <si>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</si>
  <si>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</si>
  <si>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</si>
  <si>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</si>
  <si>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</si>
  <si>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</si>
  <si>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</si>
  <si>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</si>
  <si>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</si>
  <si>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</si>
  <si>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</si>
  <si>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</si>
  <si>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</si>
  <si>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</si>
  <si>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</si>
  <si>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</si>
  <si>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</si>
  <si>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</si>
  <si>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</si>
  <si>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</si>
  <si>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</si>
  <si>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</si>
  <si>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</si>
  <si>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</si>
  <si>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</si>
  <si>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</si>
  <si>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</si>
  <si>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</si>
  <si>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</si>
  <si>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</si>
  <si>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</si>
  <si>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</si>
  <si>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</si>
  <si>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</si>
  <si>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</si>
  <si>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</si>
  <si>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</si>
  <si>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</si>
  <si>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</si>
  <si>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</si>
  <si>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</si>
  <si>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</si>
  <si>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</si>
  <si>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</si>
  <si>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</si>
  <si>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</si>
  <si>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</si>
  <si>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</si>
  <si>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</si>
  <si>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</si>
  <si>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</si>
  <si>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</si>
  <si>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</si>
  <si>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</si>
  <si>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</si>
  <si>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</si>
  <si>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</si>
  <si>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</si>
  <si>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</si>
  <si>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</si>
  <si>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</si>
  <si>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</si>
  <si>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</si>
  <si>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</si>
  <si>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</si>
  <si>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</si>
  <si>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</si>
  <si>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</si>
  <si>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</si>
  <si>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</si>
  <si>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</si>
  <si>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</si>
  <si>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</si>
  <si>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</si>
  <si>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</si>
  <si>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</si>
  <si>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</si>
  <si>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</si>
  <si>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</si>
  <si>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</si>
  <si>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</si>
  <si>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</si>
  <si>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</si>
  <si>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</si>
  <si>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</si>
  <si>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</si>
  <si>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</si>
  <si>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</si>
  <si>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</si>
  <si>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</si>
  <si>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</si>
  <si>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</si>
  <si>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</si>
  <si>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</si>
  <si>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</si>
  <si>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</si>
  <si>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</si>
  <si>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</si>
  <si>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</si>
  <si>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</si>
  <si>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</si>
  <si>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</si>
  <si>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</si>
  <si>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</si>
  <si>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</si>
  <si>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</si>
  <si>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</si>
  <si>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</si>
  <si>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</si>
  <si>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</si>
  <si>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</si>
  <si>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</si>
  <si>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</si>
  <si>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</si>
  <si>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</si>
  <si>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</si>
  <si>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</si>
  <si>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</si>
  <si>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</si>
  <si>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</si>
  <si>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</si>
  <si>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</si>
  <si>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</si>
  <si>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</si>
  <si>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</si>
  <si>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</si>
  <si>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</si>
  <si>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</si>
  <si>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</si>
  <si>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</si>
  <si>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</si>
  <si>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</si>
  <si>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</si>
  <si>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</si>
  <si>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</si>
  <si>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</si>
  <si>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</si>
  <si>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</si>
  <si>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</si>
  <si>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</si>
  <si>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</si>
  <si>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</si>
  <si>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</si>
  <si>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</si>
  <si>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</si>
  <si>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</si>
  <si>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</si>
  <si>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</si>
  <si>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</si>
  <si>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</si>
  <si>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</si>
  <si>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</si>
  <si>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</si>
  <si>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</si>
  <si>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</si>
  <si>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</si>
  <si>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</si>
  <si>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</si>
  <si>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</si>
  <si>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</si>
  <si>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</si>
  <si>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</si>
  <si>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</si>
  <si>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</si>
  <si>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</si>
  <si>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</si>
  <si>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</si>
  <si>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</si>
  <si>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</si>
  <si>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</si>
  <si>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</si>
  <si>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</si>
  <si>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</si>
  <si>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</si>
  <si>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</si>
  <si>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</si>
  <si>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</si>
  <si>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</si>
  <si>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</si>
  <si>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</si>
  <si>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</si>
  <si>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</si>
  <si>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</si>
  <si>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</si>
  <si>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</si>
  <si>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</si>
  <si>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</si>
  <si>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</si>
  <si>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</si>
  <si>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</si>
  <si>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</si>
  <si>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</si>
  <si>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</si>
  <si>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</si>
  <si>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</si>
  <si>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</si>
  <si>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</si>
  <si>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</si>
  <si>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</si>
  <si>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</si>
  <si>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</si>
  <si>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</si>
  <si>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</si>
  <si>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</si>
  <si>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</si>
  <si>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</si>
  <si>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</si>
  <si>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</si>
  <si>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</si>
  <si>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</si>
  <si>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</si>
  <si>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</si>
  <si>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</si>
  <si>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</si>
  <si>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</si>
  <si>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</si>
  <si>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</si>
  <si>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</si>
  <si>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</si>
  <si>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</si>
  <si>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</si>
  <si>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</si>
  <si>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</si>
  <si>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</si>
  <si>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</si>
  <si>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</si>
  <si>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</si>
  <si>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</si>
  <si>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</si>
  <si>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</si>
  <si>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</si>
  <si>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</si>
  <si>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</si>
  <si>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</si>
  <si>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</si>
  <si>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</si>
  <si>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</si>
  <si>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</si>
  <si>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</si>
  <si>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</si>
  <si>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</si>
  <si>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</si>
  <si>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</si>
  <si>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</si>
  <si>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</si>
  <si>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</si>
  <si>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</si>
  <si>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</si>
  <si>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</si>
  <si>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</si>
  <si>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</si>
  <si>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</si>
  <si>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</si>
  <si>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</si>
  <si>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</si>
  <si>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</si>
  <si>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</si>
  <si>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</si>
  <si>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</si>
  <si>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</si>
  <si>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</si>
  <si>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</si>
  <si>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</si>
  <si>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</si>
  <si>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</si>
  <si>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</si>
  <si>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</si>
  <si>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</si>
  <si>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</si>
  <si>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</si>
  <si>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</si>
  <si>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</si>
  <si>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</si>
  <si>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</si>
  <si>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</si>
  <si>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</si>
  <si>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</si>
  <si>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</si>
  <si>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</si>
  <si>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</si>
  <si>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</si>
  <si>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</si>
  <si>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</si>
  <si>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</si>
  <si>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</si>
  <si>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</si>
  <si>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</si>
  <si>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</si>
  <si>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</si>
  <si>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</si>
  <si>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</si>
  <si>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</si>
  <si>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</si>
  <si>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</si>
  <si>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</si>
  <si>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</si>
  <si>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</si>
  <si>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</si>
  <si>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</si>
  <si>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</si>
  <si>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</si>
  <si>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</si>
  <si>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</si>
  <si>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</si>
  <si>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</si>
  <si>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</si>
  <si>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</si>
  <si>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</si>
  <si>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</si>
  <si>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</si>
  <si>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</si>
  <si>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</si>
  <si>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</si>
  <si>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</si>
  <si>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</si>
  <si>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</si>
  <si>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</si>
  <si>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</si>
  <si>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</si>
  <si>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</si>
  <si>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</si>
  <si>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</si>
  <si>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</si>
  <si>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</si>
  <si>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</si>
  <si>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</si>
  <si>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</si>
  <si>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</si>
  <si>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</si>
  <si>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</si>
  <si>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</si>
  <si>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</si>
  <si>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</si>
  <si>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</si>
  <si>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</si>
  <si>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</si>
  <si>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</si>
  <si>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</si>
  <si>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</si>
  <si>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</si>
  <si>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</si>
  <si>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</si>
  <si>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</si>
  <si>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</si>
  <si>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</si>
  <si>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</si>
  <si>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</si>
  <si>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</si>
  <si>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</si>
  <si>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</si>
  <si>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</si>
  <si>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</si>
  <si>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</si>
  <si>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</si>
  <si>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</si>
  <si>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</si>
  <si>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</si>
  <si>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</si>
  <si>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</si>
  <si>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</si>
  <si>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</si>
  <si>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</si>
  <si>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</si>
  <si>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</si>
  <si>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</si>
  <si>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</si>
  <si>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</si>
  <si>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</si>
  <si>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</si>
  <si>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</si>
  <si>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</si>
  <si>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</si>
  <si>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</si>
  <si>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</si>
  <si>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</si>
  <si>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</si>
  <si>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</si>
  <si>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</si>
  <si>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</si>
  <si>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</si>
  <si>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</si>
  <si>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</si>
  <si>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</si>
  <si>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</si>
  <si>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</si>
  <si>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</si>
  <si>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</si>
  <si>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</si>
  <si>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</si>
  <si>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</si>
  <si>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</si>
  <si>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</si>
  <si>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</si>
  <si>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</si>
  <si>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</si>
  <si>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</si>
  <si>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</si>
  <si>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</si>
  <si>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</si>
  <si>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</si>
  <si>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</si>
  <si>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</si>
  <si>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</si>
  <si>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</si>
  <si>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</si>
  <si>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</si>
  <si>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</si>
  <si>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</si>
  <si>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</si>
  <si>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</si>
  <si>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</si>
  <si>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</si>
  <si>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</si>
  <si>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</si>
  <si>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</si>
  <si>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</si>
  <si>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</si>
  <si>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</si>
  <si>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</si>
  <si>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</si>
  <si>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</si>
  <si>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</si>
  <si>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</si>
  <si>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</si>
  <si>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</si>
  <si>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</si>
  <si>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</si>
  <si>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</si>
  <si>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</si>
  <si>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</si>
  <si>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</si>
  <si>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</si>
  <si>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</si>
  <si>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</si>
  <si>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</si>
  <si>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</si>
  <si>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</si>
  <si>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</si>
  <si>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</si>
  <si>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</si>
  <si>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</si>
  <si>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</si>
  <si>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</si>
  <si>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</si>
  <si>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</si>
  <si>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</si>
  <si>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</si>
  <si>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</si>
  <si>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</si>
  <si>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</si>
  <si>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</si>
  <si>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</si>
  <si>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</si>
  <si>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</si>
  <si>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</si>
  <si>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</si>
  <si>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</si>
  <si>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</si>
  <si>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</si>
  <si>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</si>
  <si>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</si>
  <si>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</si>
  <si>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</si>
  <si>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</si>
  <si>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</si>
  <si>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</si>
  <si>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</si>
  <si>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</si>
  <si>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</si>
  <si>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</si>
  <si>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</si>
  <si>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</si>
  <si>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</si>
  <si>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</si>
  <si>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</si>
  <si>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</si>
  <si>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</si>
  <si>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</si>
  <si>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</si>
  <si>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</si>
  <si>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</si>
  <si>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</si>
  <si>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</si>
  <si>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</si>
  <si>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</si>
  <si>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</si>
  <si>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</si>
  <si>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</si>
  <si>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</si>
  <si>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</si>
  <si>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</si>
  <si>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</si>
  <si>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</si>
  <si>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</si>
  <si>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</si>
  <si>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</si>
  <si>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</si>
  <si>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</si>
  <si>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</si>
  <si>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</si>
  <si>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</si>
  <si>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</si>
  <si>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</si>
  <si>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</si>
  <si>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</si>
  <si>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</si>
  <si>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</si>
  <si>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</si>
  <si>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</si>
  <si>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</si>
  <si>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</si>
  <si>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</si>
  <si>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</si>
  <si>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</si>
  <si>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</si>
  <si>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</si>
  <si>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</si>
  <si>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</si>
  <si>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</si>
  <si>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</si>
  <si>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</si>
  <si>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</si>
  <si>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</si>
  <si>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</si>
  <si>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</si>
  <si>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</si>
  <si>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</si>
  <si>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</si>
  <si>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</si>
  <si>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</si>
  <si>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</si>
  <si>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</si>
  <si>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</si>
  <si>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</si>
  <si>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</si>
  <si>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</si>
  <si>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</si>
  <si>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</si>
  <si>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</si>
  <si>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</si>
  <si>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</si>
  <si>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</si>
  <si>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</si>
  <si>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</si>
  <si>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</si>
  <si>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</si>
  <si>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</si>
  <si>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</si>
  <si>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</si>
  <si>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</si>
  <si>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</si>
  <si>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</si>
  <si>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</si>
  <si>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</si>
  <si>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</si>
  <si>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</si>
  <si>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</si>
  <si>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</si>
  <si>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</si>
  <si>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</si>
  <si>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</si>
  <si>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</si>
  <si>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</si>
  <si>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</si>
  <si>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</si>
  <si>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</si>
  <si>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</si>
  <si>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</si>
  <si>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</si>
  <si>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</si>
  <si>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</si>
  <si>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</si>
  <si>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</si>
  <si>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</si>
  <si>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</si>
  <si>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</si>
  <si>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</si>
  <si>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</si>
  <si>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</si>
  <si>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</si>
  <si>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</si>
  <si>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</si>
  <si>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</si>
  <si>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</si>
  <si>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</si>
  <si>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</si>
  <si>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</si>
  <si>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</si>
  <si>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</si>
  <si>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</si>
  <si>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</si>
  <si>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</si>
  <si>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</si>
  <si>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</si>
  <si>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</si>
  <si>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</si>
  <si>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</si>
  <si>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</si>
  <si>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</si>
  <si>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</si>
  <si>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</si>
  <si>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</si>
  <si>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</si>
  <si>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</si>
  <si>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</si>
  <si>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</si>
  <si>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</si>
  <si>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</si>
  <si>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</si>
  <si>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</si>
  <si>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</si>
  <si>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</si>
  <si>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</si>
  <si>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</si>
  <si>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</si>
  <si>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</si>
  <si>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</si>
  <si>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</si>
  <si>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</si>
  <si>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</si>
  <si>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</si>
  <si>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</si>
  <si>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</si>
  <si>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</si>
  <si>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</si>
  <si>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</si>
  <si>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</si>
  <si>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</si>
  <si>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</si>
  <si>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</si>
  <si>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</si>
  <si>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</si>
  <si>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</si>
  <si>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</si>
  <si>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</si>
  <si>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</si>
  <si>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</si>
  <si>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</si>
  <si>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</si>
  <si>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</si>
  <si>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</si>
  <si>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</si>
  <si>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</si>
  <si>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</si>
  <si>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</si>
  <si>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</si>
  <si>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</si>
  <si>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</si>
  <si>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</si>
  <si>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</si>
  <si>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</si>
  <si>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</si>
  <si>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</si>
  <si>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</si>
  <si>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</si>
  <si>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</si>
  <si>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</si>
  <si>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</si>
  <si>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</si>
  <si>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</si>
  <si>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</si>
  <si>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</si>
  <si>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</si>
  <si>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</si>
  <si>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</si>
  <si>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</si>
  <si>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</si>
  <si>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</si>
  <si>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</si>
  <si>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</si>
  <si>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</si>
  <si>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</si>
  <si>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</si>
  <si>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</si>
  <si>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</si>
  <si>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</si>
  <si>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</si>
  <si>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</si>
  <si>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</si>
  <si>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</si>
  <si>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</si>
  <si>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</si>
  <si>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</si>
  <si>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</si>
  <si>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</si>
  <si>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</si>
  <si>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</si>
  <si>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</si>
  <si>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</si>
  <si>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</si>
  <si>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</si>
  <si>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</si>
  <si>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</si>
  <si>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</si>
  <si>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</si>
  <si>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</si>
  <si>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</si>
  <si>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</si>
  <si>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</si>
  <si>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</si>
  <si>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KONDUKTOR</t>
  </si>
  <si>
    <t>Pemasangan APP 1 Fasa Di Bangunan</t>
  </si>
  <si>
    <t>CJ5-T</t>
  </si>
  <si>
    <t>CG105</t>
  </si>
  <si>
    <t>B2</t>
  </si>
  <si>
    <t>P12C-2</t>
  </si>
  <si>
    <t>CM5-6</t>
  </si>
  <si>
    <t>CA1</t>
  </si>
  <si>
    <t>CA3</t>
  </si>
  <si>
    <t xml:space="preserve"> </t>
  </si>
  <si>
    <t>KONSTRUKSI JARINGAN 1 PHASE JTR</t>
  </si>
  <si>
    <t>KOORDINAT : -6.894327, 110.620078</t>
  </si>
  <si>
    <t>Daya 7.700 VA</t>
  </si>
  <si>
    <t>DS MANGUNJIWAN KEC DEMMAK</t>
  </si>
  <si>
    <t>AIRYS DEPO ISI ULANG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</si>
</sst>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6" fillId="0" borderId="0"/>
    <xf numFmtId="165" fontId="23" fillId="0" borderId="0" applyFont="0" applyFill="0" applyBorder="0" applyAlignment="0" applyProtection="0"/>
    <xf numFmtId="0" fontId="6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166" fontId="23" fillId="0" borderId="0" applyFont="0" applyFill="0" applyBorder="0" applyAlignment="0" applyProtection="0"/>
  </cellStyleXfs>
  <cellXfs count="715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168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130" fillId="48" borderId="21" xfId="1652" applyFont="1" applyFill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8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4" fillId="0" borderId="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114" fillId="38" borderId="3" xfId="1538" applyFill="1" applyBorder="1" applyAlignment="1">
      <alignment horizontal="center" vertical="center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 wrapText="1"/>
    </xf>
    <xf numFmtId="0" fontId="54" fillId="0" borderId="44" xfId="1538" applyFont="1" applyBorder="1" applyAlignment="1">
      <alignment horizontal="left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8" fillId="35" borderId="3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0" fontId="117" fillId="33" borderId="64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49" fontId="117" fillId="33" borderId="50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7" fontId="122" fillId="0" borderId="73" xfId="1450" applyNumberFormat="1" applyFont="1" applyBorder="1" applyAlignment="1">
      <alignment horizontal="left" vertical="center"/>
    </xf>
    <xf numFmtId="207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5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5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74</xdr:row>
      <xdr:rowOff>81642</xdr:rowOff>
    </xdr:from>
    <xdr:to>
      <xdr:col>12</xdr:col>
      <xdr:colOff>41108</xdr:colOff>
      <xdr:row>77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20</xdr:row>
      <xdr:rowOff>92528</xdr:rowOff>
    </xdr:from>
    <xdr:to>
      <xdr:col>14</xdr:col>
      <xdr:colOff>100853</xdr:colOff>
      <xdr:row>23</xdr:row>
      <xdr:rowOff>58590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92B4353-9F75-4A69-9067-96BEE2B74A67}"/>
            </a:ext>
          </a:extLst>
        </xdr:cNvPr>
        <xdr:cNvCxnSpPr>
          <a:cxnSpLocks/>
        </xdr:cNvCxnSpPr>
      </xdr:nvCxnSpPr>
      <xdr:spPr>
        <a:xfrm flipH="1">
          <a:off x="2977243" y="3173185"/>
          <a:ext cx="2005853" cy="42326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196011</xdr:colOff>
      <xdr:row>20</xdr:row>
      <xdr:rowOff>130469</xdr:rowOff>
    </xdr:from>
    <xdr:to>
      <xdr:col>39</xdr:col>
      <xdr:colOff>77659</xdr:colOff>
      <xdr:row>49</xdr:row>
      <xdr:rowOff>65871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E3D08-E3D9-5159-247B-D5D4F3475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6368" y="3164862"/>
          <a:ext cx="6072898" cy="4316902"/>
        </a:xfrm>
        <a:prstGeom prst="rect">
          <a:avLst/>
        </a:prstGeom>
      </xdr:spPr>
    </xdr:pic>
    <xdr:clientData/>
  </xdr:twoCellAnchor>
  <xdr:twoCellAnchor>
    <xdr:from>
      <xdr:col>6</xdr:col>
      <xdr:colOff>249147</xdr:colOff>
      <xdr:row>9</xdr:row>
      <xdr:rowOff>95916</xdr:rowOff>
    </xdr:from>
    <xdr:to>
      <xdr:col>10</xdr:col>
      <xdr:colOff>358588</xdr:colOff>
      <xdr:row>33</xdr:row>
      <xdr:rowOff>123264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2086912" y="1507857"/>
          <a:ext cx="1633441" cy="378131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98612</xdr:colOff>
      <xdr:row>10</xdr:row>
      <xdr:rowOff>133910</xdr:rowOff>
    </xdr:from>
    <xdr:to>
      <xdr:col>12</xdr:col>
      <xdr:colOff>199465</xdr:colOff>
      <xdr:row>13</xdr:row>
      <xdr:rowOff>89086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>
          <a:off x="2308412" y="1676960"/>
          <a:ext cx="2005853" cy="42190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174078</xdr:colOff>
      <xdr:row>6</xdr:row>
      <xdr:rowOff>91637</xdr:rowOff>
    </xdr:from>
    <xdr:to>
      <xdr:col>10</xdr:col>
      <xdr:colOff>349924</xdr:colOff>
      <xdr:row>27</xdr:row>
      <xdr:rowOff>30824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/>
      </xdr:nvCxnSpPr>
      <xdr:spPr>
        <a:xfrm flipH="1" flipV="1">
          <a:off x="2387819" y="1024430"/>
          <a:ext cx="1318846" cy="312513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328957</xdr:colOff>
      <xdr:row>22</xdr:row>
      <xdr:rowOff>151038</xdr:rowOff>
    </xdr:from>
    <xdr:to>
      <xdr:col>12</xdr:col>
      <xdr:colOff>190021</xdr:colOff>
      <xdr:row>25</xdr:row>
      <xdr:rowOff>137712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 rot="21013950">
          <a:off x="3687200" y="3536495"/>
          <a:ext cx="623064" cy="443874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ISI ULANG</a:t>
          </a:r>
        </a:p>
      </xdr:txBody>
    </xdr:sp>
    <xdr:clientData/>
  </xdr:twoCellAnchor>
  <xdr:twoCellAnchor>
    <xdr:from>
      <xdr:col>8</xdr:col>
      <xdr:colOff>357794</xdr:colOff>
      <xdr:row>16</xdr:row>
      <xdr:rowOff>80550</xdr:rowOff>
    </xdr:from>
    <xdr:to>
      <xdr:col>9</xdr:col>
      <xdr:colOff>65160</xdr:colOff>
      <xdr:row>17</xdr:row>
      <xdr:rowOff>25218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2957559" y="2590668"/>
          <a:ext cx="88366" cy="1015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16400</xdr:colOff>
      <xdr:row>11</xdr:row>
      <xdr:rowOff>24019</xdr:rowOff>
    </xdr:from>
    <xdr:to>
      <xdr:col>8</xdr:col>
      <xdr:colOff>104766</xdr:colOff>
      <xdr:row>11</xdr:row>
      <xdr:rowOff>122400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616165" y="1749725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140019</xdr:colOff>
      <xdr:row>13</xdr:row>
      <xdr:rowOff>103457</xdr:rowOff>
    </xdr:from>
    <xdr:to>
      <xdr:col>8</xdr:col>
      <xdr:colOff>329834</xdr:colOff>
      <xdr:row>15</xdr:row>
      <xdr:rowOff>133675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3771817">
          <a:off x="2663661" y="2189915"/>
          <a:ext cx="335018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323693</xdr:colOff>
      <xdr:row>21</xdr:row>
      <xdr:rowOff>141409</xdr:rowOff>
    </xdr:from>
    <xdr:to>
      <xdr:col>10</xdr:col>
      <xdr:colOff>333473</xdr:colOff>
      <xdr:row>24</xdr:row>
      <xdr:rowOff>121027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28" idx="4"/>
          <a:endCxn id="34" idx="1"/>
        </xdr:cNvCxnSpPr>
      </xdr:nvCxnSpPr>
      <xdr:spPr>
        <a:xfrm>
          <a:off x="3300936" y="3374466"/>
          <a:ext cx="390780" cy="436818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60583</xdr:colOff>
      <xdr:row>11</xdr:row>
      <xdr:rowOff>122400</xdr:rowOff>
    </xdr:from>
    <xdr:to>
      <xdr:col>9</xdr:col>
      <xdr:colOff>292451</xdr:colOff>
      <xdr:row>21</xdr:row>
      <xdr:rowOff>127386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28" idx="3"/>
          <a:endCxn id="199" idx="4"/>
        </xdr:cNvCxnSpPr>
      </xdr:nvCxnSpPr>
      <xdr:spPr>
        <a:xfrm flipH="1" flipV="1">
          <a:off x="2655324" y="1810624"/>
          <a:ext cx="612868" cy="1528986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104766</xdr:colOff>
      <xdr:row>10</xdr:row>
      <xdr:rowOff>85725</xdr:rowOff>
    </xdr:from>
    <xdr:to>
      <xdr:col>10</xdr:col>
      <xdr:colOff>133350</xdr:colOff>
      <xdr:row>11</xdr:row>
      <xdr:rowOff>73210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19FCF7A8-8D78-4BBD-8654-5F8A59DD395A}"/>
            </a:ext>
          </a:extLst>
        </xdr:cNvPr>
        <xdr:cNvCxnSpPr>
          <a:endCxn id="199" idx="6"/>
        </xdr:cNvCxnSpPr>
      </xdr:nvCxnSpPr>
      <xdr:spPr>
        <a:xfrm flipH="1">
          <a:off x="2695566" y="1628775"/>
          <a:ext cx="790584" cy="139885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279510</xdr:colOff>
      <xdr:row>21</xdr:row>
      <xdr:rowOff>45655</xdr:rowOff>
    </xdr:from>
    <xdr:to>
      <xdr:col>9</xdr:col>
      <xdr:colOff>367876</xdr:colOff>
      <xdr:row>21</xdr:row>
      <xdr:rowOff>141409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C9862BDE-4B70-40F9-A1EF-58C898E4EEC4}"/>
            </a:ext>
          </a:extLst>
        </xdr:cNvPr>
        <xdr:cNvGrpSpPr/>
      </xdr:nvGrpSpPr>
      <xdr:grpSpPr>
        <a:xfrm>
          <a:off x="3260275" y="3340184"/>
          <a:ext cx="88366" cy="957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BCE7FBB0-995C-4369-20FA-E7732413CA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5290DB-B795-30C7-5262-2C9404561DC2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AEB03BD7-B5B1-F506-5E3F-28854895AC6B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67901</xdr:colOff>
      <xdr:row>18</xdr:row>
      <xdr:rowOff>133393</xdr:rowOff>
    </xdr:from>
    <xdr:to>
      <xdr:col>9</xdr:col>
      <xdr:colOff>257716</xdr:colOff>
      <xdr:row>21</xdr:row>
      <xdr:rowOff>11211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D5B03AF9-96C6-441A-92C0-02F8D0F61E7F}"/>
            </a:ext>
          </a:extLst>
        </xdr:cNvPr>
        <xdr:cNvSpPr/>
      </xdr:nvSpPr>
      <xdr:spPr>
        <a:xfrm rot="3771817">
          <a:off x="2972543" y="2981851"/>
          <a:ext cx="335018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8</xdr:col>
      <xdr:colOff>58363</xdr:colOff>
      <xdr:row>7</xdr:row>
      <xdr:rowOff>1</xdr:rowOff>
    </xdr:from>
    <xdr:to>
      <xdr:col>9</xdr:col>
      <xdr:colOff>138193</xdr:colOff>
      <xdr:row>10</xdr:row>
      <xdr:rowOff>80596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E9EC580-BF50-4D51-B17A-AD26ED372D13}"/>
            </a:ext>
          </a:extLst>
        </xdr:cNvPr>
        <xdr:cNvSpPr/>
      </xdr:nvSpPr>
      <xdr:spPr>
        <a:xfrm>
          <a:off x="2652094" y="1091713"/>
          <a:ext cx="460830" cy="54219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1 CA5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1 CG105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1 CJ6-T</a:t>
          </a:r>
          <a:endParaRPr lang="en-US" sz="500">
            <a:solidFill>
              <a:schemeClr val="tx1"/>
            </a:solidFill>
          </a:endParaRP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223631</xdr:colOff>
      <xdr:row>10</xdr:row>
      <xdr:rowOff>16565</xdr:rowOff>
    </xdr:from>
    <xdr:to>
      <xdr:col>7</xdr:col>
      <xdr:colOff>364435</xdr:colOff>
      <xdr:row>11</xdr:row>
      <xdr:rowOff>57978</xdr:rowOff>
    </xdr:to>
    <xdr:sp macro="" textlink="">
      <xdr:nvSpPr>
        <xdr:cNvPr id="24" name="Isosceles Triangle 23">
          <a:extLst>
            <a:ext uri="{FF2B5EF4-FFF2-40B4-BE49-F238E27FC236}">
              <a16:creationId xmlns:a16="http://schemas.microsoft.com/office/drawing/2014/main" id="{F1E3A9F8-BD09-47A5-8FDC-EEF445A9965B}"/>
            </a:ext>
          </a:extLst>
        </xdr:cNvPr>
        <xdr:cNvSpPr/>
      </xdr:nvSpPr>
      <xdr:spPr>
        <a:xfrm>
          <a:off x="2443370" y="1540565"/>
          <a:ext cx="140804" cy="19050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197826</xdr:colOff>
      <xdr:row>14</xdr:row>
      <xdr:rowOff>146539</xdr:rowOff>
    </xdr:from>
    <xdr:to>
      <xdr:col>10</xdr:col>
      <xdr:colOff>277656</xdr:colOff>
      <xdr:row>17</xdr:row>
      <xdr:rowOff>29308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7FECD81-A47A-442E-86DE-2806A1ACF34C}"/>
            </a:ext>
          </a:extLst>
        </xdr:cNvPr>
        <xdr:cNvSpPr/>
      </xdr:nvSpPr>
      <xdr:spPr>
        <a:xfrm>
          <a:off x="3172557" y="2322635"/>
          <a:ext cx="460830" cy="344365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CJ5-T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219808</xdr:colOff>
      <xdr:row>22</xdr:row>
      <xdr:rowOff>1</xdr:rowOff>
    </xdr:from>
    <xdr:to>
      <xdr:col>9</xdr:col>
      <xdr:colOff>299638</xdr:colOff>
      <xdr:row>24</xdr:row>
      <xdr:rowOff>73270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F297186-C34B-4FD6-80F6-581FB5E5C5D9}"/>
            </a:ext>
          </a:extLst>
        </xdr:cNvPr>
        <xdr:cNvSpPr/>
      </xdr:nvSpPr>
      <xdr:spPr>
        <a:xfrm>
          <a:off x="2813539" y="3407020"/>
          <a:ext cx="460830" cy="38100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500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>
              <a:solidFill>
                <a:srgbClr val="FF0000"/>
              </a:solidFill>
            </a:rPr>
            <a:t>1 CJ6-T</a:t>
          </a:r>
        </a:p>
        <a:p>
          <a:pPr algn="l"/>
          <a:endParaRPr lang="en-US" sz="500">
            <a:solidFill>
              <a:srgbClr val="FF0000"/>
            </a:solidFill>
          </a:endParaRPr>
        </a:p>
        <a:p>
          <a:pPr algn="l"/>
          <a:endParaRPr lang="en-US" sz="5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653142</xdr:colOff>
      <xdr:row>8</xdr:row>
      <xdr:rowOff>95251</xdr:rowOff>
    </xdr:from>
    <xdr:to>
      <xdr:col>20</xdr:col>
      <xdr:colOff>929623</xdr:colOff>
      <xdr:row>55</xdr:row>
      <xdr:rowOff>9226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109BB-8F3D-47FA-0FF8-A0F250D2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999" y="1551215"/>
          <a:ext cx="11584017" cy="760201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3" t="s">
        <v>1134</v>
      </c>
      <c r="C4" s="523"/>
      <c r="D4" s="523"/>
      <c r="E4" s="523"/>
      <c r="F4" s="523"/>
      <c r="G4" s="523"/>
      <c r="H4" s="523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4" t="s">
        <v>0</v>
      </c>
      <c r="C7" s="524" t="s">
        <v>1</v>
      </c>
      <c r="D7" s="525" t="s">
        <v>42</v>
      </c>
      <c r="E7" s="525" t="s">
        <v>43</v>
      </c>
      <c r="F7" s="525" t="s">
        <v>1135</v>
      </c>
      <c r="G7" s="526" t="s">
        <v>41</v>
      </c>
      <c r="H7" s="522" t="s">
        <v>1042</v>
      </c>
      <c r="I7" s="522" t="s">
        <v>1137</v>
      </c>
      <c r="J7" s="522" t="s">
        <v>1026</v>
      </c>
      <c r="K7" s="516" t="s">
        <v>1024</v>
      </c>
      <c r="L7" s="517"/>
    </row>
    <row r="8" spans="1:12" ht="15" customHeight="1">
      <c r="B8" s="524"/>
      <c r="C8" s="524"/>
      <c r="D8" s="525"/>
      <c r="E8" s="525"/>
      <c r="F8" s="525"/>
      <c r="G8" s="526"/>
      <c r="H8" s="522"/>
      <c r="I8" s="522"/>
      <c r="J8" s="522"/>
      <c r="K8" s="518"/>
      <c r="L8" s="519"/>
    </row>
    <row r="9" spans="1:12" ht="15" customHeight="1">
      <c r="B9" s="524"/>
      <c r="C9" s="524"/>
      <c r="D9" s="525"/>
      <c r="E9" s="525"/>
      <c r="F9" s="525"/>
      <c r="G9" s="526"/>
      <c r="H9" s="522"/>
      <c r="I9" s="522"/>
      <c r="J9" s="522"/>
      <c r="K9" s="520"/>
      <c r="L9" s="521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100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SUMIFS(RAB!$F$14:$F$58,RAB!$C$14:$C$58,C714)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SUMIFS(RAB!$F$14:$F$58,RAB!$C$14:$C$58,C715)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SUMIFS(RAB!$F$14:$F$58,RAB!$C$14:$C$58,C716)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SUMIFS(RAB!$F$14:$F$58,RAB!$C$14:$C$58,C717)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SUMIFS(RAB!$F$14:$F$58,RAB!$C$14:$C$58,C718)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SUMIFS(RAB!$F$14:$F$58,RAB!$C$14:$C$58,C719)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SUMIFS(RAB!$F$14:$F$58,RAB!$C$14:$C$58,C720)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SUMIFS(RAB!$F$14:$F$58,RAB!$C$14:$C$58,C721)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SUMIFS(RAB!$F$14:$F$58,RAB!$C$14:$C$58,C722)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SUMIFS(RAB!$F$14:$F$58,RAB!$C$14:$C$58,C723)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SUMIFS(RAB!$F$14:$F$58,RAB!$C$14:$C$58,C724)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SUMIFS(RAB!$F$14:$F$58,RAB!$C$14:$C$58,C725)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SUMIFS(RAB!$F$14:$F$58,RAB!$C$14:$C$58,C726)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SUMIFS(RAB!$F$14:$F$58,RAB!$C$14:$C$58,C727)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SUMIFS(RAB!$F$14:$F$58,RAB!$C$14:$C$58,C728)</f>
        <v>1</v>
      </c>
      <c r="E728" s="26">
        <f t="shared" ca="1" si="33"/>
        <v>1</v>
      </c>
      <c r="F728" s="26">
        <f ca="1">IF(D728=0,0,SUM($E$713:E728))</f>
        <v>2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SUMIFS(RAB!$F$14:$F$58,RAB!$C$14:$C$58,C729)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SUMIFS(RAB!$F$14:$F$58,RAB!$C$14:$C$58,C730)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SUMIFS(RAB!$F$14:$F$58,RAB!$C$14:$C$58,C731)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SUMIFS(RAB!$F$14:$F$58,RAB!$C$14:$C$58,C732)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SUMIFS(RAB!$F$14:$F$58,RAB!$C$14:$C$58,C733)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SUMIFS(RAB!$F$14:$F$58,RAB!$C$14:$C$58,C734)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SUMIFS(RAB!$F$14:$F$58,RAB!$C$14:$C$58,C735)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SUMIFS(RAB!$F$14:$F$58,RAB!$C$14:$C$58,C736)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SUMIFS(RAB!$F$14:$F$58,RAB!$C$14:$C$58,C737)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SUMIFS(RAB!$F$14:$F$58,RAB!$C$14:$C$58,C738)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SUMIFS(RAB!$F$14:$F$58,RAB!$C$14:$C$58,C739)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SUMIFS(RAB!$F$14:$F$58,RAB!$C$14:$C$58,C740)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SUMIFS(RAB!$F$14:$F$58,RAB!$C$14:$C$58,C741)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SUMIFS(RAB!$F$14:$F$58,RAB!$C$14:$C$58,C742)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SUMIFS(RAB!$F$14:$F$58,RAB!$C$14:$C$58,C743)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SUMIFS(RAB!$F$14:$F$58,RAB!$C$14:$C$58,C744)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SUMIFS(RAB!$F$14:$F$58,RAB!$C$14:$C$58,C745)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SUMIFS(RAB!$F$14:$F$58,RAB!$C$14:$C$58,C746)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SUMIFS(RAB!$F$14:$F$58,RAB!$C$14:$C$58,C747)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SUMIFS(RAB!$F$14:$F$58,RAB!$C$14:$C$58,C748)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SUMIFS(RAB!$F$14:$F$58,RAB!$C$14:$C$58,C749)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SUMIFS(RAB!$F$14:$F$58,RAB!$C$14:$C$58,C750)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SUMIFS(RAB!$F$14:$F$58,RAB!$C$14:$C$58,C751)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SUMIFS(RAB!$F$14:$F$58,RAB!$C$14:$C$58,C752)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SUMIFS(RAB!$F$14:$F$58,RAB!$C$14:$C$58,C753)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SUMIFS(RAB!$F$14:$F$58,RAB!$C$14:$C$58,C754)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SUMIFS(RAB!$F$14:$F$58,RAB!$C$14:$C$58,C755)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SUMIFS(RAB!$F$14:$F$58,RAB!$C$14:$C$58,C756)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SUMIFS(RAB!$F$14:$F$58,RAB!$C$14:$C$58,C757)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SUMIFS(RAB!$F$14:$F$58,RAB!$C$14:$C$58,C758)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SUMIFS(RAB!$F$14:$F$58,RAB!$C$14:$C$58,C759)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SUMIFS(RAB!$F$14:$F$58,RAB!$C$14:$C$58,C760)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SUMIFS(RAB!$F$14:$F$58,RAB!$C$14:$C$58,C761)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SUMIFS(RAB!$F$14:$F$58,RAB!$C$14:$C$58,C762)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SUMIFS(RAB!$F$14:$F$58,RAB!$C$14:$C$58,C763)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SUMIFS(RAB!$F$14:$F$58,RAB!$C$14:$C$58,C764)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SUMIFS(RAB!$F$14:$F$58,RAB!$C$14:$C$58,C765)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SUMIFS(RAB!$F$14:$F$58,RAB!$C$14:$C$58,C766)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SUMIFS(RAB!$F$14:$F$58,RAB!$C$14:$C$58,C767)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SUMIFS(RAB!$F$14:$F$58,RAB!$C$14:$C$58,C768)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SUMIFS(RAB!$F$14:$F$58,RAB!$C$14:$C$58,C769)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SUMIFS(RAB!$F$14:$F$58,RAB!$C$14:$C$58,C770)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SUMIFS(RAB!$F$14:$F$58,RAB!$C$14:$C$58,C771)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SUMIFS(RAB!$F$14:$F$58,RAB!$C$14:$C$58,C772)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SUMIFS(RAB!$F$14:$F$58,RAB!$C$14:$C$58,C773)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SUMIFS(RAB!$F$14:$F$58,RAB!$C$14:$C$58,C774)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SUMIFS(RAB!$F$14:$F$58,RAB!$C$14:$C$58,C775)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SUMIFS(RAB!$F$14:$F$58,RAB!$C$14:$C$58,C776)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SUMIFS(RAB!$F$14:$F$58,RAB!$C$14:$C$58,C777)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SUMIFS(RAB!$F$14:$F$58,RAB!$C$14:$C$58,C778)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SUMIFS(RAB!$F$14:$F$58,RAB!$C$14:$C$58,C779)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SUMIFS(RAB!$F$14:$F$58,RAB!$C$14:$C$58,C780)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SUMIFS(RAB!$F$14:$F$58,RAB!$C$14:$C$58,C781)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SUMIFS(RAB!$F$14:$F$58,RAB!$C$14:$C$58,C782)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SUMIFS(RAB!$F$14:$F$58,RAB!$C$14:$C$58,C783)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SUMIFS(RAB!$F$14:$F$58,RAB!$C$14:$C$58,C784)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SUMIFS(RAB!$F$14:$F$58,RAB!$C$14:$C$58,C785)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SUMIFS(RAB!$F$14:$F$58,RAB!$C$14:$C$58,C786)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SUMIFS(RAB!$F$14:$F$58,RAB!$C$14:$C$58,C787)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SUMIFS(RAB!$F$14:$F$58,RAB!$C$14:$C$58,C788)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SUMIFS(RAB!$F$14:$F$58,RAB!$C$14:$C$58,C789)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SUMIFS(RAB!$F$14:$F$58,RAB!$C$14:$C$58,C790)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SUMIFS(RAB!$F$14:$F$58,RAB!$C$14:$C$58,C791)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SUMIFS(RAB!$F$14:$F$58,RAB!$C$14:$C$58,C792)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SUMIFS(RAB!$F$14:$F$58,RAB!$C$14:$C$58,C793)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SUMIFS(RAB!$F$14:$F$58,RAB!$C$14:$C$58,C794)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SUMIFS(RAB!$F$14:$F$58,RAB!$C$14:$C$58,C795)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SUMIFS(RAB!$F$14:$F$58,RAB!$C$14:$C$58,C796)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SUMIFS(RAB!$F$14:$F$58,RAB!$C$14:$C$58,C797)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SUMIFS(RAB!$F$14:$F$58,RAB!$C$14:$C$58,C798)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SUMIFS(RAB!$F$14:$F$58,RAB!$C$14:$C$58,C799)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SUMIFS(RAB!$F$14:$F$58,RAB!$C$14:$C$58,C800)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SUMIFS(RAB!$F$14:$F$58,RAB!$C$14:$C$58,C801)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SUMIFS(RAB!$F$14:$F$58,RAB!$C$14:$C$58,C802)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SUMIFS(RAB!$F$14:$F$58,RAB!$C$14:$C$58,C803)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SUMIFS(RAB!$F$14:$F$58,RAB!$C$14:$C$58,C804)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SUMIFS(RAB!$F$14:$F$58,RAB!$C$14:$C$58,C805)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SUMIFS(RAB!$F$14:$F$58,RAB!$C$14:$C$58,C806)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SUMIFS(RAB!$F$14:$F$58,RAB!$C$14:$C$58,C807)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SUMIFS(RAB!$F$14:$F$58,RAB!$C$14:$C$58,C808)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SUMIFS(RAB!$F$14:$F$58,RAB!$C$14:$C$58,C809)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SUMIFS(RAB!$F$14:$F$58,RAB!$C$14:$C$58,C810)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SUMIFS(RAB!$F$14:$F$58,RAB!$C$14:$C$58,C811)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SUMIFS(RAB!$F$14:$F$58,RAB!$C$14:$C$58,C812)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SUMIFS(RAB!$F$14:$F$58,RAB!$C$14:$C$58,C813)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SUMIFS(RAB!$F$14:$F$58,RAB!$C$14:$C$58,C814)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SUMIFS(RAB!$F$14:$F$58,RAB!$C$14:$C$58,C815)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SUMIFS(RAB!$F$14:$F$58,RAB!$C$14:$C$58,C816)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SUMIFS(RAB!$F$14:$F$58,RAB!$C$14:$C$58,C817)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SUMIFS(RAB!$F$14:$F$58,RAB!$C$14:$C$58,C818)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SUMIFS(RAB!$F$14:$F$58,RAB!$C$14:$C$58,C819)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SUMIFS(RAB!$F$14:$F$58,RAB!$C$14:$C$58,C820)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SUMIFS(RAB!$F$14:$F$58,RAB!$C$14:$C$58,C821)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SUMIFS(RAB!$F$14:$F$58,RAB!$C$14:$C$58,C822)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SUMIFS(RAB!$F$14:$F$58,RAB!$C$14:$C$58,C823)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SUMIFS(RAB!$F$14:$F$58,RAB!$C$14:$C$58,C824)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SUMIFS(RAB!$F$14:$F$58,RAB!$C$14:$C$58,C825)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SUMIFS(RAB!$F$14:$F$58,RAB!$C$14:$C$58,C826)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SUMIFS(RAB!$F$14:$F$58,RAB!$C$14:$C$58,C827)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SUMIFS(RAB!$F$14:$F$58,RAB!$C$14:$C$58,C828)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SUMIFS(RAB!$F$14:$F$58,RAB!$C$14:$C$58,C829)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SUMIFS(RAB!$F$14:$F$58,RAB!$C$14:$C$58,C830)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SUMIFS(RAB!$F$14:$F$58,RAB!$C$14:$C$58,C831)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SUMIFS(RAB!$F$14:$F$58,RAB!$C$14:$C$58,C832)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SUMIFS(RAB!$F$14:$F$58,RAB!$C$14:$C$58,C833)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SUMIFS(RAB!$F$14:$F$58,RAB!$C$14:$C$58,C834)</f>
        <v>100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SUMIFS(RAB!$F$14:$F$58,RAB!$C$14:$C$58,C835)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SUMIFS(RAB!$F$14:$F$58,RAB!$C$14:$C$58,C836)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SUMIFS(RAB!$F$14:$F$58,RAB!$C$14:$C$58,C837)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SUMIFS(RAB!$F$14:$F$58,RAB!$C$14:$C$58,C838)</f>
        <v>35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SUMIFS(RAB!$F$14:$F$58,RAB!$C$14:$C$58,C839)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SUMIFS(RAB!$F$14:$F$58,RAB!$C$14:$C$58,C840)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SUMIFS(RAB!$F$14:$F$58,RAB!$C$14:$C$58,C841)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SUMIFS(RAB!$F$14:$F$58,RAB!$C$14:$C$58,C842)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SUMIFS(RAB!$F$14:$F$58,RAB!$C$14:$C$58,C843)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SUMIFS(RAB!$F$14:$F$58,RAB!$C$14:$C$58,C844)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SUMIFS(RAB!$F$14:$F$58,RAB!$C$14:$C$58,C845)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SUMIFS(RAB!$F$14:$F$58,RAB!$C$14:$C$58,C846)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SUMIFS(RAB!$F$14:$F$58,RAB!$C$14:$C$58,C847)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SUMIFS(RAB!$F$14:$F$58,RAB!$C$14:$C$58,C848)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SUMIFS(RAB!$F$14:$F$58,RAB!$C$14:$C$58,C849)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SUMIFS(RAB!$F$14:$F$58,RAB!$C$14:$C$58,C850)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SUMIFS(RAB!$F$14:$F$58,RAB!$C$14:$C$58,C851)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SUMIFS(RAB!$F$14:$F$58,RAB!$C$14:$C$58,C852)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SUMIFS(RAB!$F$14:$F$58,RAB!$C$14:$C$58,C853)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SUMIFS(RAB!$F$14:$F$58,RAB!$C$14:$C$58,C854)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SUMIFS(RAB!$F$14:$F$58,RAB!$C$14:$C$58,C855)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SUMIFS(RAB!$F$14:$F$58,RAB!$C$14:$C$58,C856)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SUMIFS(RAB!$F$14:$F$58,RAB!$C$14:$C$58,C857)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SUMIFS(RAB!$F$14:$F$58,RAB!$C$14:$C$58,C858)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SUMIFS(RAB!$F$14:$F$58,RAB!$C$14:$C$58,C859)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SUMIFS(RAB!$F$14:$F$58,RAB!$C$14:$C$58,C860)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SUMIFS(RAB!$F$14:$F$58,RAB!$C$14:$C$58,C861)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SUMIFS(RAB!$F$14:$F$58,RAB!$C$14:$C$58,C862)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SUMIFS(RAB!$F$14:$F$58,RAB!$C$14:$C$58,C863)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SUMIFS(RAB!$F$14:$F$58,RAB!$C$14:$C$58,C864)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SUMIFS(RAB!$F$14:$F$58,RAB!$C$14:$C$58,C865)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SUMIFS(RAB!$F$14:$F$58,RAB!$C$14:$C$58,C866)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SUMIFS(RAB!$F$14:$F$58,RAB!$C$14:$C$58,C867)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SUMIFS(RAB!$F$14:$F$58,RAB!$C$14:$C$58,C868)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SUMIFS(RAB!$F$14:$F$58,RAB!$C$14:$C$58,C869)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SUMIFS(RAB!$F$14:$F$58,RAB!$C$14:$C$58,C870)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SUMIFS(RAB!$F$14:$F$58,RAB!$C$14:$C$58,C871)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SUMIFS(RAB!$F$14:$F$58,RAB!$C$14:$C$58,C872)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SUMIFS(RAB!$F$14:$F$58,RAB!$C$14:$C$58,C873)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SUMIFS(RAB!$F$14:$F$58,RAB!$C$14:$C$58,C874)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SUMIFS(RAB!$F$14:$F$58,RAB!$C$14:$C$58,C875)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SUMIFS(RAB!$F$14:$F$58,RAB!$C$14:$C$58,C876)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SUMIFS(RAB!$F$14:$F$58,RAB!$C$14:$C$58,C877)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SUMIFS(RAB!$F$14:$F$58,RAB!$C$14:$C$58,C878)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SUMIFS(RAB!$F$14:$F$58,RAB!$C$14:$C$58,C879)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SUMIFS(RAB!$F$14:$F$58,RAB!$C$14:$C$58,C880)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SUMIFS(RAB!$F$14:$F$58,RAB!$C$14:$C$58,C881)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SUMIFS(RAB!$F$14:$F$58,RAB!$C$14:$C$58,C882)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SUMIFS(RAB!$F$14:$F$58,RAB!$C$14:$C$58,C883)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SUMIFS(RAB!$F$14:$F$58,RAB!$C$14:$C$58,C884)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SUMIFS(RAB!$F$14:$F$58,RAB!$C$14:$C$58,C885)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SUMIFS(RAB!$F$14:$F$58,RAB!$C$14:$C$58,C886)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SUMIFS(RAB!$F$14:$F$58,RAB!$C$14:$C$58,C887)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SUMIFS(RAB!$F$14:$F$58,RAB!$C$14:$C$58,C888)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SUMIFS(RAB!$F$14:$F$58,RAB!$C$14:$C$58,C889)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SUMIFS(RAB!$F$14:$F$58,RAB!$C$14:$C$58,C890)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SUMIFS(RAB!$F$14:$F$58,RAB!$C$14:$C$58,C891)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SUMIFS(RAB!$F$14:$F$58,RAB!$C$14:$C$58,C892)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SUMIFS(RAB!$F$14:$F$58,RAB!$C$14:$C$58,C893)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SUMIFS(RAB!$F$14:$F$58,RAB!$C$14:$C$58,C894)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SUMIFS(RAB!$F$14:$F$58,RAB!$C$14:$C$58,C895)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SUMIFS(RAB!$F$14:$F$58,RAB!$C$14:$C$58,C896)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SUMIFS(RAB!$F$14:$F$58,RAB!$C$14:$C$58,C897)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SUMIFS(RAB!$F$14:$F$58,RAB!$C$14:$C$58,C898)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SUMIFS(RAB!$F$14:$F$58,RAB!$C$14:$C$58,C899)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SUMIFS(RAB!$F$14:$F$58,RAB!$C$14:$C$58,C900)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SUMIFS(RAB!$F$14:$F$58,RAB!$C$14:$C$58,C901)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SUMIFS(RAB!$F$14:$F$58,RAB!$C$14:$C$58,C902)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SUMIFS(RAB!$F$14:$F$58,RAB!$C$14:$C$58,C903)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SUMIFS(RAB!$F$14:$F$58,RAB!$C$14:$C$58,C904)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SUMIFS(RAB!$F$14:$F$58,RAB!$C$14:$C$58,C905)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SUMIFS(RAB!$F$14:$F$58,RAB!$C$14:$C$58,C906)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SUMIFS(RAB!$F$14:$F$58,RAB!$C$14:$C$58,C907)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SUMIFS(RAB!$F$14:$F$58,RAB!$C$14:$C$58,C908)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SUMIFS(RAB!$F$14:$F$58,RAB!$C$14:$C$58,C909)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SUMIFS(RAB!$F$14:$F$58,RAB!$C$14:$C$58,C910)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SUMIFS(RAB!$F$14:$F$58,RAB!$C$14:$C$58,C911)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SUMIFS(RAB!$F$14:$F$58,RAB!$C$14:$C$58,C912)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SUMIFS(RAB!$F$14:$F$58,RAB!$C$14:$C$58,C913)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SUMIFS(RAB!$F$14:$F$58,RAB!$C$14:$C$58,C914)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SUMIFS(RAB!$F$14:$F$58,RAB!$C$14:$C$58,C915)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SUMIFS(RAB!$F$14:$F$58,RAB!$C$14:$C$58,C916)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SUMIFS(RAB!$F$14:$F$58,RAB!$C$14:$C$58,C917)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SUMIFS(RAB!$F$14:$F$58,RAB!$C$14:$C$58,C918)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SUMIFS(RAB!$F$14:$F$58,RAB!$C$14:$C$58,C919)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SUMIFS(RAB!$F$14:$F$58,RAB!$C$14:$C$58,C920)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SUMIFS(RAB!$F$14:$F$58,RAB!$C$14:$C$58,C921)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SUMIFS(RAB!$F$14:$F$58,RAB!$C$14:$C$58,C922)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SUMIFS(RAB!$F$14:$F$58,RAB!$C$14:$C$58,C923)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SUMIFS(RAB!$F$14:$F$58,RAB!$C$14:$C$58,C924)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SUMIFS(RAB!$F$14:$F$58,RAB!$C$14:$C$58,C925)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SUMIFS(RAB!$F$14:$F$58,RAB!$C$14:$C$58,C926)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SUMIFS(RAB!$F$14:$F$58,RAB!$C$14:$C$58,C927)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SUMIFS(RAB!$F$14:$F$58,RAB!$C$14:$C$58,C928)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SUMIFS(RAB!$F$14:$F$58,RAB!$C$14:$C$58,C929)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SUMIFS(RAB!$F$14:$F$58,RAB!$C$14:$C$58,C930)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SUMIFS(RAB!$F$14:$F$58,RAB!$C$14:$C$58,C931)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SUMIFS(RAB!$F$14:$F$58,RAB!$C$14:$C$58,C932)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SUMIFS(RAB!$F$14:$F$58,RAB!$C$14:$C$58,C933)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SUMIFS(RAB!$F$14:$F$58,RAB!$C$14:$C$58,C934)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SUMIFS(RAB!$F$14:$F$58,RAB!$C$14:$C$58,C935)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SUMIFS(RAB!$F$14:$F$58,RAB!$C$14:$C$58,C936)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SUMIFS(RAB!$F$14:$F$58,RAB!$C$14:$C$58,C937)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SUMIFS(RAB!$F$14:$F$58,RAB!$C$14:$C$58,C938)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SUMIFS(RAB!$F$14:$F$58,RAB!$C$14:$C$58,C939)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SUMIFS(RAB!$F$14:$F$58,RAB!$C$14:$C$58,C940)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SUMIFS(RAB!$F$14:$F$58,RAB!$C$14:$C$58,C941)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SUMIFS(RAB!$F$14:$F$58,RAB!$C$14:$C$58,C942)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SUMIFS(RAB!$F$14:$F$58,RAB!$C$14:$C$58,C943)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SUMIFS(RAB!$F$14:$F$58,RAB!$C$14:$C$58,C944)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SUMIFS(RAB!$F$14:$F$58,RAB!$C$14:$C$58,C945)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SUMIFS(RAB!$F$14:$F$58,RAB!$C$14:$C$58,C946)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SUMIFS(RAB!$F$14:$F$58,RAB!$C$14:$C$58,C947)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SUMIFS(RAB!$F$14:$F$58,RAB!$C$14:$C$58,C948)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SUMIFS(RAB!$F$14:$F$58,RAB!$C$14:$C$58,C949)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SUMIFS(RAB!$F$14:$F$58,RAB!$C$14:$C$58,C950)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SUMIFS(RAB!$F$14:$F$58,RAB!$C$14:$C$58,C951)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SUMIFS(RAB!$F$14:$F$58,RAB!$C$14:$C$58,C952)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SUMIFS(RAB!$F$14:$F$58,RAB!$C$14:$C$58,C953)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SUMIFS(RAB!$F$14:$F$58,RAB!$C$14:$C$58,C954)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SUMIFS(RAB!$F$14:$F$58,RAB!$C$14:$C$58,C955)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SUMIFS(RAB!$F$14:$F$58,RAB!$C$14:$C$58,C956)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SUMIFS(RAB!$F$14:$F$58,RAB!$C$14:$C$58,C957)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SUMIFS(RAB!$F$14:$F$58,RAB!$C$14:$C$58,C958)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SUMIFS(RAB!$F$14:$F$58,RAB!$C$14:$C$58,C959)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SUMIFS(RAB!$F$14:$F$58,RAB!$C$14:$C$58,C960)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SUMIFS(RAB!$F$14:$F$58,RAB!$C$14:$C$58,C961)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SUMIFS(RAB!$F$14:$F$58,RAB!$C$14:$C$58,C962)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SUMIFS(RAB!$F$14:$F$58,RAB!$C$14:$C$58,C963)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SUMIFS(RAB!$F$14:$F$58,RAB!$C$14:$C$58,C964)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SUMIFS(RAB!$F$14:$F$58,RAB!$C$14:$C$58,C965)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SUMIFS(RAB!$F$14:$F$58,RAB!$C$14:$C$58,C966)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SUMIFS(RAB!$F$14:$F$58,RAB!$C$14:$C$58,C967)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SUMIFS(RAB!$F$14:$F$58,RAB!$C$14:$C$58,C968)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SUMIFS(RAB!$F$14:$F$58,RAB!$C$14:$C$58,C969)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SUMIFS(RAB!$F$14:$F$58,RAB!$C$14:$C$58,C970)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SUMIFS(RAB!$F$14:$F$58,RAB!$C$14:$C$58,C971)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SUMIFS(RAB!$F$14:$F$58,RAB!$C$14:$C$58,C972)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SUMIFS(RAB!$F$14:$F$58,RAB!$C$14:$C$58,C973)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SUMIFS(RAB!$F$14:$F$58,RAB!$C$14:$C$58,C974)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SUMIFS(RAB!$F$14:$F$58,RAB!$C$14:$C$58,C975)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SUMIFS(RAB!$F$14:$F$58,RAB!$C$14:$C$58,C976)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SUMIFS(RAB!$F$14:$F$58,RAB!$C$14:$C$58,C977)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SUMIFS(RAB!$F$14:$F$58,RAB!$C$14:$C$58,C978)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SUMIFS(RAB!$F$14:$F$58,RAB!$C$14:$C$58,C979)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SUMIFS(RAB!$F$14:$F$58,RAB!$C$14:$C$58,C980)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SUMIFS(RAB!$F$14:$F$58,RAB!$C$14:$C$58,C981)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SUMIFS(RAB!$F$14:$F$58,RAB!$C$14:$C$58,C982)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SUMIFS(RAB!$F$14:$F$58,RAB!$C$14:$C$58,C983)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SUMIFS(RAB!$F$14:$F$58,RAB!$C$14:$C$58,C984)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SUMIFS(RAB!$F$14:$F$58,RAB!$C$14:$C$58,C985)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SUMIFS(RAB!$F$14:$F$58,RAB!$C$14:$C$58,C986)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SUMIFS(RAB!$F$14:$F$58,RAB!$C$14:$C$58,C987)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SUMIFS(RAB!$F$14:$F$58,RAB!$C$14:$C$58,C988)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SUMIFS(RAB!$F$14:$F$58,RAB!$C$14:$C$58,C989)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SUMIFS(RAB!$F$14:$F$58,RAB!$C$14:$C$58,C990)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SUMIFS(RAB!$F$14:$F$58,RAB!$C$14:$C$58,C991)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SUMIFS(RAB!$F$14:$F$58,RAB!$C$14:$C$58,C992)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SUMIFS(RAB!$F$14:$F$58,RAB!$C$14:$C$58,C993)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SUMIFS(RAB!$F$14:$F$58,RAB!$C$14:$C$58,C994)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SUMIFS(RAB!$F$14:$F$58,RAB!$C$14:$C$58,C995)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SUMIFS(RAB!$F$14:$F$58,RAB!$C$14:$C$58,C996)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SUMIFS(RAB!$F$14:$F$58,RAB!$C$14:$C$58,C997)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SUMIFS(RAB!$F$14:$F$58,RAB!$C$14:$C$58,C998)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SUMIFS(RAB!$F$14:$F$58,RAB!$C$14:$C$58,C999)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SUMIFS(RAB!$F$14:$F$58,RAB!$C$14:$C$58,C1000)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SUMIFS(RAB!$F$14:$F$58,RAB!$C$14:$C$58,C1001)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SUMIFS(RAB!$F$14:$F$58,RAB!$C$14:$C$58,C1002)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SUMIFS(RAB!$F$14:$F$58,RAB!$C$14:$C$58,C1003)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SUMIFS(RAB!$F$14:$F$58,RAB!$C$14:$C$58,C1004)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SUMIFS(RAB!$F$14:$F$58,RAB!$C$14:$C$58,C1005)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SUMIFS(RAB!$F$14:$F$58,RAB!$C$14:$C$58,C1006)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SUMIFS(RAB!$F$14:$F$58,RAB!$C$14:$C$58,C1007)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SUMIFS(RAB!$F$14:$F$58,RAB!$C$14:$C$58,C1008)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SUMIFS(RAB!$F$14:$F$58,RAB!$C$14:$C$58,C1009)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SUMIFS(RAB!$F$14:$F$58,RAB!$C$14:$C$58,C1010)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SUMIFS(RAB!$F$14:$F$58,RAB!$C$14:$C$58,C1011)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SUMIFS(RAB!$F$14:$F$58,RAB!$C$14:$C$58,C1012)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SUMIFS(RAB!$F$14:$F$58,RAB!$C$14:$C$58,C1013)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SUMIFS(RAB!$F$14:$F$58,RAB!$C$14:$C$58,C1014)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SUMIFS(RAB!$F$14:$F$58,RAB!$C$14:$C$58,C1015)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SUMIFS(RAB!$F$14:$F$58,RAB!$C$14:$C$58,C1016)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SUMIFS(RAB!$F$14:$F$58,RAB!$C$14:$C$58,C1017)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SUMIFS(RAB!$F$14:$F$58,RAB!$C$14:$C$58,C1018)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SUMIFS(RAB!$F$14:$F$58,RAB!$C$14:$C$58,C1019)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SUMIFS(RAB!$F$14:$F$58,RAB!$C$14:$C$58,C1020)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SUMIFS(RAB!$F$14:$F$58,RAB!$C$14:$C$58,C1021)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SUMIFS(RAB!$F$14:$F$58,RAB!$C$14:$C$58,C1022)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SUMIFS(RAB!$F$14:$F$58,RAB!$C$14:$C$58,C1023)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SUMIFS(RAB!$F$14:$F$58,RAB!$C$14:$C$58,C1024)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SUMIFS(RAB!$F$14:$F$58,RAB!$C$14:$C$58,C1025)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SUMIFS(RAB!$F$14:$F$58,RAB!$C$14:$C$58,C1026)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SUMIFS(RAB!$F$14:$F$58,RAB!$C$14:$C$58,C1027)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SUMIFS(RAB!$F$14:$F$58,RAB!$C$14:$C$58,C1028)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SUMIFS(RAB!$F$14:$F$58,RAB!$C$14:$C$58,C1029)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SUMIFS(RAB!$F$14:$F$58,RAB!$C$14:$C$58,C1030)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SUMIFS(RAB!$F$14:$F$58,RAB!$C$14:$C$58,C1031)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SUMIFS(RAB!$F$14:$F$58,RAB!$C$14:$C$58,C1032)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SUMIFS(RAB!$F$14:$F$58,RAB!$C$14:$C$58,C1033)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SUMIFS(RAB!$F$14:$F$58,RAB!$C$14:$C$58,C1034)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SUMIFS(RAB!$F$14:$F$58,RAB!$C$14:$C$58,C1035)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SUMIFS(RAB!$F$14:$F$58,RAB!$C$14:$C$58,C1036)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SUMIFS(RAB!$F$14:$F$58,RAB!$C$14:$C$58,C1037)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SUMIFS(RAB!$F$14:$F$58,RAB!$C$14:$C$58,C1038)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SUMIFS(RAB!$F$14:$F$58,RAB!$C$14:$C$58,C1039)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SUMIFS(RAB!$F$14:$F$58,RAB!$C$14:$C$58,C1040)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SUMIFS(RAB!$F$14:$F$58,RAB!$C$14:$C$58,C1041)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SUMIFS(RAB!$F$14:$F$58,RAB!$C$14:$C$58,C1042)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SUMIFS(RAB!$F$14:$F$58,RAB!$C$14:$C$58,C1043)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SUMIFS(RAB!$F$14:$F$58,RAB!$C$14:$C$58,C1044)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SUMIFS(RAB!$F$14:$F$58,RAB!$C$14:$C$58,C1045)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SUMIFS(RAB!$F$14:$F$58,RAB!$C$14:$C$58,C1046)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SUMIFS(RAB!$F$14:$F$58,RAB!$C$14:$C$58,C1047)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SUMIFS(RAB!$F$14:$F$58,RAB!$C$14:$C$58,C1048)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SUMIFS(RAB!$F$14:$F$58,RAB!$C$14:$C$58,C1049)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SUMIFS(RAB!$F$14:$F$58,RAB!$C$14:$C$58,C1050)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SUMIFS(RAB!$F$14:$F$58,RAB!$C$14:$C$58,C1051)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SUMIFS(RAB!$F$14:$F$58,RAB!$C$14:$C$58,C1052)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SUMIFS(RAB!$F$14:$F$58,RAB!$C$14:$C$58,C1053)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SUMIFS(RAB!$F$14:$F$58,RAB!$C$14:$C$58,C1054)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SUMIFS(RAB!$F$14:$F$58,RAB!$C$14:$C$58,C1055)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SUMIFS(RAB!$F$14:$F$58,RAB!$C$14:$C$58,C1056)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SUMIFS(RAB!$F$14:$F$58,RAB!$C$14:$C$58,C1057)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SUMIFS(RAB!$F$14:$F$58,RAB!$C$14:$C$58,C1058)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SUMIFS(RAB!$F$14:$F$58,RAB!$C$14:$C$58,C1059)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SUMIFS(RAB!$F$14:$F$58,RAB!$C$14:$C$58,C1060)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SUMIFS(RAB!$F$14:$F$58,RAB!$C$14:$C$58,C1061)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SUMIFS(RAB!$F$14:$F$58,RAB!$C$14:$C$58,C1062)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SUMIFS(RAB!$F$14:$F$58,RAB!$C$14:$C$58,C1063)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SUMIFS(RAB!$F$14:$F$58,RAB!$C$14:$C$58,C1064)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SUMIFS(RAB!$F$14:$F$58,RAB!$C$14:$C$58,C1065)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SUMIFS(RAB!$F$14:$F$58,RAB!$C$14:$C$58,C1066)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SUMIFS(RAB!$F$14:$F$58,RAB!$C$14:$C$58,C1067)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SUMIFS(RAB!$F$14:$F$58,RAB!$C$14:$C$58,C1068)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SUMIFS(RAB!$F$14:$F$58,RAB!$C$14:$C$58,C1069)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SUMIFS(RAB!$F$14:$F$58,RAB!$C$14:$C$58,C1070)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SUMIFS(RAB!$F$14:$F$58,RAB!$C$14:$C$58,C1071)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SUMIFS(RAB!$F$14:$F$58,RAB!$C$14:$C$58,C1072)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SUMIFS(RAB!$F$14:$F$58,RAB!$C$14:$C$58,C1073)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SUMIFS(RAB!$F$14:$F$58,RAB!$C$14:$C$58,C1074)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SUMIFS(RAB!$F$14:$F$58,RAB!$C$14:$C$58,C1075)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SUMIFS(RAB!$F$14:$F$58,RAB!$C$14:$C$58,C1076)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SUMIFS(RAB!$F$14:$F$58,RAB!$C$14:$C$58,C1077)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SUMIFS(RAB!$F$14:$F$58,RAB!$C$14:$C$58,C1078)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SUMIFS(RAB!$F$14:$F$58,RAB!$C$14:$C$58,C1079)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SUMIFS(RAB!$F$14:$F$58,RAB!$C$14:$C$58,C1080)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SUMIFS(RAB!$F$14:$F$58,RAB!$C$14:$C$58,C1081)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SUMIFS(RAB!$F$14:$F$58,RAB!$C$14:$C$58,C1082)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SUMIFS(RAB!$F$14:$F$58,RAB!$C$14:$C$58,C1083)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SUMIFS(RAB!$F$14:$F$58,RAB!$C$14:$C$58,C1084)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SUMIFS(RAB!$F$14:$F$58,RAB!$C$14:$C$58,C1085)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SUMIFS(RAB!$F$14:$F$58,RAB!$C$14:$C$58,C1086)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SUMIFS(RAB!$F$14:$F$58,RAB!$C$14:$C$58,C1087)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SUMIFS(RAB!$F$14:$F$58,RAB!$C$14:$C$58,C1088)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SUMIFS(RAB!$F$14:$F$58,RAB!$C$14:$C$58,C1089)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SUMIFS(RAB!$F$14:$F$58,RAB!$C$14:$C$58,C1090)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SUMIFS(RAB!$F$14:$F$58,RAB!$C$14:$C$58,C1091)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SUMIFS(RAB!$F$14:$F$58,RAB!$C$14:$C$58,C1092)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SUMIFS(RAB!$F$14:$F$58,RAB!$C$14:$C$58,C1093)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SUMIFS(RAB!$F$14:$F$58,RAB!$C$14:$C$58,C1094)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SUMIFS(RAB!$F$14:$F$58,RAB!$C$14:$C$58,C1095)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SUMIFS(RAB!$F$14:$F$58,RAB!$C$14:$C$58,C1096)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SUMIFS(RAB!$F$14:$F$58,RAB!$C$14:$C$58,C1097)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SUMIFS(RAB!$F$14:$F$58,RAB!$C$14:$C$58,C1098)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SUMIFS(RAB!$F$14:$F$58,RAB!$C$14:$C$58,C1099)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SUMIFS(RAB!$F$14:$F$58,RAB!$C$14:$C$58,C1100)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SUMIFS(RAB!$F$14:$F$58,RAB!$C$14:$C$58,C1101)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SUMIFS(RAB!$F$14:$F$58,RAB!$C$14:$C$58,C1102)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SUMIFS(RAB!$F$14:$F$58,RAB!$C$14:$C$58,C1103)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SUMIFS(RAB!$F$14:$F$58,RAB!$C$14:$C$58,C1104)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SUMIFS(RAB!$F$14:$F$58,RAB!$C$14:$C$58,C1105)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SUMIFS(RAB!$F$14:$F$58,RAB!$C$14:$C$58,C1106)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SUMIFS(RAB!$F$14:$F$58,RAB!$C$14:$C$58,C1107)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SUMIFS(RAB!$F$14:$F$58,RAB!$C$14:$C$58,C1108)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SUMIFS(RAB!$F$14:$F$58,RAB!$C$14:$C$58,C1109)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SUMIFS(RAB!$F$14:$F$58,RAB!$C$14:$C$58,C1110)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SUMIFS(RAB!$F$14:$F$58,RAB!$C$14:$C$58,C1111)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SUMIFS(RAB!$F$14:$F$58,RAB!$C$14:$C$58,C1112)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SUMIFS(RAB!$F$14:$F$58,RAB!$C$14:$C$58,C1113)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SUMIFS(RAB!$F$14:$F$58,RAB!$C$14:$C$58,C1114)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SUMIFS(RAB!$F$14:$F$58,RAB!$C$14:$C$58,C1115)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SUMIFS(RAB!$F$14:$F$58,RAB!$C$14:$C$58,C1116)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SUMIFS(RAB!$F$14:$F$58,RAB!$C$14:$C$58,C1117)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SUMIFS(RAB!$F$14:$F$58,RAB!$C$14:$C$58,C1118)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SUMIFS(RAB!$F$14:$F$58,RAB!$C$14:$C$58,C1119)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SUMIFS(RAB!$F$14:$F$58,RAB!$C$14:$C$58,C1120)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SUMIFS(RAB!$F$14:$F$58,RAB!$C$14:$C$58,C1121)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SUMIFS(RAB!$F$14:$F$58,RAB!$C$14:$C$58,C1122)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SUMIFS(RAB!$F$14:$F$58,RAB!$C$14:$C$58,C1123)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SUMIFS(RAB!$F$14:$F$58,RAB!$C$14:$C$58,C1124)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SUMIFS(RAB!$F$14:$F$58,RAB!$C$14:$C$58,C1125)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SUMIFS(RAB!$F$14:$F$58,RAB!$C$14:$C$58,C1126)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SUMIFS(RAB!$F$14:$F$58,RAB!$C$14:$C$58,C1127)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SUMIFS(RAB!$F$14:$F$58,RAB!$C$14:$C$58,C1128)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SUMIFS(RAB!$F$14:$F$58,RAB!$C$14:$C$58,C1129)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SUMIFS(RAB!$F$14:$F$58,RAB!$C$14:$C$58,C1130)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SUMIFS(RAB!$F$14:$F$58,RAB!$C$14:$C$58,C1131)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SUMIFS(RAB!$F$14:$F$58,RAB!$C$14:$C$58,C1132)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SUMIFS(RAB!$F$14:$F$58,RAB!$C$14:$C$58,C1133)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SUMIFS(RAB!$F$14:$F$58,RAB!$C$14:$C$58,C1134)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SUMIFS(RAB!$F$14:$F$58,RAB!$C$14:$C$58,C1135)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SUMIFS(RAB!$F$14:$F$58,RAB!$C$14:$C$58,C1136)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SUMIFS(RAB!$F$14:$F$58,RAB!$C$14:$C$58,C1137)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SUMIFS(RAB!$F$14:$F$58,RAB!$C$14:$C$58,C1138)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SUMIFS(RAB!$F$14:$F$58,RAB!$C$14:$C$58,C1139)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SUMIFS(RAB!$F$14:$F$58,RAB!$C$14:$C$58,C1140)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SUMIFS(RAB!$F$14:$F$58,RAB!$C$14:$C$58,C1141)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SUMIFS(RAB!$F$14:$F$58,RAB!$C$14:$C$58,C1142)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SUMIFS(RAB!$F$14:$F$58,RAB!$C$14:$C$58,C1143)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SUMIFS(RAB!$F$14:$F$58,RAB!$C$14:$C$58,C1144)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SUMIFS(RAB!$F$14:$F$58,RAB!$C$14:$C$58,C1145)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SUMIFS(RAB!$F$14:$F$58,RAB!$C$14:$C$58,C1146)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SUMIFS(RAB!$F$14:$F$58,RAB!$C$14:$C$58,C1147)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SUMIFS(RAB!$F$14:$F$58,RAB!$C$14:$C$58,C1148)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SUMIFS(RAB!$F$14:$F$58,RAB!$C$14:$C$58,C1149)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SUMIFS(RAB!$F$14:$F$58,RAB!$C$14:$C$58,C1150)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SUMIFS(RAB!$F$14:$F$58,RAB!$C$14:$C$58,C1151)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SUMIFS(RAB!$F$14:$F$58,RAB!$C$14:$C$58,C1152)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SUMIFS(RAB!$F$14:$F$58,RAB!$C$14:$C$58,C1153)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SUMIFS(RAB!$F$14:$F$58,RAB!$C$14:$C$58,C1154)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SUMIFS(RAB!$F$14:$F$58,RAB!$C$14:$C$58,C1155)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SUMIFS(RAB!$F$14:$F$58,RAB!$C$14:$C$58,C1156)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SUMIFS(RAB!$F$14:$F$58,RAB!$C$14:$C$58,C1157)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SUMIFS(RAB!$F$14:$F$58,RAB!$C$14:$C$58,C1158)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SUMIFS(RAB!$F$14:$F$58,RAB!$C$14:$C$58,C1159)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SUMIFS(RAB!$F$14:$F$58,RAB!$C$14:$C$58,C1160)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SUMIFS(RAB!$F$14:$F$58,RAB!$C$14:$C$58,C1161)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SUMIFS(RAB!$F$14:$F$58,RAB!$C$14:$C$58,C1162)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SUMIFS(RAB!$F$14:$F$58,RAB!$C$14:$C$58,C1163)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SUMIFS(RAB!$F$14:$F$58,RAB!$C$14:$C$58,C1164)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SUMIFS(RAB!$F$14:$F$58,RAB!$C$14:$C$58,C1165)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SUMIFS(RAB!$F$14:$F$58,RAB!$C$14:$C$58,C1166)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SUMIFS(RAB!$F$14:$F$58,RAB!$C$14:$C$58,C1167)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SUMIFS(RAB!$F$14:$F$58,RAB!$C$14:$C$58,C1168)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SUMIFS(RAB!$F$14:$F$58,RAB!$C$14:$C$58,C1169)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SUMIFS(RAB!$F$14:$F$58,RAB!$C$14:$C$58,C1170)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SUMIFS(RAB!$F$14:$F$58,RAB!$C$14:$C$58,C1171)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SUMIFS(RAB!$F$14:$F$58,RAB!$C$14:$C$58,C1172)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SUMIFS(RAB!$F$14:$F$58,RAB!$C$14:$C$58,C1173)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SUMIFS(RAB!$F$14:$F$58,RAB!$C$14:$C$58,C1174)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SUMIFS(RAB!$F$14:$F$58,RAB!$C$14:$C$58,C1175)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SUMIFS(RAB!$F$14:$F$58,RAB!$C$14:$C$58,C1176)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SUMIFS(RAB!$F$14:$F$58,RAB!$C$14:$C$58,C1177)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SUMIFS(RAB!$F$14:$F$58,RAB!$C$14:$C$58,C1178)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SUMIFS(RAB!$F$14:$F$58,RAB!$C$14:$C$58,C1179)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SUMIFS(RAB!$F$14:$F$58,RAB!$C$14:$C$58,C1180)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SUMIFS(RAB!$F$14:$F$58,RAB!$C$14:$C$58,C1181)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SUMIFS(RAB!$F$14:$F$58,RAB!$C$14:$C$58,C1182)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SUMIFS(RAB!$F$14:$F$58,RAB!$C$14:$C$58,C1183)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SUMIFS(RAB!$F$14:$F$58,RAB!$C$14:$C$58,C1184)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SUMIFS(RAB!$F$14:$F$58,RAB!$C$14:$C$58,C1185)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SUMIFS(RAB!$F$14:$F$58,RAB!$C$14:$C$58,C1186)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SUMIFS(RAB!$F$14:$F$58,RAB!$C$14:$C$58,C1187)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SUMIFS(RAB!$F$14:$F$58,RAB!$C$14:$C$58,C1188)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SUMIFS(RAB!$F$14:$F$58,RAB!$C$14:$C$58,C1189)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SUMIFS(RAB!$F$14:$F$58,RAB!$C$14:$C$58,C1190)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SUMIFS(RAB!$F$14:$F$58,RAB!$C$14:$C$58,C1191)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SUMIFS(RAB!$F$14:$F$58,RAB!$C$14:$C$58,C1192)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SUMIFS(RAB!$F$14:$F$58,RAB!$C$14:$C$58,C1193)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SUMIFS(RAB!$F$14:$F$58,RAB!$C$14:$C$58,C1194)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SUMIFS(RAB!$F$14:$F$58,RAB!$C$14:$C$58,C1195)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SUMIFS(RAB!$F$14:$F$58,RAB!$C$14:$C$58,C1196)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SUMIFS(RAB!$F$14:$F$58,RAB!$C$14:$C$58,C1197)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SUMIFS(RAB!$F$14:$F$58,RAB!$C$14:$C$58,C1198)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SUMIFS(RAB!$F$14:$F$58,RAB!$C$14:$C$58,C1199)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SUMIFS(RAB!$F$14:$F$58,RAB!$C$14:$C$58,C1200)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SUMIFS(RAB!$F$14:$F$58,RAB!$C$14:$C$58,C1201)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SUMIFS(RAB!$F$14:$F$58,RAB!$C$14:$C$58,C1202)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SUMIFS(RAB!$F$14:$F$58,RAB!$C$14:$C$58,C1203)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SUMIFS(RAB!$F$14:$F$58,RAB!$C$14:$C$58,C1204)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SUMIFS(RAB!$F$14:$F$58,RAB!$C$14:$C$58,C1205)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SUMIFS(RAB!$F$14:$F$58,RAB!$C$14:$C$58,C1206)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SUMIFS(RAB!$F$14:$F$58,RAB!$C$14:$C$58,C1207)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SUMIFS(RAB!$F$14:$F$58,RAB!$C$14:$C$58,C1208)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SUMIFS(RAB!$F$14:$F$58,RAB!$C$14:$C$58,C1209)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SUMIFS(RAB!$F$14:$F$58,RAB!$C$14:$C$58,C1210)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SUMIFS(RAB!$F$14:$F$58,RAB!$C$14:$C$58,C1211)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SUMIFS(RAB!$F$14:$F$58,RAB!$C$14:$C$58,C1212)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SUMIFS(RAB!$F$14:$F$58,RAB!$C$14:$C$58,C1213)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SUMIFS(RAB!$F$14:$F$58,RAB!$C$14:$C$58,C1214)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SUMIFS(RAB!$F$14:$F$58,RAB!$C$14:$C$58,C1215)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SUMIFS(RAB!$F$14:$F$58,RAB!$C$14:$C$58,C1216)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SUMIFS(RAB!$F$14:$F$58,RAB!$C$14:$C$58,C1217)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SUMIFS(RAB!$F$14:$F$58,RAB!$C$14:$C$58,C1218)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SUMIFS(RAB!$F$14:$F$58,RAB!$C$14:$C$58,C1219)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SUMIFS(RAB!$F$14:$F$58,RAB!$C$14:$C$58,C1220)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SUMIFS(RAB!$F$14:$F$58,RAB!$C$14:$C$58,C1221)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SUMIFS(RAB!$F$14:$F$58,RAB!$C$14:$C$58,C1222)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SUMIFS(RAB!$F$14:$F$58,RAB!$C$14:$C$58,C1223)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SUMIFS(RAB!$F$14:$F$58,RAB!$C$14:$C$58,C1224)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SUMIFS(RAB!$F$14:$F$58,RAB!$C$14:$C$58,C1225)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SUMIFS(RAB!$F$14:$F$58,RAB!$C$14:$C$58,C1226)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SUMIFS(RAB!$F$14:$F$58,RAB!$C$14:$C$58,C1227)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SUMIFS(RAB!$F$14:$F$58,RAB!$C$14:$C$58,C1228)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SUMIFS(RAB!$F$14:$F$58,RAB!$C$14:$C$58,C1229)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SUMIFS(RAB!$F$14:$F$58,RAB!$C$14:$C$58,C1230)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SUMIFS(RAB!$F$14:$F$58,RAB!$C$14:$C$58,C1231)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SUMIFS(RAB!$F$14:$F$58,RAB!$C$14:$C$58,C1232)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SUMIFS(RAB!$F$14:$F$58,RAB!$C$14:$C$58,C1233)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SUMIFS(RAB!$F$14:$F$58,RAB!$C$14:$C$58,C1234)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SUMIFS(RAB!$F$14:$F$58,RAB!$C$14:$C$58,C1235)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SUMIFS(RAB!$F$14:$F$58,RAB!$C$14:$C$58,C1236)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SUMIFS(RAB!$F$14:$F$58,RAB!$C$14:$C$58,C1237)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SUMIFS(RAB!$F$14:$F$58,RAB!$C$14:$C$58,C1238)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SUMIFS(RAB!$F$14:$F$58,RAB!$C$14:$C$58,C1239)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SUMIFS(RAB!$F$14:$F$58,RAB!$C$14:$C$58,C1240)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SUMIFS(RAB!$F$14:$F$58,RAB!$C$14:$C$58,C1241)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SUMIFS(RAB!$F$14:$F$58,RAB!$C$14:$C$58,C1242)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SUMIFS(RAB!$F$14:$F$58,RAB!$C$14:$C$58,C1243)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SUMIFS(RAB!$F$14:$F$58,RAB!$C$14:$C$58,C1244)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SUMIFS(RAB!$F$14:$F$58,RAB!$C$14:$C$58,C1245)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SUMIFS(RAB!$F$14:$F$58,RAB!$C$14:$C$58,C1246)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SUMIFS(RAB!$F$14:$F$58,RAB!$C$14:$C$58,C1247)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SUMIFS(RAB!$F$14:$F$58,RAB!$C$14:$C$58,C1248)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SUMIFS(RAB!$F$14:$F$58,RAB!$C$14:$C$58,C1249)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SUMIFS(RAB!$F$14:$F$58,RAB!$C$14:$C$58,C1250)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SUMIFS(RAB!$F$14:$F$58,RAB!$C$14:$C$58,C1251)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SUMIFS(RAB!$F$14:$F$58,RAB!$C$14:$C$58,C1252)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SUMIFS(RAB!$F$14:$F$58,RAB!$C$14:$C$58,C1253)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SUMIFS(RAB!$F$14:$F$58,RAB!$C$14:$C$58,C1254)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SUMIFS(RAB!$F$14:$F$58,RAB!$C$14:$C$58,C1255)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SUMIFS(RAB!$F$14:$F$58,RAB!$C$14:$C$58,C1256)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SUMIFS(RAB!$F$14:$F$58,RAB!$C$14:$C$58,C1257)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SUMIFS(RAB!$F$14:$F$58,RAB!$C$14:$C$58,C1258)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SUMIFS(RAB!$F$14:$F$58,RAB!$C$14:$C$58,C1259)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SUMIFS(RAB!$F$14:$F$58,RAB!$C$14:$C$58,C1260)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SUMIFS(RAB!$F$14:$F$58,RAB!$C$14:$C$58,C1261)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SUMIFS(RAB!$F$14:$F$58,RAB!$C$14:$C$58,C1262)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SUMIFS(RAB!$F$14:$F$58,RAB!$C$14:$C$58,C1263)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SUMIFS(RAB!$F$14:$F$58,RAB!$C$14:$C$58,C1264)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SUMIFS(RAB!$F$14:$F$58,RAB!$C$14:$C$58,C1265)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SUMIFS(RAB!$F$14:$F$58,RAB!$C$14:$C$58,C1266)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SUMIFS(RAB!$F$14:$F$58,RAB!$C$14:$C$58,C1267)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SUMIFS(RAB!$F$14:$F$58,RAB!$C$14:$C$58,C1268)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SUMIFS(RAB!$F$14:$F$58,RAB!$C$14:$C$58,C1269)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SUMIFS(RAB!$F$14:$F$58,RAB!$C$14:$C$58,C1270)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SUMIFS(RAB!$F$14:$F$58,RAB!$C$14:$C$58,C1271)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SUMIFS(RAB!$F$14:$F$58,RAB!$C$14:$C$58,C1272)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SUMIFS(RAB!$F$14:$F$58,RAB!$C$14:$C$58,C1273)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SUMIFS(RAB!$F$14:$F$58,RAB!$C$14:$C$58,C1274)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SUMIFS(RAB!$F$14:$F$58,RAB!$C$14:$C$58,C1275)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SUMIFS(RAB!$F$14:$F$58,RAB!$C$14:$C$58,C1276)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SUMIFS(RAB!$F$14:$F$58,RAB!$C$14:$C$58,C1277)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SUMIFS(RAB!$F$14:$F$58,RAB!$C$14:$C$58,C1278)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SUMIFS(RAB!$F$14:$F$58,RAB!$C$14:$C$58,C1279)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SUMIFS(RAB!$F$14:$F$58,RAB!$C$14:$C$58,C1280)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SUMIFS(RAB!$F$14:$F$58,RAB!$C$14:$C$58,C1281)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SUMIFS(RAB!$F$14:$F$58,RAB!$C$14:$C$58,C1282)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SUMIFS(RAB!$F$14:$F$58,RAB!$C$14:$C$58,C1283)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SUMIFS(RAB!$F$14:$F$58,RAB!$C$14:$C$58,C1284)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SUMIFS(RAB!$F$14:$F$58,RAB!$C$14:$C$58,C1285)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SUMIFS(RAB!$F$14:$F$58,RAB!$C$14:$C$58,C1286)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SUMIFS(RAB!$F$14:$F$58,RAB!$C$14:$C$58,C1287)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SUMIFS(RAB!$F$14:$F$58,RAB!$C$14:$C$58,C1288)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SUMIFS(RAB!$F$14:$F$58,RAB!$C$14:$C$58,C1289)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SUMIFS(RAB!$F$14:$F$58,RAB!$C$14:$C$58,C1290)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SUMIFS(RAB!$F$14:$F$58,RAB!$C$14:$C$58,C1291)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SUMIFS(RAB!$F$14:$F$58,RAB!$C$14:$C$58,C1292)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SUMIFS(RAB!$F$14:$F$58,RAB!$C$14:$C$58,C1293)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SUMIFS(RAB!$F$14:$F$58,RAB!$C$14:$C$58,C1294)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SUMIFS(RAB!$F$14:$F$58,RAB!$C$14:$C$58,C1295)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SUMIFS(RAB!$F$14:$F$58,RAB!$C$14:$C$58,C1296)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SUMIFS(RAB!$F$14:$F$58,RAB!$C$14:$C$58,C1297)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SUMIFS(RAB!$F$14:$F$58,RAB!$C$14:$C$58,C1298)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SUMIFS(RAB!$F$14:$F$58,RAB!$C$14:$C$58,C1299)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SUMIFS(RAB!$F$14:$F$58,RAB!$C$14:$C$58,C1300)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SUMIFS(RAB!$F$14:$F$58,RAB!$C$14:$C$58,C1301)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SUMIFS(RAB!$F$14:$F$58,RAB!$C$14:$C$58,C1302)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SUMIFS(RAB!$F$14:$F$58,RAB!$C$14:$C$58,C1303)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SUMIFS(RAB!$F$14:$F$58,RAB!$C$14:$C$58,C1304)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SUMIFS(RAB!$F$14:$F$58,RAB!$C$14:$C$58,C1305)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SUMIFS(RAB!$F$14:$F$58,RAB!$C$14:$C$58,C1306)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SUMIFS(RAB!$F$14:$F$58,RAB!$C$14:$C$58,C1307)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SUMIFS(RAB!$F$14:$F$58,RAB!$C$14:$C$58,C1308)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SUMIFS(RAB!$F$14:$F$58,RAB!$C$14:$C$58,C1309)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SUMIFS(RAB!$F$14:$F$58,RAB!$C$14:$C$58,C1310)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SUMIFS(RAB!$F$14:$F$58,RAB!$C$14:$C$58,C1311)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SUMIFS(RAB!$F$14:$F$58,RAB!$C$14:$C$58,C1312)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SUMIFS(RAB!$F$14:$F$58,RAB!$C$14:$C$58,C1313)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SUMIFS(RAB!$F$14:$F$58,RAB!$C$14:$C$58,C1314)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SUMIFS(RAB!$F$14:$F$58,RAB!$C$14:$C$58,C1315)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SUMIFS(RAB!$F$14:$F$58,RAB!$C$14:$C$58,C1316)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SUMIFS(RAB!$F$14:$F$58,RAB!$C$14:$C$58,C1317)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SUMIFS(RAB!$F$14:$F$58,RAB!$C$14:$C$58,C1318)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SUMIFS(RAB!$F$14:$F$58,RAB!$C$14:$C$58,C1319)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SUMIFS(RAB!$F$14:$F$58,RAB!$C$14:$C$58,C1320)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1127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1" t="str">
        <f>RAB!G6</f>
        <v>AIRYS DEPO ISI ULANG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MANGUNJIWAN KEC DEMMAK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42</v>
      </c>
      <c r="E11" s="533" t="s">
        <v>43</v>
      </c>
      <c r="F11" s="533" t="s">
        <v>2</v>
      </c>
      <c r="G11" s="535" t="s">
        <v>41</v>
      </c>
      <c r="H11" s="533" t="s">
        <v>3</v>
      </c>
      <c r="I11" s="533"/>
      <c r="J11" s="533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34"/>
      <c r="E12" s="534"/>
      <c r="F12" s="534"/>
      <c r="G12" s="536"/>
      <c r="H12" s="542" t="s">
        <v>46</v>
      </c>
      <c r="I12" s="542" t="s">
        <v>5</v>
      </c>
      <c r="J12" s="534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34"/>
      <c r="E13" s="534"/>
      <c r="F13" s="534"/>
      <c r="G13" s="537"/>
      <c r="H13" s="543"/>
      <c r="I13" s="543"/>
      <c r="J13" s="534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2" t="s">
        <v>1008</v>
      </c>
      <c r="D38" s="552"/>
      <c r="E38" s="552"/>
      <c r="F38" s="55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3" t="s">
        <v>462</v>
      </c>
      <c r="D39" s="553"/>
      <c r="E39" s="553"/>
      <c r="F39" s="55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4" t="s">
        <v>463</v>
      </c>
      <c r="D40" s="544"/>
      <c r="E40" s="544"/>
      <c r="F40" s="54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5" t="e">
        <f ca="1">"Terbilang : ( "&amp;L42&amp;" Rupiah )"</f>
        <v>#NAME?</v>
      </c>
      <c r="C41" s="546"/>
      <c r="D41" s="546"/>
      <c r="E41" s="546"/>
      <c r="F41" s="546"/>
      <c r="G41" s="546"/>
      <c r="H41" s="546"/>
      <c r="I41" s="546"/>
      <c r="J41" s="546"/>
      <c r="K41" s="547"/>
      <c r="L41" s="44"/>
      <c r="R41" s="58"/>
      <c r="S41" s="58"/>
      <c r="T41" s="58"/>
    </row>
    <row r="42" spans="1:20" s="36" customFormat="1">
      <c r="A42" s="30"/>
      <c r="B42" s="548"/>
      <c r="C42" s="549"/>
      <c r="D42" s="549"/>
      <c r="E42" s="549"/>
      <c r="F42" s="549"/>
      <c r="G42" s="549"/>
      <c r="H42" s="549"/>
      <c r="I42" s="549"/>
      <c r="J42" s="549"/>
      <c r="K42" s="550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9"/>
      <c r="I45" s="539"/>
      <c r="J45" s="540"/>
      <c r="K45" s="54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9"/>
      <c r="I46" s="539"/>
      <c r="J46" s="540"/>
      <c r="K46" s="54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9"/>
      <c r="I47" s="539"/>
      <c r="J47" s="540"/>
      <c r="K47" s="54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9"/>
      <c r="I52" s="539"/>
      <c r="J52" s="540"/>
      <c r="K52" s="54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SUMIFS(RAB!$F$14:$F$58,RAB!$C$14:$C$58,'REKAP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SUMIFS(RAB!$F$14:$F$58,RAB!$C$14:$C$58,'REKAP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SUMIFS(RAB!$F$14:$F$58,RAB!$C$14:$C$58,'REKAP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SUMIFS(RAB!$F$14:$F$58,RAB!$C$14:$C$58,'REKAP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SUMIFS(RAB!$F$14:$F$58,RAB!$C$14:$C$58,'REKAP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SUMIFS(RAB!$F$14:$F$58,RAB!$C$14:$C$58,'REKAP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SUMIFS(RAB!$F$14:$F$58,RAB!$C$14:$C$58,'REKAP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SUMIFS(RAB!$F$14:$F$58,RAB!$C$14:$C$58,'REKAP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SUMIFS(RAB!$F$14:$F$58,RAB!$C$14:$C$58,'REKAP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SUMIFS(RAB!$F$14:$F$58,RAB!$C$14:$C$58,'REKAP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SUMIFS(RAB!$F$14:$F$58,RAB!$C$14:$C$58,'REKAP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SUMIFS(RAB!$F$14:$F$58,RAB!$C$14:$C$58,'REKAP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SUMIFS(RAB!$F$14:$F$58,RAB!$C$14:$C$58,'REKAP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SUMIFS(RAB!$F$14:$F$58,RAB!$C$14:$C$58,'REKAP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SUMIFS(RAB!$F$14:$F$58,RAB!$C$14:$C$58,'REKAP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SUMIFS(RAB!$F$14:$F$58,RAB!$C$14:$C$58,'REKAP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SUMIFS(RAB!$F$14:$F$58,RAB!$C$14:$C$58,'REKAP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SUMIFS(RAB!$F$14:$F$58,RAB!$C$14:$C$58,'REKAP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SUMIFS(RAB!$F$14:$F$58,RAB!$C$14:$C$58,'REKAP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SUMIFS(RAB!$F$14:$F$58,RAB!$C$14:$C$58,'REKAP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7" t="s">
        <v>1034</v>
      </c>
      <c r="C4" s="527"/>
      <c r="D4" s="527"/>
      <c r="E4" s="527"/>
      <c r="F4" s="527"/>
      <c r="G4" s="527"/>
      <c r="H4" s="527"/>
      <c r="I4" s="527"/>
      <c r="J4" s="527"/>
      <c r="K4" s="52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1" t="str">
        <f>RAB!G6</f>
        <v>AIRYS DEPO ISI ULANG</v>
      </c>
      <c r="H6" s="551"/>
      <c r="I6" s="551"/>
      <c r="J6" s="551"/>
      <c r="K6" s="55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MANGUNJIWAN KEC DEMMAK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8" t="s">
        <v>0</v>
      </c>
      <c r="C11" s="530" t="s">
        <v>1</v>
      </c>
      <c r="D11" s="533" t="s">
        <v>42</v>
      </c>
      <c r="E11" s="533" t="s">
        <v>43</v>
      </c>
      <c r="F11" s="533" t="s">
        <v>2</v>
      </c>
      <c r="G11" s="535" t="s">
        <v>41</v>
      </c>
      <c r="H11" s="533" t="s">
        <v>3</v>
      </c>
      <c r="I11" s="533"/>
      <c r="J11" s="533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29"/>
      <c r="C12" s="531"/>
      <c r="D12" s="534"/>
      <c r="E12" s="534"/>
      <c r="F12" s="534"/>
      <c r="G12" s="536"/>
      <c r="H12" s="542" t="s">
        <v>46</v>
      </c>
      <c r="I12" s="542" t="s">
        <v>5</v>
      </c>
      <c r="J12" s="534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9"/>
      <c r="C13" s="532"/>
      <c r="D13" s="534"/>
      <c r="E13" s="534"/>
      <c r="F13" s="534"/>
      <c r="G13" s="537"/>
      <c r="H13" s="543"/>
      <c r="I13" s="543"/>
      <c r="J13" s="534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100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5330000</v>
      </c>
      <c r="I18" s="42">
        <f t="shared" ca="1" si="2"/>
        <v>0</v>
      </c>
      <c r="J18" s="42">
        <f t="shared" ca="1" si="3"/>
        <v>0</v>
      </c>
      <c r="K18" s="43">
        <f t="shared" ca="1" si="0"/>
        <v>5330000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231000</v>
      </c>
      <c r="I19" s="42">
        <f t="shared" ca="1" si="2"/>
        <v>0</v>
      </c>
      <c r="J19" s="42">
        <f t="shared" ca="1" si="3"/>
        <v>0</v>
      </c>
      <c r="K19" s="43">
        <f t="shared" ca="1" si="0"/>
        <v>231000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2" t="s">
        <v>1008</v>
      </c>
      <c r="D168" s="552"/>
      <c r="E168" s="552"/>
      <c r="F168" s="552"/>
      <c r="G168" s="77" t="s">
        <v>9</v>
      </c>
      <c r="H168" s="55">
        <f ca="1">SUM(H14:H167)</f>
        <v>5927600</v>
      </c>
      <c r="I168" s="55">
        <f ca="1">SUM(I14:I167)</f>
        <v>0</v>
      </c>
      <c r="J168" s="55">
        <f ca="1">SUM(J14:J167)</f>
        <v>0</v>
      </c>
      <c r="K168" s="55">
        <f ca="1">SUM(K14:K167)</f>
        <v>5927600</v>
      </c>
      <c r="L168" s="44"/>
      <c r="R168" s="99"/>
      <c r="S168" s="99"/>
      <c r="T168" s="99"/>
    </row>
    <row r="169" spans="1:20" s="36" customFormat="1">
      <c r="A169" s="30"/>
      <c r="B169" s="56"/>
      <c r="C169" s="553" t="s">
        <v>462</v>
      </c>
      <c r="D169" s="553"/>
      <c r="E169" s="553"/>
      <c r="F169" s="553"/>
      <c r="G169" s="59" t="s">
        <v>9</v>
      </c>
      <c r="H169" s="60">
        <f ca="1">H168*0.1</f>
        <v>592760</v>
      </c>
      <c r="I169" s="60">
        <f ca="1">I168*0.1</f>
        <v>0</v>
      </c>
      <c r="J169" s="60">
        <f ca="1">J168*0.1</f>
        <v>0</v>
      </c>
      <c r="K169" s="60">
        <f ca="1">K168*0.1</f>
        <v>592760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4" t="s">
        <v>463</v>
      </c>
      <c r="D170" s="544"/>
      <c r="E170" s="544"/>
      <c r="F170" s="544"/>
      <c r="G170" s="61" t="s">
        <v>9</v>
      </c>
      <c r="H170" s="78">
        <f ca="1">SUM(H168:H169)</f>
        <v>6520360</v>
      </c>
      <c r="I170" s="78">
        <f ca="1">SUM(I168:I169)</f>
        <v>0</v>
      </c>
      <c r="J170" s="61">
        <f ca="1">SUM(J168:J169)</f>
        <v>0</v>
      </c>
      <c r="K170" s="61">
        <f ca="1">SUM(K168:K169)</f>
        <v>6520360</v>
      </c>
      <c r="L170" s="44"/>
      <c r="R170" s="99"/>
      <c r="S170" s="99"/>
      <c r="T170" s="99"/>
    </row>
    <row r="171" spans="1:20" s="36" customFormat="1">
      <c r="A171" s="30"/>
      <c r="B171" s="545" t="e">
        <f ca="1">"Terbilang : ( "&amp;L172&amp;" Rupiah )"</f>
        <v>#NAME?</v>
      </c>
      <c r="C171" s="546"/>
      <c r="D171" s="546"/>
      <c r="E171" s="546"/>
      <c r="F171" s="546"/>
      <c r="G171" s="546"/>
      <c r="H171" s="546"/>
      <c r="I171" s="546"/>
      <c r="J171" s="546"/>
      <c r="K171" s="547"/>
      <c r="L171" s="44"/>
      <c r="R171" s="58"/>
      <c r="S171" s="58"/>
      <c r="T171" s="58"/>
    </row>
    <row r="172" spans="1:20" s="36" customFormat="1">
      <c r="A172" s="30"/>
      <c r="B172" s="548"/>
      <c r="C172" s="549"/>
      <c r="D172" s="549"/>
      <c r="E172" s="549"/>
      <c r="F172" s="549"/>
      <c r="G172" s="549"/>
      <c r="H172" s="549"/>
      <c r="I172" s="549"/>
      <c r="J172" s="549"/>
      <c r="K172" s="550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9"/>
      <c r="I175" s="539"/>
      <c r="J175" s="540"/>
      <c r="K175" s="54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9"/>
      <c r="I176" s="539"/>
      <c r="J176" s="540"/>
      <c r="K176" s="54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9"/>
      <c r="I177" s="539"/>
      <c r="J177" s="540"/>
      <c r="K177" s="54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9"/>
      <c r="I182" s="539"/>
      <c r="J182" s="540"/>
      <c r="K182" s="54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SUMIFS(RAB!$F$14:$F$58,RAB!$C$14:$C$58,C224)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SUMIFS(RAB!$F$14:$F$58,RAB!$C$14:$C$58,C225)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SUMIFS(RAB!$F$14:$F$58,RAB!$C$14:$C$58,C226)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SUMIFS(RAB!$F$14:$F$58,RAB!$C$14:$C$58,C227)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SUMIFS(RAB!$F$14:$F$58,RAB!$C$14:$C$58,C228)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SUMIFS(RAB!$F$14:$F$58,RAB!$C$14:$C$58,C229)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SUMIFS(RAB!$F$14:$F$58,RAB!$C$14:$C$58,C230)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SUMIFS(RAB!$F$14:$F$58,RAB!$C$14:$C$58,C231)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SUMIFS(RAB!$F$14:$F$58,RAB!$C$14:$C$58,C232)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SUMIFS(RAB!$F$14:$F$58,RAB!$C$14:$C$58,C233)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SUMIFS(RAB!$F$14:$F$58,RAB!$C$14:$C$58,C234)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SUMIFS(RAB!$F$14:$F$58,RAB!$C$14:$C$58,C235)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SUMIFS(RAB!$F$14:$F$58,RAB!$C$14:$C$58,C236)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SUMIFS(RAB!$F$14:$F$58,RAB!$C$14:$C$58,C237)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SUMIFS(RAB!$F$14:$F$58,RAB!$C$14:$C$58,C238)</f>
        <v>1</v>
      </c>
      <c r="E238" s="24">
        <f t="shared" ca="1" si="21"/>
        <v>1</v>
      </c>
      <c r="F238" s="24">
        <f ca="1">IF(D238=0,0,SUM($E$223:E238))</f>
        <v>2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SUMIFS(RAB!$F$14:$F$58,RAB!$C$14:$C$58,C239)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SUMIFS(RAB!$F$14:$F$58,RAB!$C$14:$C$58,C240)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SUMIFS(RAB!$F$14:$F$58,RAB!$C$14:$C$58,C241)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SUMIFS(RAB!$F$14:$F$58,RAB!$C$14:$C$58,C242)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SUMIFS(RAB!$F$14:$F$58,RAB!$C$14:$C$58,C243)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SUMIFS(RAB!$F$14:$F$58,RAB!$C$14:$C$58,C244)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SUMIFS(RAB!$F$14:$F$58,RAB!$C$14:$C$58,C245)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SUMIFS(RAB!$F$14:$F$58,RAB!$C$14:$C$58,C246)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SUMIFS(RAB!$F$14:$F$58,RAB!$C$14:$C$58,C247)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SUMIFS(RAB!$F$14:$F$58,RAB!$C$14:$C$58,C248)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SUMIFS(RAB!$F$14:$F$58,RAB!$C$14:$C$58,C249)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SUMIFS(RAB!$F$14:$F$58,RAB!$C$14:$C$58,C250)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SUMIFS(RAB!$F$14:$F$58,RAB!$C$14:$C$58,C251)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SUMIFS(RAB!$F$14:$F$58,RAB!$C$14:$C$58,C252)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SUMIFS(RAB!$F$14:$F$58,RAB!$C$14:$C$58,C253)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SUMIFS(RAB!$F$14:$F$58,RAB!$C$14:$C$58,C254)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SUMIFS(RAB!$F$14:$F$58,RAB!$C$14:$C$58,C255)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SUMIFS(RAB!$F$14:$F$58,RAB!$C$14:$C$58,C256)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SUMIFS(RAB!$F$14:$F$58,RAB!$C$14:$C$58,C257)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SUMIFS(RAB!$F$14:$F$58,RAB!$C$14:$C$58,C258)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SUMIFS(RAB!$F$14:$F$58,RAB!$C$14:$C$58,C259)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SUMIFS(RAB!$F$14:$F$58,RAB!$C$14:$C$58,C260)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SUMIFS(RAB!$F$14:$F$58,RAB!$C$14:$C$58,C261)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SUMIFS(RAB!$F$14:$F$58,RAB!$C$14:$C$58,C262)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SUMIFS(RAB!$F$14:$F$58,RAB!$C$14:$C$58,C263)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SUMIFS(RAB!$F$14:$F$58,RAB!$C$14:$C$58,C264)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SUMIFS(RAB!$F$14:$F$58,RAB!$C$14:$C$58,C265)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SUMIFS(RAB!$F$14:$F$58,RAB!$C$14:$C$58,C266)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SUMIFS(RAB!$F$14:$F$58,RAB!$C$14:$C$58,C267)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SUMIFS(RAB!$F$14:$F$58,RAB!$C$14:$C$58,C268)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SUMIFS(RAB!$F$14:$F$58,RAB!$C$14:$C$58,C269)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SUMIFS(RAB!$F$14:$F$58,RAB!$C$14:$C$58,C270)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SUMIFS(RAB!$F$14:$F$58,RAB!$C$14:$C$58,C271)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SUMIFS(RAB!$F$14:$F$58,RAB!$C$14:$C$58,C272)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SUMIFS(RAB!$F$14:$F$58,RAB!$C$14:$C$58,C273)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SUMIFS(RAB!$F$14:$F$58,RAB!$C$14:$C$58,C274)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SUMIFS(RAB!$F$14:$F$58,RAB!$C$14:$C$58,C275)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SUMIFS(RAB!$F$14:$F$58,RAB!$C$14:$C$58,C276)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SUMIFS(RAB!$F$14:$F$58,RAB!$C$14:$C$58,C277)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SUMIFS(RAB!$F$14:$F$58,RAB!$C$14:$C$58,C278)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SUMIFS(RAB!$F$14:$F$58,RAB!$C$14:$C$58,C279)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SUMIFS(RAB!$F$14:$F$58,RAB!$C$14:$C$58,C280)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SUMIFS(RAB!$F$14:$F$58,RAB!$C$14:$C$58,C281)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SUMIFS(RAB!$F$14:$F$58,RAB!$C$14:$C$58,C282)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SUMIFS(RAB!$F$14:$F$58,RAB!$C$14:$C$58,C283)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SUMIFS(RAB!$F$14:$F$58,RAB!$C$14:$C$58,C284)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SUMIFS(RAB!$F$14:$F$58,RAB!$C$14:$C$58,C285)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SUMIFS(RAB!$F$14:$F$58,RAB!$C$14:$C$58,C286)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SUMIFS(RAB!$F$14:$F$58,RAB!$C$14:$C$58,C287)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SUMIFS(RAB!$F$14:$F$58,RAB!$C$14:$C$58,C288)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SUMIFS(RAB!$F$14:$F$58,RAB!$C$14:$C$58,C289)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SUMIFS(RAB!$F$14:$F$58,RAB!$C$14:$C$58,C290)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SUMIFS(RAB!$F$14:$F$58,RAB!$C$14:$C$58,C291)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SUMIFS(RAB!$F$14:$F$58,RAB!$C$14:$C$58,C292)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SUMIFS(RAB!$F$14:$F$58,RAB!$C$14:$C$58,C293)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SUMIFS(RAB!$F$14:$F$58,RAB!$C$14:$C$58,C294)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SUMIFS(RAB!$F$14:$F$58,RAB!$C$14:$C$58,C295)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SUMIFS(RAB!$F$14:$F$58,RAB!$C$14:$C$58,C296)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SUMIFS(RAB!$F$14:$F$58,RAB!$C$14:$C$58,C297)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SUMIFS(RAB!$F$14:$F$58,RAB!$C$14:$C$58,C298)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SUMIFS(RAB!$F$14:$F$58,RAB!$C$14:$C$58,C299)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SUMIFS(RAB!$F$14:$F$58,RAB!$C$14:$C$58,C300)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SUMIFS(RAB!$F$14:$F$58,RAB!$C$14:$C$58,C301)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SUMIFS(RAB!$F$14:$F$58,RAB!$C$14:$C$58,C302)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SUMIFS(RAB!$F$14:$F$58,RAB!$C$14:$C$58,C303)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SUMIFS(RAB!$F$14:$F$58,RAB!$C$14:$C$58,C304)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SUMIFS(RAB!$F$14:$F$58,RAB!$C$14:$C$58,C305)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SUMIFS(RAB!$F$14:$F$58,RAB!$C$14:$C$58,C306)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SUMIFS(RAB!$F$14:$F$58,RAB!$C$14:$C$58,C307)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SUMIFS(RAB!$F$14:$F$58,RAB!$C$14:$C$58,C308)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SUMIFS(RAB!$F$14:$F$58,RAB!$C$14:$C$58,C309)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SUMIFS(RAB!$F$14:$F$58,RAB!$C$14:$C$58,C310)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SUMIFS(RAB!$F$14:$F$58,RAB!$C$14:$C$58,C311)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SUMIFS(RAB!$F$14:$F$58,RAB!$C$14:$C$58,C312)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SUMIFS(RAB!$F$14:$F$58,RAB!$C$14:$C$58,C313)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SUMIFS(RAB!$F$14:$F$58,RAB!$C$14:$C$58,C314)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SUMIFS(RAB!$F$14:$F$58,RAB!$C$14:$C$58,C315)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SUMIFS(RAB!$F$14:$F$58,RAB!$C$14:$C$58,C316)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SUMIFS(RAB!$F$14:$F$58,RAB!$C$14:$C$58,C317)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SUMIFS(RAB!$F$14:$F$58,RAB!$C$14:$C$58,C318)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SUMIFS(RAB!$F$14:$F$58,RAB!$C$14:$C$58,C319)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SUMIFS(RAB!$F$14:$F$58,RAB!$C$14:$C$58,C320)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SUMIFS(RAB!$F$14:$F$58,RAB!$C$14:$C$58,C321)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SUMIFS(RAB!$F$14:$F$58,RAB!$C$14:$C$58,C322)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SUMIFS(RAB!$F$14:$F$58,RAB!$C$14:$C$58,C323)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SUMIFS(RAB!$F$14:$F$58,RAB!$C$14:$C$58,C324)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SUMIFS(RAB!$F$14:$F$58,RAB!$C$14:$C$58,C325)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SUMIFS(RAB!$F$14:$F$58,RAB!$C$14:$C$58,C326)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SUMIFS(RAB!$F$14:$F$58,RAB!$C$14:$C$58,C327)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SUMIFS(RAB!$F$14:$F$58,RAB!$C$14:$C$58,C328)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SUMIFS(RAB!$F$14:$F$58,RAB!$C$14:$C$58,C329)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SUMIFS(RAB!$F$14:$F$58,RAB!$C$14:$C$58,C330)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SUMIFS(RAB!$F$14:$F$58,RAB!$C$14:$C$58,C331)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SUMIFS(RAB!$F$14:$F$58,RAB!$C$14:$C$58,C332)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SUMIFS(RAB!$F$14:$F$58,RAB!$C$14:$C$58,C333)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SUMIFS(RAB!$F$14:$F$58,RAB!$C$14:$C$58,C334)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SUMIFS(RAB!$F$14:$F$58,RAB!$C$14:$C$58,C335)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SUMIFS(RAB!$F$14:$F$58,RAB!$C$14:$C$58,C336)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SUMIFS(RAB!$F$14:$F$58,RAB!$C$14:$C$58,C337)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SUMIFS(RAB!$F$14:$F$58,RAB!$C$14:$C$58,C338)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SUMIFS(RAB!$F$14:$F$58,RAB!$C$14:$C$58,C339)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SUMIFS(RAB!$F$14:$F$58,RAB!$C$14:$C$58,C340)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SUMIFS(RAB!$F$14:$F$58,RAB!$C$14:$C$58,C341)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SUMIFS(RAB!$F$14:$F$58,RAB!$C$14:$C$58,C342)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SUMIFS(RAB!$F$14:$F$58,RAB!$C$14:$C$58,C343)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SUMIFS(RAB!$F$14:$F$58,RAB!$C$14:$C$58,C344)</f>
        <v>100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SUMIFS(RAB!$F$14:$F$58,RAB!$C$14:$C$58,C345)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SUMIFS(RAB!$F$14:$F$58,RAB!$C$14:$C$58,C346)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SUMIFS(RAB!$F$14:$F$58,RAB!$C$14:$C$58,C347)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SUMIFS(RAB!$F$14:$F$58,RAB!$C$14:$C$58,C348)</f>
        <v>35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SUMIFS(RAB!$F$14:$F$58,RAB!$C$14:$C$58,C349)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SUMIFS(RAB!$F$14:$F$58,RAB!$C$14:$C$58,C350)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SUMIFS(RAB!$F$14:$F$58,RAB!$C$14:$C$58,C351)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SUMIFS(RAB!$F$14:$F$58,RAB!$C$14:$C$58,C352)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SUMIFS(RAB!$F$14:$F$58,RAB!$C$14:$C$58,C353)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SUMIFS(RAB!$F$14:$F$58,RAB!$C$14:$C$58,C354)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SUMIFS(RAB!$F$14:$F$58,RAB!$C$14:$C$58,C355)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SUMIFS(RAB!$F$14:$F$58,RAB!$C$14:$C$58,C356)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SUMIFS(RAB!$F$14:$F$58,RAB!$C$14:$C$58,C357)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SUMIFS(RAB!$F$14:$F$58,RAB!$C$14:$C$58,C358)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SUMIFS(RAB!$F$14:$F$58,RAB!$C$14:$C$58,C359)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SUMIFS(RAB!$F$14:$F$58,RAB!$C$14:$C$58,C360)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SUMIFS(RAB!$F$14:$F$58,RAB!$C$14:$C$58,C361)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SUMIFS(RAB!$F$14:$F$58,RAB!$C$14:$C$58,C362)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SUMIFS(RAB!$F$14:$F$58,RAB!$C$14:$C$58,C363)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SUMIFS(RAB!$F$14:$F$58,RAB!$C$14:$C$58,C364)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SUMIFS(RAB!$F$14:$F$58,RAB!$C$14:$C$58,C365)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SUMIFS(RAB!$F$14:$F$58,RAB!$C$14:$C$58,C366)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SUMIFS(RAB!$F$14:$F$58,RAB!$C$14:$C$58,C367)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SUMIFS(RAB!$F$14:$F$58,RAB!$C$14:$C$58,C368)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SUMIFS(RAB!$F$14:$F$58,RAB!$C$14:$C$58,C369)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SUMIFS(RAB!$F$14:$F$58,RAB!$C$14:$C$58,C370)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SUMIFS(RAB!$F$14:$F$58,RAB!$C$14:$C$58,C371)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SUMIFS(RAB!$F$14:$F$58,RAB!$C$14:$C$58,C372)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SUMIFS(RAB!$F$14:$F$58,RAB!$C$14:$C$58,C373)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5" t="s">
        <v>41</v>
      </c>
      <c r="C2" s="555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6" t="s">
        <v>23</v>
      </c>
      <c r="C4" s="557" t="s">
        <v>1012</v>
      </c>
      <c r="D4" s="557" t="s">
        <v>42</v>
      </c>
      <c r="E4" s="556" t="s">
        <v>43</v>
      </c>
      <c r="F4" s="108" t="s">
        <v>1609</v>
      </c>
      <c r="G4" s="108" t="s">
        <v>1608</v>
      </c>
      <c r="H4" s="554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6"/>
      <c r="C5" s="557"/>
      <c r="D5" s="557"/>
      <c r="E5" s="556"/>
      <c r="F5" s="93"/>
      <c r="G5" s="93"/>
      <c r="H5" s="554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9" t="s">
        <v>1454</v>
      </c>
      <c r="C2" s="589"/>
      <c r="D2" s="589"/>
      <c r="E2" s="58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4" t="s">
        <v>1532</v>
      </c>
      <c r="C4" s="595"/>
      <c r="D4" s="595"/>
      <c r="E4" s="596"/>
      <c r="F4" s="442"/>
      <c r="G4" s="442"/>
      <c r="H4" s="443"/>
      <c r="I4" s="558" t="s">
        <v>1533</v>
      </c>
      <c r="J4" s="559"/>
      <c r="K4" s="559"/>
      <c r="L4" s="560"/>
    </row>
    <row r="5" spans="1:12" ht="34.5" customHeight="1">
      <c r="A5" s="204"/>
      <c r="B5" s="445" t="s">
        <v>1379</v>
      </c>
      <c r="C5" s="277" t="s">
        <v>9</v>
      </c>
      <c r="D5" s="590" t="str">
        <f>DATA!D14</f>
        <v>AIRYS DEPO ISI ULANG</v>
      </c>
      <c r="E5" s="591"/>
      <c r="F5" s="208"/>
      <c r="G5" s="208"/>
      <c r="I5" s="446" t="s">
        <v>1379</v>
      </c>
      <c r="J5" s="277" t="s">
        <v>9</v>
      </c>
      <c r="K5" s="561" t="str">
        <f>D5</f>
        <v>AIRYS DEPO ISI ULANG</v>
      </c>
      <c r="L5" s="562"/>
    </row>
    <row r="6" spans="1:12" ht="31.5" customHeight="1">
      <c r="A6" s="204"/>
      <c r="B6" s="445" t="s">
        <v>1529</v>
      </c>
      <c r="C6" s="277" t="s">
        <v>9</v>
      </c>
      <c r="D6" s="599">
        <f>DATA!D17*1000</f>
        <v>0</v>
      </c>
      <c r="E6" s="600"/>
      <c r="F6" s="208"/>
      <c r="G6" s="208"/>
      <c r="I6" s="446" t="s">
        <v>1530</v>
      </c>
      <c r="J6" s="277" t="s">
        <v>9</v>
      </c>
      <c r="K6" s="563">
        <f>DATA!D20*1000</f>
        <v>7700</v>
      </c>
      <c r="L6" s="564"/>
    </row>
    <row r="7" spans="1:12" ht="30.75" customHeight="1">
      <c r="A7" s="204"/>
      <c r="B7" s="445" t="s">
        <v>1441</v>
      </c>
      <c r="C7" s="277" t="s">
        <v>9</v>
      </c>
      <c r="D7" s="597">
        <f>DATA!D18</f>
        <v>1</v>
      </c>
      <c r="E7" s="598"/>
      <c r="F7" s="444" t="s">
        <v>1453</v>
      </c>
      <c r="I7" s="446" t="s">
        <v>1441</v>
      </c>
      <c r="J7" s="277" t="s">
        <v>9</v>
      </c>
      <c r="K7" s="565">
        <f>DATA!D21</f>
        <v>1</v>
      </c>
      <c r="L7" s="566"/>
    </row>
    <row r="8" spans="1:12" ht="51" customHeight="1">
      <c r="A8" s="204"/>
      <c r="B8" s="445" t="s">
        <v>1442</v>
      </c>
      <c r="C8" s="277" t="s">
        <v>9</v>
      </c>
      <c r="D8" s="597">
        <f>DATA!D19</f>
        <v>220</v>
      </c>
      <c r="E8" s="598"/>
      <c r="F8" s="444" t="s">
        <v>1453</v>
      </c>
      <c r="G8" s="439">
        <v>220</v>
      </c>
      <c r="I8" s="446" t="s">
        <v>1442</v>
      </c>
      <c r="J8" s="277" t="s">
        <v>9</v>
      </c>
      <c r="K8" s="565">
        <f>DATA!D22</f>
        <v>220</v>
      </c>
      <c r="L8" s="566"/>
    </row>
    <row r="9" spans="1:12" ht="30" customHeight="1" thickBot="1">
      <c r="A9" s="204"/>
      <c r="B9" s="451" t="s">
        <v>1541</v>
      </c>
      <c r="C9" s="441" t="s">
        <v>9</v>
      </c>
      <c r="D9" s="592">
        <f>IF(D7=1,D6/(380/3^0.5),(D6/(380*3^0.5)))</f>
        <v>0</v>
      </c>
      <c r="E9" s="593"/>
      <c r="F9" s="207"/>
      <c r="G9" s="440">
        <v>380</v>
      </c>
      <c r="I9" s="452" t="s">
        <v>1541</v>
      </c>
      <c r="J9" s="441" t="s">
        <v>9</v>
      </c>
      <c r="K9" s="569">
        <f>IF(K7=1,K6/(380/3^0.5),(K6/(380*3^0.5)))</f>
        <v>35.096818995474621</v>
      </c>
      <c r="L9" s="570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1"/>
      <c r="E12" s="602"/>
      <c r="F12" s="208"/>
      <c r="G12" s="208"/>
      <c r="I12" s="468" t="s">
        <v>1534</v>
      </c>
      <c r="J12" s="469" t="s">
        <v>9</v>
      </c>
      <c r="K12" s="601"/>
      <c r="L12" s="602"/>
    </row>
    <row r="13" spans="1:12" ht="31.5" customHeight="1">
      <c r="A13" s="204"/>
      <c r="B13" s="476" t="s">
        <v>1380</v>
      </c>
      <c r="C13" s="456" t="s">
        <v>9</v>
      </c>
      <c r="D13" s="567"/>
      <c r="E13" s="568"/>
      <c r="F13" s="208"/>
      <c r="G13" s="208"/>
      <c r="I13" s="470" t="s">
        <v>1380</v>
      </c>
      <c r="J13" s="456" t="s">
        <v>9</v>
      </c>
      <c r="K13" s="567"/>
      <c r="L13" s="568"/>
    </row>
    <row r="14" spans="1:12" ht="30.75" customHeight="1">
      <c r="A14" s="204"/>
      <c r="B14" s="476" t="s">
        <v>1535</v>
      </c>
      <c r="C14" s="456" t="s">
        <v>9</v>
      </c>
      <c r="D14" s="571"/>
      <c r="E14" s="572"/>
      <c r="F14" s="444" t="s">
        <v>1453</v>
      </c>
      <c r="G14" s="448">
        <v>50</v>
      </c>
      <c r="I14" s="470" t="s">
        <v>1535</v>
      </c>
      <c r="J14" s="456" t="s">
        <v>9</v>
      </c>
      <c r="K14" s="573"/>
      <c r="L14" s="574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5">
        <v>0</v>
      </c>
      <c r="E16" s="576"/>
      <c r="F16" s="444"/>
      <c r="G16" s="448">
        <v>160</v>
      </c>
      <c r="I16" s="470" t="s">
        <v>1537</v>
      </c>
      <c r="J16" s="456" t="s">
        <v>9</v>
      </c>
      <c r="K16" s="579">
        <f>K9</f>
        <v>35.096818995474621</v>
      </c>
      <c r="L16" s="580"/>
    </row>
    <row r="17" spans="1:12" ht="34.5" customHeight="1">
      <c r="A17" s="204"/>
      <c r="B17" s="476" t="s">
        <v>1538</v>
      </c>
      <c r="C17" s="456" t="s">
        <v>9</v>
      </c>
      <c r="D17" s="577">
        <f>IF(D15=1,D14/(20/3^0.5),(D14/(20*3^0.5)))</f>
        <v>0</v>
      </c>
      <c r="E17" s="578"/>
      <c r="F17" s="444" t="s">
        <v>1453</v>
      </c>
      <c r="G17" s="449">
        <v>200</v>
      </c>
      <c r="I17" s="470" t="s">
        <v>1538</v>
      </c>
      <c r="J17" s="456" t="s">
        <v>9</v>
      </c>
      <c r="K17" s="583">
        <f>IF(K15=1,K14/(20/3^0.5),(K14/(20*3^0.5)))</f>
        <v>0</v>
      </c>
      <c r="L17" s="584"/>
    </row>
    <row r="18" spans="1:12" ht="34.5" customHeight="1">
      <c r="A18" s="204"/>
      <c r="B18" s="476" t="s">
        <v>1539</v>
      </c>
      <c r="C18" s="456" t="s">
        <v>9</v>
      </c>
      <c r="D18" s="577">
        <f>IF(D15=1,D14/(380/3^0.5),(D14/(380*3^0.5)))*1000</f>
        <v>0</v>
      </c>
      <c r="E18" s="578"/>
      <c r="F18" s="444" t="s">
        <v>1453</v>
      </c>
      <c r="G18" s="449">
        <v>250</v>
      </c>
      <c r="I18" s="470" t="s">
        <v>1539</v>
      </c>
      <c r="J18" s="456" t="s">
        <v>9</v>
      </c>
      <c r="K18" s="583">
        <f>IF(K15=1,K14/(380/3^0.5),(K14/(380*3^0.5)))*1000</f>
        <v>0</v>
      </c>
      <c r="L18" s="584"/>
    </row>
    <row r="19" spans="1:12" ht="30" customHeight="1">
      <c r="A19" s="204"/>
      <c r="B19" s="477" t="s">
        <v>1531</v>
      </c>
      <c r="C19" s="455" t="s">
        <v>9</v>
      </c>
      <c r="D19" s="577">
        <f>IF(D15=1,D14/(380/3^0.5),(D14/(380*3^0.5)))</f>
        <v>0</v>
      </c>
      <c r="E19" s="578"/>
      <c r="F19" s="207"/>
      <c r="G19" s="440"/>
      <c r="I19" s="472" t="s">
        <v>1531</v>
      </c>
      <c r="J19" s="455" t="s">
        <v>9</v>
      </c>
      <c r="K19" s="583">
        <f>IF(K15=1,K14/(380/3^0.5),(K14/(380*3^0.5)))</f>
        <v>0</v>
      </c>
      <c r="L19" s="584"/>
    </row>
    <row r="20" spans="1:12" ht="30" customHeight="1" thickBot="1">
      <c r="A20" s="204"/>
      <c r="B20" s="478" t="s">
        <v>1540</v>
      </c>
      <c r="C20" s="474" t="s">
        <v>9</v>
      </c>
      <c r="D20" s="603" t="e">
        <f>D16/D18</f>
        <v>#DIV/0!</v>
      </c>
      <c r="E20" s="604"/>
      <c r="F20" s="207"/>
      <c r="G20" s="440"/>
      <c r="I20" s="473" t="s">
        <v>1531</v>
      </c>
      <c r="J20" s="474" t="s">
        <v>9</v>
      </c>
      <c r="K20" s="581" t="e">
        <f>K16/K18</f>
        <v>#DIV/0!</v>
      </c>
      <c r="L20" s="582"/>
    </row>
    <row r="21" spans="1:12" ht="9.75" customHeight="1">
      <c r="A21" s="204"/>
      <c r="B21" s="463" t="s">
        <v>1540</v>
      </c>
      <c r="C21" s="464" t="s">
        <v>9</v>
      </c>
      <c r="D21" s="588">
        <v>1</v>
      </c>
      <c r="E21" s="588"/>
      <c r="F21" s="465"/>
      <c r="G21" s="466"/>
      <c r="H21" s="467"/>
      <c r="I21" s="463" t="s">
        <v>1531</v>
      </c>
      <c r="J21" s="464" t="s">
        <v>9</v>
      </c>
      <c r="K21" s="588">
        <v>1</v>
      </c>
      <c r="L21" s="588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5"/>
      <c r="C24" s="586"/>
      <c r="D24" s="586"/>
      <c r="E24" s="587"/>
      <c r="I24" s="585"/>
      <c r="J24" s="586"/>
      <c r="K24" s="586"/>
      <c r="L24" s="587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M26" sqref="M2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5"/>
      <c r="C1" s="605"/>
      <c r="D1" s="605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7.7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7461300</v>
      </c>
    </row>
    <row r="10" spans="2:11" ht="20.100000000000001" customHeight="1">
      <c r="B10" s="291" t="s">
        <v>1446</v>
      </c>
      <c r="C10" s="292" t="s">
        <v>9</v>
      </c>
      <c r="D10" s="298">
        <f ca="1">RAB!K64</f>
        <v>7458478.5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149169.57</v>
      </c>
    </row>
    <row r="12" spans="2:11" ht="9" customHeight="1">
      <c r="B12" s="606"/>
      <c r="C12" s="606"/>
      <c r="D12" s="606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1635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1625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7.7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3" t="s">
        <v>1357</v>
      </c>
      <c r="C3" s="613"/>
      <c r="D3" s="613"/>
      <c r="E3" s="613"/>
      <c r="F3" s="305" t="str">
        <f>DATA!D14</f>
        <v>AIRYS DEPO ISI ULANG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7" t="s">
        <v>1349</v>
      </c>
      <c r="C5" s="607" t="s">
        <v>1358</v>
      </c>
      <c r="D5" s="612" t="s">
        <v>1359</v>
      </c>
      <c r="E5" s="612" t="s">
        <v>1360</v>
      </c>
      <c r="F5" s="607" t="s">
        <v>1361</v>
      </c>
      <c r="G5" s="607"/>
      <c r="H5" s="607"/>
      <c r="I5" s="607"/>
      <c r="J5" s="607"/>
      <c r="K5" s="607" t="s">
        <v>1362</v>
      </c>
      <c r="L5" s="607"/>
      <c r="M5" s="307"/>
      <c r="N5" s="610" t="s">
        <v>1363</v>
      </c>
      <c r="O5" s="612" t="s">
        <v>1364</v>
      </c>
      <c r="P5" s="612" t="s">
        <v>1365</v>
      </c>
      <c r="Q5" s="612" t="s">
        <v>1366</v>
      </c>
      <c r="R5" s="308"/>
      <c r="S5" s="309"/>
      <c r="T5" s="608" t="s">
        <v>1367</v>
      </c>
      <c r="U5" s="310"/>
    </row>
    <row r="6" spans="1:21" ht="20.100000000000001" customHeight="1">
      <c r="B6" s="607"/>
      <c r="C6" s="607"/>
      <c r="D6" s="607"/>
      <c r="E6" s="60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1"/>
      <c r="O6" s="607"/>
      <c r="P6" s="607"/>
      <c r="Q6" s="607"/>
      <c r="R6" s="308"/>
      <c r="S6" s="309"/>
      <c r="T6" s="607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2464</v>
      </c>
      <c r="D7" s="316">
        <f>C7*4/24</f>
        <v>410.66666666666669</v>
      </c>
      <c r="E7" s="316">
        <f>C7-D7</f>
        <v>2053.3333333333335</v>
      </c>
      <c r="F7" s="317">
        <f ca="1">DATA!D10/1000000</f>
        <v>7.4584785</v>
      </c>
      <c r="G7" s="318">
        <f ca="1">DATA!$D$11/1000000</f>
        <v>0.14916957</v>
      </c>
      <c r="H7" s="318">
        <f>C7*DATA!$D$5/1000000</f>
        <v>2.6712841130645435</v>
      </c>
      <c r="I7" s="318">
        <f>(C7*DATA!$D$5*DATA!$D$7)/1000000</f>
        <v>6.0103892543952223E-2</v>
      </c>
      <c r="J7" s="316">
        <f ca="1">SUM(F7:I7)</f>
        <v>10.339036075608496</v>
      </c>
      <c r="K7" s="319">
        <f>DATA!D9/1000000</f>
        <v>7.4612999999999996</v>
      </c>
      <c r="L7" s="316">
        <f>((D7*DATA!$D$23)/1000000)+((E7*DATA!$D$24)/1000000)</f>
        <v>3.5597408000000001</v>
      </c>
      <c r="M7" s="316">
        <f>K7+L7</f>
        <v>11.0210408</v>
      </c>
      <c r="N7" s="316">
        <f ca="1">M7-J7</f>
        <v>0.68200472439150417</v>
      </c>
      <c r="O7" s="314">
        <v>1</v>
      </c>
      <c r="P7" s="316">
        <f ca="1">O7*N7</f>
        <v>0.68200472439150417</v>
      </c>
      <c r="Q7" s="316">
        <f ca="1">P7</f>
        <v>0.68200472439150417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3696</v>
      </c>
      <c r="D8" s="316">
        <f>C8*4/24</f>
        <v>616</v>
      </c>
      <c r="E8" s="316">
        <f t="shared" ref="E8:E32" si="0">C8-D8</f>
        <v>3080</v>
      </c>
      <c r="F8" s="314"/>
      <c r="G8" s="318">
        <f ca="1">DATA!$D$11/1000000</f>
        <v>0.14916957</v>
      </c>
      <c r="H8" s="318">
        <f>C8*DATA!$D$5/1000000</f>
        <v>4.0069261695968148</v>
      </c>
      <c r="I8" s="318">
        <f>(C8*DATA!$D$5*DATA!$D$7)/1000000</f>
        <v>9.0155838815928327E-2</v>
      </c>
      <c r="J8" s="316">
        <f t="shared" ref="J8:J32" ca="1" si="1">SUM(F8:I8)</f>
        <v>4.2462515784127426</v>
      </c>
      <c r="K8" s="321"/>
      <c r="L8" s="316">
        <f>((D8*DATA!$D$23)/1000000)+((E8*DATA!$D$24)/1000000)</f>
        <v>5.3396112000000002</v>
      </c>
      <c r="M8" s="316">
        <f t="shared" ref="M8:M32" si="2">K8+L8</f>
        <v>5.3396112000000002</v>
      </c>
      <c r="N8" s="316">
        <f ca="1">M8-J8</f>
        <v>1.0933596215872576</v>
      </c>
      <c r="O8" s="315">
        <f>1/(1+'[93]Asumsi I'!$C$3)^(KKF!A8)</f>
        <v>0.89285714285714279</v>
      </c>
      <c r="P8" s="316">
        <f ca="1">O8*N8</f>
        <v>0.97621394784576565</v>
      </c>
      <c r="Q8" s="316">
        <f ca="1">Q7+P8</f>
        <v>1.6582186722372698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3696</v>
      </c>
      <c r="D9" s="316">
        <f t="shared" ref="D9:D32" si="5">C9*4/24</f>
        <v>616</v>
      </c>
      <c r="E9" s="316">
        <f t="shared" si="0"/>
        <v>3080</v>
      </c>
      <c r="F9" s="314"/>
      <c r="G9" s="318">
        <f ca="1">DATA!$D$11/1000000</f>
        <v>0.14916957</v>
      </c>
      <c r="H9" s="318">
        <f>C9*DATA!$D$5/1000000</f>
        <v>4.0069261695968148</v>
      </c>
      <c r="I9" s="318">
        <f>(C9*DATA!$D$5*DATA!$D$7)/1000000</f>
        <v>9.0155838815928327E-2</v>
      </c>
      <c r="J9" s="316">
        <f t="shared" ca="1" si="1"/>
        <v>4.2462515784127426</v>
      </c>
      <c r="K9" s="316"/>
      <c r="L9" s="316">
        <f>((D9*DATA!$D$23)/1000000)+((E9*DATA!$D$24)/1000000)</f>
        <v>5.3396112000000002</v>
      </c>
      <c r="M9" s="316">
        <f t="shared" si="2"/>
        <v>5.3396112000000002</v>
      </c>
      <c r="N9" s="316">
        <f t="shared" ref="N9:N32" ca="1" si="6">M9-J9</f>
        <v>1.0933596215872576</v>
      </c>
      <c r="O9" s="322">
        <f>1/(1+'[93]Asumsi I'!$C$3)^(KKF!A9)</f>
        <v>0.79719387755102034</v>
      </c>
      <c r="P9" s="316">
        <f t="shared" ref="P9:P32" ca="1" si="7">O9*N9</f>
        <v>0.87161959629086216</v>
      </c>
      <c r="Q9" s="316">
        <f ca="1">Q8+P9</f>
        <v>2.529838268528132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3696</v>
      </c>
      <c r="D10" s="316">
        <f t="shared" si="5"/>
        <v>616</v>
      </c>
      <c r="E10" s="316">
        <f t="shared" si="0"/>
        <v>3080</v>
      </c>
      <c r="F10" s="314"/>
      <c r="G10" s="318">
        <f ca="1">DATA!$D$11/1000000</f>
        <v>0.14916957</v>
      </c>
      <c r="H10" s="318">
        <f>C10*DATA!$D$5/1000000</f>
        <v>4.0069261695968148</v>
      </c>
      <c r="I10" s="318">
        <f>(C10*DATA!$D$5*DATA!$D$7)/1000000</f>
        <v>9.0155838815928327E-2</v>
      </c>
      <c r="J10" s="316">
        <f t="shared" ca="1" si="1"/>
        <v>4.2462515784127426</v>
      </c>
      <c r="K10" s="314"/>
      <c r="L10" s="316">
        <f>((D10*DATA!$D$23)/1000000)+((E10*DATA!$D$24)/1000000)</f>
        <v>5.3396112000000002</v>
      </c>
      <c r="M10" s="316">
        <f t="shared" si="2"/>
        <v>5.3396112000000002</v>
      </c>
      <c r="N10" s="316">
        <f t="shared" ca="1" si="6"/>
        <v>1.0933596215872576</v>
      </c>
      <c r="O10" s="315">
        <f>1/(1+'[93]Asumsi I'!$C$3)^(KKF!A10)</f>
        <v>0.71178024781341087</v>
      </c>
      <c r="P10" s="316">
        <f t="shared" ca="1" si="7"/>
        <v>0.77823178240255542</v>
      </c>
      <c r="Q10" s="316">
        <f t="shared" ref="Q10:Q30" ca="1" si="9">Q9+P10</f>
        <v>3.3080700509306875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3696</v>
      </c>
      <c r="D11" s="316">
        <f t="shared" si="5"/>
        <v>616</v>
      </c>
      <c r="E11" s="316">
        <f t="shared" si="0"/>
        <v>3080</v>
      </c>
      <c r="F11" s="314"/>
      <c r="G11" s="318">
        <f ca="1">DATA!$D$11/1000000</f>
        <v>0.14916957</v>
      </c>
      <c r="H11" s="318">
        <f>C11*DATA!$D$5/1000000</f>
        <v>4.0069261695968148</v>
      </c>
      <c r="I11" s="318">
        <f>(C11*DATA!$D$5*DATA!$D$7)/1000000</f>
        <v>9.0155838815928327E-2</v>
      </c>
      <c r="J11" s="316">
        <f t="shared" ca="1" si="1"/>
        <v>4.2462515784127426</v>
      </c>
      <c r="K11" s="314"/>
      <c r="L11" s="316">
        <f>((D11*DATA!$D$23)/1000000)+((E11*DATA!$D$24)/1000000)</f>
        <v>5.3396112000000002</v>
      </c>
      <c r="M11" s="316">
        <f t="shared" si="2"/>
        <v>5.3396112000000002</v>
      </c>
      <c r="N11" s="316">
        <f t="shared" ca="1" si="6"/>
        <v>1.0933596215872576</v>
      </c>
      <c r="O11" s="315">
        <f>1/(1+'[93]Asumsi I'!$C$3)^(KKF!A11)</f>
        <v>0.63551807840483121</v>
      </c>
      <c r="P11" s="316">
        <f t="shared" ca="1" si="7"/>
        <v>0.6948498057165674</v>
      </c>
      <c r="Q11" s="316">
        <f t="shared" ca="1" si="9"/>
        <v>4.0029198566472548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3696</v>
      </c>
      <c r="D12" s="316">
        <f t="shared" si="5"/>
        <v>616</v>
      </c>
      <c r="E12" s="316">
        <f t="shared" si="0"/>
        <v>3080</v>
      </c>
      <c r="F12" s="314"/>
      <c r="G12" s="318">
        <f ca="1">DATA!$D$11/1000000</f>
        <v>0.14916957</v>
      </c>
      <c r="H12" s="318">
        <f>C12*DATA!$D$5/1000000</f>
        <v>4.0069261695968148</v>
      </c>
      <c r="I12" s="318">
        <f>(C12*DATA!$D$5*DATA!$D$7)/1000000</f>
        <v>9.0155838815928327E-2</v>
      </c>
      <c r="J12" s="316">
        <f t="shared" ca="1" si="1"/>
        <v>4.2462515784127426</v>
      </c>
      <c r="K12" s="314"/>
      <c r="L12" s="316">
        <f>((D12*DATA!$D$23)/1000000)+((E12*DATA!$D$24)/1000000)</f>
        <v>5.3396112000000002</v>
      </c>
      <c r="M12" s="316">
        <f t="shared" si="2"/>
        <v>5.3396112000000002</v>
      </c>
      <c r="N12" s="316">
        <f t="shared" ca="1" si="6"/>
        <v>1.0933596215872576</v>
      </c>
      <c r="O12" s="315">
        <f>1/(1+'[93]Asumsi I'!$C$3)^(KKF!A12)</f>
        <v>0.56742685571859919</v>
      </c>
      <c r="P12" s="316">
        <f t="shared" ca="1" si="7"/>
        <v>0.62040161224693502</v>
      </c>
      <c r="Q12" s="316">
        <f t="shared" ca="1" si="9"/>
        <v>4.6233214688941899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3696</v>
      </c>
      <c r="D13" s="316">
        <f t="shared" si="5"/>
        <v>616</v>
      </c>
      <c r="E13" s="316">
        <f t="shared" si="0"/>
        <v>3080</v>
      </c>
      <c r="F13" s="314"/>
      <c r="G13" s="318">
        <f ca="1">DATA!$D$11/1000000</f>
        <v>0.14916957</v>
      </c>
      <c r="H13" s="318">
        <f>C13*DATA!$D$5/1000000</f>
        <v>4.0069261695968148</v>
      </c>
      <c r="I13" s="318">
        <f>(C13*DATA!$D$5*DATA!$D$7)/1000000</f>
        <v>9.0155838815928327E-2</v>
      </c>
      <c r="J13" s="316">
        <f t="shared" ca="1" si="1"/>
        <v>4.2462515784127426</v>
      </c>
      <c r="K13" s="314"/>
      <c r="L13" s="316">
        <f>((D13*DATA!$D$23)/1000000)+((E13*DATA!$D$24)/1000000)</f>
        <v>5.3396112000000002</v>
      </c>
      <c r="M13" s="316">
        <f t="shared" si="2"/>
        <v>5.3396112000000002</v>
      </c>
      <c r="N13" s="316">
        <f t="shared" ca="1" si="6"/>
        <v>1.0933596215872576</v>
      </c>
      <c r="O13" s="315">
        <f>1/(1+'[93]Asumsi I'!$C$3)^(KKF!A13)</f>
        <v>0.50663112117732068</v>
      </c>
      <c r="P13" s="316">
        <f t="shared" ca="1" si="7"/>
        <v>0.55393001093476335</v>
      </c>
      <c r="Q13" s="316">
        <f t="shared" ca="1" si="9"/>
        <v>5.1772514798289535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3696</v>
      </c>
      <c r="D14" s="316">
        <f t="shared" si="5"/>
        <v>616</v>
      </c>
      <c r="E14" s="316">
        <f t="shared" si="0"/>
        <v>3080</v>
      </c>
      <c r="F14" s="314"/>
      <c r="G14" s="318">
        <f ca="1">DATA!$D$11/1000000</f>
        <v>0.14916957</v>
      </c>
      <c r="H14" s="318">
        <f>C14*DATA!$D$5/1000000</f>
        <v>4.0069261695968148</v>
      </c>
      <c r="I14" s="318">
        <f>(C14*DATA!$D$5*DATA!$D$7)/1000000</f>
        <v>9.0155838815928327E-2</v>
      </c>
      <c r="J14" s="316">
        <f t="shared" ca="1" si="1"/>
        <v>4.2462515784127426</v>
      </c>
      <c r="K14" s="314"/>
      <c r="L14" s="316">
        <f>((D14*DATA!$D$23)/1000000)+((E14*DATA!$D$24)/1000000)</f>
        <v>5.3396112000000002</v>
      </c>
      <c r="M14" s="316">
        <f t="shared" si="2"/>
        <v>5.3396112000000002</v>
      </c>
      <c r="N14" s="316">
        <f t="shared" ca="1" si="6"/>
        <v>1.0933596215872576</v>
      </c>
      <c r="O14" s="315">
        <f>1/(1+'[93]Asumsi I'!$C$3)^(KKF!A14)</f>
        <v>0.45234921533689343</v>
      </c>
      <c r="P14" s="316">
        <f t="shared" ca="1" si="7"/>
        <v>0.49458036690603874</v>
      </c>
      <c r="Q14" s="316">
        <f t="shared" ca="1" si="9"/>
        <v>5.6718318467349924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3696</v>
      </c>
      <c r="D15" s="316">
        <f t="shared" si="5"/>
        <v>616</v>
      </c>
      <c r="E15" s="316">
        <f t="shared" si="0"/>
        <v>3080</v>
      </c>
      <c r="F15" s="314"/>
      <c r="G15" s="318">
        <f ca="1">DATA!$D$11/1000000</f>
        <v>0.14916957</v>
      </c>
      <c r="H15" s="318">
        <f>C15*DATA!$D$5/1000000</f>
        <v>4.0069261695968148</v>
      </c>
      <c r="I15" s="318">
        <f>(C15*DATA!$D$5*DATA!$D$7)/1000000</f>
        <v>9.0155838815928327E-2</v>
      </c>
      <c r="J15" s="316">
        <f t="shared" ca="1" si="1"/>
        <v>4.2462515784127426</v>
      </c>
      <c r="K15" s="314"/>
      <c r="L15" s="316">
        <f>((D15*DATA!$D$23)/1000000)+((E15*DATA!$D$24)/1000000)</f>
        <v>5.3396112000000002</v>
      </c>
      <c r="M15" s="316">
        <f t="shared" si="2"/>
        <v>5.3396112000000002</v>
      </c>
      <c r="N15" s="316">
        <f t="shared" ca="1" si="6"/>
        <v>1.0933596215872576</v>
      </c>
      <c r="O15" s="315">
        <f>1/(1+'[93]Asumsi I'!$C$3)^(KKF!A15)</f>
        <v>0.4038832279793691</v>
      </c>
      <c r="P15" s="316">
        <f t="shared" ca="1" si="7"/>
        <v>0.44158961330896312</v>
      </c>
      <c r="Q15" s="316">
        <f t="shared" ca="1" si="9"/>
        <v>6.1134214600439556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3696</v>
      </c>
      <c r="D16" s="316">
        <f t="shared" si="5"/>
        <v>616</v>
      </c>
      <c r="E16" s="316">
        <f t="shared" si="0"/>
        <v>3080</v>
      </c>
      <c r="F16" s="314"/>
      <c r="G16" s="318">
        <f ca="1">DATA!$D$11/1000000</f>
        <v>0.14916957</v>
      </c>
      <c r="H16" s="318">
        <f>C16*DATA!$D$5/1000000</f>
        <v>4.0069261695968148</v>
      </c>
      <c r="I16" s="318">
        <f>(C16*DATA!$D$5*DATA!$D$7)/1000000</f>
        <v>9.0155838815928327E-2</v>
      </c>
      <c r="J16" s="316">
        <f t="shared" ca="1" si="1"/>
        <v>4.2462515784127426</v>
      </c>
      <c r="K16" s="314"/>
      <c r="L16" s="316">
        <f>((D16*DATA!$D$23)/1000000)+((E16*DATA!$D$24)/1000000)</f>
        <v>5.3396112000000002</v>
      </c>
      <c r="M16" s="316">
        <f t="shared" si="2"/>
        <v>5.3396112000000002</v>
      </c>
      <c r="N16" s="316">
        <f t="shared" ca="1" si="6"/>
        <v>1.0933596215872576</v>
      </c>
      <c r="O16" s="315">
        <f>1/(1+'[93]Asumsi I'!$C$3)^(KKF!A16)</f>
        <v>0.36061002498157957</v>
      </c>
      <c r="P16" s="316">
        <f t="shared" ca="1" si="7"/>
        <v>0.39427644045443139</v>
      </c>
      <c r="Q16" s="316">
        <f t="shared" ca="1" si="9"/>
        <v>6.5076979004983873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3696</v>
      </c>
      <c r="D17" s="316">
        <f t="shared" si="5"/>
        <v>616</v>
      </c>
      <c r="E17" s="316">
        <f t="shared" si="0"/>
        <v>3080</v>
      </c>
      <c r="F17" s="314"/>
      <c r="G17" s="318">
        <f ca="1">DATA!$D$11/1000000</f>
        <v>0.14916957</v>
      </c>
      <c r="H17" s="318">
        <f>C17*DATA!$D$5/1000000</f>
        <v>4.0069261695968148</v>
      </c>
      <c r="I17" s="318">
        <f>(C17*DATA!$D$5*DATA!$D$7)/1000000</f>
        <v>9.0155838815928327E-2</v>
      </c>
      <c r="J17" s="316">
        <f t="shared" ca="1" si="1"/>
        <v>4.2462515784127426</v>
      </c>
      <c r="K17" s="314"/>
      <c r="L17" s="316">
        <f>((D17*DATA!$D$23)/1000000)+((E17*DATA!$D$24)/1000000)</f>
        <v>5.3396112000000002</v>
      </c>
      <c r="M17" s="316">
        <f t="shared" si="2"/>
        <v>5.3396112000000002</v>
      </c>
      <c r="N17" s="316">
        <f t="shared" ca="1" si="6"/>
        <v>1.0933596215872576</v>
      </c>
      <c r="O17" s="315">
        <f>1/(1+'[93]Asumsi I'!$C$3)^(KKF!A17)</f>
        <v>0.32197323659069599</v>
      </c>
      <c r="P17" s="316">
        <f t="shared" ca="1" si="7"/>
        <v>0.35203253612002794</v>
      </c>
      <c r="Q17" s="316">
        <f t="shared" ca="1" si="9"/>
        <v>6.8597304366184151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3696</v>
      </c>
      <c r="D18" s="316">
        <f t="shared" si="5"/>
        <v>616</v>
      </c>
      <c r="E18" s="316">
        <f t="shared" si="0"/>
        <v>3080</v>
      </c>
      <c r="F18" s="314"/>
      <c r="G18" s="318">
        <f ca="1">DATA!$D$11/1000000</f>
        <v>0.14916957</v>
      </c>
      <c r="H18" s="318">
        <f>C18*DATA!$D$5/1000000</f>
        <v>4.0069261695968148</v>
      </c>
      <c r="I18" s="318">
        <f>(C18*DATA!$D$5*DATA!$D$7)/1000000</f>
        <v>9.0155838815928327E-2</v>
      </c>
      <c r="J18" s="316">
        <f t="shared" ca="1" si="1"/>
        <v>4.2462515784127426</v>
      </c>
      <c r="K18" s="314"/>
      <c r="L18" s="316">
        <f>((D18*DATA!$D$23)/1000000)+((E18*DATA!$D$24)/1000000)</f>
        <v>5.3396112000000002</v>
      </c>
      <c r="M18" s="316">
        <f t="shared" si="2"/>
        <v>5.3396112000000002</v>
      </c>
      <c r="N18" s="316">
        <f t="shared" ca="1" si="6"/>
        <v>1.0933596215872576</v>
      </c>
      <c r="O18" s="315">
        <f>1/(1+'[93]Asumsi I'!$C$3)^(KKF!A18)</f>
        <v>0.28747610409883567</v>
      </c>
      <c r="P18" s="316">
        <f t="shared" ca="1" si="7"/>
        <v>0.31431476439288203</v>
      </c>
      <c r="Q18" s="316">
        <f t="shared" ca="1" si="9"/>
        <v>7.1740452010112969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3696</v>
      </c>
      <c r="D19" s="316">
        <f t="shared" si="5"/>
        <v>616</v>
      </c>
      <c r="E19" s="316">
        <f t="shared" si="0"/>
        <v>3080</v>
      </c>
      <c r="F19" s="314"/>
      <c r="G19" s="318">
        <f ca="1">DATA!$D$11/1000000</f>
        <v>0.14916957</v>
      </c>
      <c r="H19" s="318">
        <f>C19*DATA!$D$5/1000000</f>
        <v>4.0069261695968148</v>
      </c>
      <c r="I19" s="318">
        <f>(C19*DATA!$D$5*DATA!$D$7)/1000000</f>
        <v>9.0155838815928327E-2</v>
      </c>
      <c r="J19" s="316">
        <f t="shared" ca="1" si="1"/>
        <v>4.2462515784127426</v>
      </c>
      <c r="K19" s="314"/>
      <c r="L19" s="316">
        <f>((D19*DATA!$D$23)/1000000)+((E19*DATA!$D$24)/1000000)</f>
        <v>5.3396112000000002</v>
      </c>
      <c r="M19" s="316">
        <f t="shared" si="2"/>
        <v>5.3396112000000002</v>
      </c>
      <c r="N19" s="316">
        <f t="shared" ca="1" si="6"/>
        <v>1.0933596215872576</v>
      </c>
      <c r="O19" s="315">
        <f>1/(1+'[93]Asumsi I'!$C$3)^(KKF!A19)</f>
        <v>0.25667509294538904</v>
      </c>
      <c r="P19" s="316">
        <f t="shared" ca="1" si="7"/>
        <v>0.28063818249364475</v>
      </c>
      <c r="Q19" s="316">
        <f t="shared" ca="1" si="9"/>
        <v>7.4546833835049418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3696</v>
      </c>
      <c r="D20" s="316">
        <f t="shared" si="5"/>
        <v>616</v>
      </c>
      <c r="E20" s="316">
        <f t="shared" si="0"/>
        <v>3080</v>
      </c>
      <c r="F20" s="314"/>
      <c r="G20" s="318">
        <f ca="1">DATA!$D$11/1000000</f>
        <v>0.14916957</v>
      </c>
      <c r="H20" s="318">
        <f>C20*DATA!$D$5/1000000</f>
        <v>4.0069261695968148</v>
      </c>
      <c r="I20" s="318">
        <f>(C20*DATA!$D$5*DATA!$D$7)/1000000</f>
        <v>9.0155838815928327E-2</v>
      </c>
      <c r="J20" s="316">
        <f t="shared" ca="1" si="1"/>
        <v>4.2462515784127426</v>
      </c>
      <c r="K20" s="314"/>
      <c r="L20" s="316">
        <f>((D20*DATA!$D$23)/1000000)+((E20*DATA!$D$24)/1000000)</f>
        <v>5.3396112000000002</v>
      </c>
      <c r="M20" s="316">
        <f t="shared" si="2"/>
        <v>5.3396112000000002</v>
      </c>
      <c r="N20" s="316">
        <f t="shared" ca="1" si="6"/>
        <v>1.0933596215872576</v>
      </c>
      <c r="O20" s="315">
        <f>1/(1+'[93]Asumsi I'!$C$3)^(KKF!A20)</f>
        <v>0.22917419012981158</v>
      </c>
      <c r="P20" s="316">
        <f t="shared" ca="1" si="7"/>
        <v>0.25056980579789701</v>
      </c>
      <c r="Q20" s="316">
        <f t="shared" ca="1" si="9"/>
        <v>7.7052531893028391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3696</v>
      </c>
      <c r="D21" s="316">
        <f t="shared" si="5"/>
        <v>616</v>
      </c>
      <c r="E21" s="316">
        <f t="shared" si="0"/>
        <v>3080</v>
      </c>
      <c r="F21" s="314"/>
      <c r="G21" s="318">
        <f ca="1">DATA!$D$11/1000000</f>
        <v>0.14916957</v>
      </c>
      <c r="H21" s="318">
        <f>C21*DATA!$D$5/1000000</f>
        <v>4.0069261695968148</v>
      </c>
      <c r="I21" s="318">
        <f>(C21*DATA!$D$5*DATA!$D$7)/1000000</f>
        <v>9.0155838815928327E-2</v>
      </c>
      <c r="J21" s="316">
        <f t="shared" ca="1" si="1"/>
        <v>4.2462515784127426</v>
      </c>
      <c r="K21" s="314"/>
      <c r="L21" s="316">
        <f>((D21*DATA!$D$23)/1000000)+((E21*DATA!$D$24)/1000000)</f>
        <v>5.3396112000000002</v>
      </c>
      <c r="M21" s="316">
        <f t="shared" si="2"/>
        <v>5.3396112000000002</v>
      </c>
      <c r="N21" s="316">
        <f t="shared" ca="1" si="6"/>
        <v>1.0933596215872576</v>
      </c>
      <c r="O21" s="315">
        <f>1/(1+'[93]Asumsi I'!$C$3)^(KKF!A21)</f>
        <v>0.20461981261590317</v>
      </c>
      <c r="P21" s="316">
        <f t="shared" ca="1" si="7"/>
        <v>0.22372304089097947</v>
      </c>
      <c r="Q21" s="316">
        <f t="shared" ca="1" si="9"/>
        <v>7.9289762301938183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3696</v>
      </c>
      <c r="D22" s="316">
        <f t="shared" si="5"/>
        <v>616</v>
      </c>
      <c r="E22" s="316">
        <f t="shared" si="0"/>
        <v>3080</v>
      </c>
      <c r="F22" s="314"/>
      <c r="G22" s="318">
        <f ca="1">DATA!$D$11/1000000</f>
        <v>0.14916957</v>
      </c>
      <c r="H22" s="318">
        <f>C22*DATA!$D$5/1000000</f>
        <v>4.0069261695968148</v>
      </c>
      <c r="I22" s="318">
        <f>(C22*DATA!$D$5*DATA!$D$7)/1000000</f>
        <v>9.0155838815928327E-2</v>
      </c>
      <c r="J22" s="316">
        <f t="shared" ca="1" si="1"/>
        <v>4.2462515784127426</v>
      </c>
      <c r="K22" s="314"/>
      <c r="L22" s="316">
        <f>((D22*DATA!$D$23)/1000000)+((E22*DATA!$D$24)/1000000)</f>
        <v>5.3396112000000002</v>
      </c>
      <c r="M22" s="316">
        <f t="shared" si="2"/>
        <v>5.3396112000000002</v>
      </c>
      <c r="N22" s="316">
        <f t="shared" ca="1" si="6"/>
        <v>1.0933596215872576</v>
      </c>
      <c r="O22" s="315">
        <f>1/(1+'[93]Asumsi I'!$C$3)^(KKF!A22)</f>
        <v>0.18269626126419927</v>
      </c>
      <c r="P22" s="316">
        <f t="shared" ca="1" si="7"/>
        <v>0.19975271508123166</v>
      </c>
      <c r="Q22" s="316">
        <f t="shared" ca="1" si="9"/>
        <v>8.12872894527505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3696</v>
      </c>
      <c r="D23" s="316">
        <f t="shared" si="5"/>
        <v>616</v>
      </c>
      <c r="E23" s="316">
        <f t="shared" si="0"/>
        <v>3080</v>
      </c>
      <c r="F23" s="314"/>
      <c r="G23" s="318">
        <f ca="1">DATA!$D$11/1000000</f>
        <v>0.14916957</v>
      </c>
      <c r="H23" s="318">
        <f>C23*DATA!$D$5/1000000</f>
        <v>4.0069261695968148</v>
      </c>
      <c r="I23" s="318">
        <f>(C23*DATA!$D$5*DATA!$D$7)/1000000</f>
        <v>9.0155838815928327E-2</v>
      </c>
      <c r="J23" s="316">
        <f t="shared" ca="1" si="1"/>
        <v>4.2462515784127426</v>
      </c>
      <c r="K23" s="314"/>
      <c r="L23" s="316">
        <f>((D23*DATA!$D$23)/1000000)+((E23*DATA!$D$24)/1000000)</f>
        <v>5.3396112000000002</v>
      </c>
      <c r="M23" s="316">
        <f t="shared" si="2"/>
        <v>5.3396112000000002</v>
      </c>
      <c r="N23" s="316">
        <f t="shared" ca="1" si="6"/>
        <v>1.0933596215872576</v>
      </c>
      <c r="O23" s="315">
        <f>1/(1+'[93]Asumsi I'!$C$3)^(KKF!A23)</f>
        <v>0.16312166184303503</v>
      </c>
      <c r="P23" s="316">
        <f t="shared" ca="1" si="7"/>
        <v>0.17835063846538537</v>
      </c>
      <c r="Q23" s="316">
        <f t="shared" ca="1" si="9"/>
        <v>8.3070795837404354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3696</v>
      </c>
      <c r="D24" s="316">
        <f t="shared" si="5"/>
        <v>616</v>
      </c>
      <c r="E24" s="316">
        <f t="shared" si="0"/>
        <v>3080</v>
      </c>
      <c r="F24" s="314"/>
      <c r="G24" s="318">
        <f ca="1">DATA!$D$11/1000000</f>
        <v>0.14916957</v>
      </c>
      <c r="H24" s="318">
        <f>C24*DATA!$D$5/1000000</f>
        <v>4.0069261695968148</v>
      </c>
      <c r="I24" s="318">
        <f>(C24*DATA!$D$5*DATA!$D$7)/1000000</f>
        <v>9.0155838815928327E-2</v>
      </c>
      <c r="J24" s="316">
        <f t="shared" ca="1" si="1"/>
        <v>4.2462515784127426</v>
      </c>
      <c r="K24" s="314"/>
      <c r="L24" s="316">
        <f>((D24*DATA!$D$23)/1000000)+((E24*DATA!$D$24)/1000000)</f>
        <v>5.3396112000000002</v>
      </c>
      <c r="M24" s="316">
        <f t="shared" si="2"/>
        <v>5.3396112000000002</v>
      </c>
      <c r="N24" s="316">
        <f t="shared" ca="1" si="6"/>
        <v>1.0933596215872576</v>
      </c>
      <c r="O24" s="315">
        <f>1/(1+'[93]Asumsi I'!$C$3)^(KKF!A24)</f>
        <v>0.14564434093128129</v>
      </c>
      <c r="P24" s="316">
        <f t="shared" ca="1" si="7"/>
        <v>0.15924164148695125</v>
      </c>
      <c r="Q24" s="316">
        <f t="shared" ca="1" si="9"/>
        <v>8.4663212252273858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3696</v>
      </c>
      <c r="D25" s="316">
        <f t="shared" si="5"/>
        <v>616</v>
      </c>
      <c r="E25" s="316">
        <f t="shared" si="0"/>
        <v>3080</v>
      </c>
      <c r="F25" s="314"/>
      <c r="G25" s="318">
        <f ca="1">DATA!$D$11/1000000</f>
        <v>0.14916957</v>
      </c>
      <c r="H25" s="318">
        <f>C25*DATA!$D$5/1000000</f>
        <v>4.0069261695968148</v>
      </c>
      <c r="I25" s="318">
        <f>(C25*DATA!$D$5*DATA!$D$7)/1000000</f>
        <v>9.0155838815928327E-2</v>
      </c>
      <c r="J25" s="316">
        <f t="shared" ca="1" si="1"/>
        <v>4.2462515784127426</v>
      </c>
      <c r="K25" s="314"/>
      <c r="L25" s="316">
        <f>((D25*DATA!$D$23)/1000000)+((E25*DATA!$D$24)/1000000)</f>
        <v>5.3396112000000002</v>
      </c>
      <c r="M25" s="316">
        <f t="shared" si="2"/>
        <v>5.3396112000000002</v>
      </c>
      <c r="N25" s="316">
        <f t="shared" ca="1" si="6"/>
        <v>1.0933596215872576</v>
      </c>
      <c r="O25" s="315">
        <f>1/(1+'[93]Asumsi I'!$C$3)^(KKF!A25)</f>
        <v>0.13003959011721541</v>
      </c>
      <c r="P25" s="316">
        <f t="shared" ca="1" si="7"/>
        <v>0.14218003704192073</v>
      </c>
      <c r="Q25" s="316">
        <f t="shared" ca="1" si="9"/>
        <v>8.6085012622693071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3696</v>
      </c>
      <c r="D26" s="316">
        <f t="shared" si="5"/>
        <v>616</v>
      </c>
      <c r="E26" s="316">
        <f t="shared" si="0"/>
        <v>3080</v>
      </c>
      <c r="F26" s="314"/>
      <c r="G26" s="318">
        <f ca="1">DATA!$D$11/1000000</f>
        <v>0.14916957</v>
      </c>
      <c r="H26" s="318">
        <f>C26*DATA!$D$5/1000000</f>
        <v>4.0069261695968148</v>
      </c>
      <c r="I26" s="318">
        <f>(C26*DATA!$D$5*DATA!$D$7)/1000000</f>
        <v>9.0155838815928327E-2</v>
      </c>
      <c r="J26" s="316">
        <f t="shared" ca="1" si="1"/>
        <v>4.2462515784127426</v>
      </c>
      <c r="K26" s="314"/>
      <c r="L26" s="316">
        <f>((D26*DATA!$D$23)/1000000)+((E26*DATA!$D$24)/1000000)</f>
        <v>5.3396112000000002</v>
      </c>
      <c r="M26" s="316">
        <f t="shared" si="2"/>
        <v>5.3396112000000002</v>
      </c>
      <c r="N26" s="316">
        <f t="shared" ca="1" si="6"/>
        <v>1.0933596215872576</v>
      </c>
      <c r="O26" s="315">
        <f>1/(1+'[93]Asumsi I'!$C$3)^(KKF!A26)</f>
        <v>0.1161067768903709</v>
      </c>
      <c r="P26" s="316">
        <f t="shared" ca="1" si="7"/>
        <v>0.12694646164457207</v>
      </c>
      <c r="Q26" s="316">
        <f t="shared" ca="1" si="9"/>
        <v>8.7354477239138788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3696</v>
      </c>
      <c r="D27" s="316">
        <f t="shared" si="5"/>
        <v>616</v>
      </c>
      <c r="E27" s="316">
        <f t="shared" si="0"/>
        <v>3080</v>
      </c>
      <c r="F27" s="314"/>
      <c r="G27" s="318">
        <f ca="1">DATA!$D$11/1000000</f>
        <v>0.14916957</v>
      </c>
      <c r="H27" s="318">
        <f>C27*DATA!$D$5/1000000</f>
        <v>4.0069261695968148</v>
      </c>
      <c r="I27" s="318">
        <f>(C27*DATA!$D$5*DATA!$D$7)/1000000</f>
        <v>9.0155838815928327E-2</v>
      </c>
      <c r="J27" s="316">
        <f t="shared" ca="1" si="1"/>
        <v>4.2462515784127426</v>
      </c>
      <c r="K27" s="314"/>
      <c r="L27" s="316">
        <f>((D27*DATA!$D$23)/1000000)+((E27*DATA!$D$24)/1000000)</f>
        <v>5.3396112000000002</v>
      </c>
      <c r="M27" s="316">
        <f t="shared" si="2"/>
        <v>5.3396112000000002</v>
      </c>
      <c r="N27" s="316">
        <f t="shared" ca="1" si="6"/>
        <v>1.0933596215872576</v>
      </c>
      <c r="O27" s="315">
        <f>1/(1+'[93]Asumsi I'!$C$3)^(KKF!A27)</f>
        <v>0.1036667650806883</v>
      </c>
      <c r="P27" s="316">
        <f t="shared" ca="1" si="7"/>
        <v>0.11334505503979649</v>
      </c>
      <c r="Q27" s="316">
        <f t="shared" ca="1" si="9"/>
        <v>8.8487927789536744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3696</v>
      </c>
      <c r="D28" s="316">
        <f t="shared" si="5"/>
        <v>616</v>
      </c>
      <c r="E28" s="316">
        <f t="shared" si="0"/>
        <v>3080</v>
      </c>
      <c r="F28" s="314"/>
      <c r="G28" s="318">
        <f ca="1">DATA!$D$11/1000000</f>
        <v>0.14916957</v>
      </c>
      <c r="H28" s="318">
        <f>C28*DATA!$D$5/1000000</f>
        <v>4.0069261695968148</v>
      </c>
      <c r="I28" s="318">
        <f>(C28*DATA!$D$5*DATA!$D$7)/1000000</f>
        <v>9.0155838815928327E-2</v>
      </c>
      <c r="J28" s="316">
        <f t="shared" ca="1" si="1"/>
        <v>4.2462515784127426</v>
      </c>
      <c r="K28" s="314"/>
      <c r="L28" s="316">
        <f>((D28*DATA!$D$23)/1000000)+((E28*DATA!$D$24)/1000000)</f>
        <v>5.3396112000000002</v>
      </c>
      <c r="M28" s="316">
        <f t="shared" si="2"/>
        <v>5.3396112000000002</v>
      </c>
      <c r="N28" s="316">
        <f t="shared" ca="1" si="6"/>
        <v>1.0933596215872576</v>
      </c>
      <c r="O28" s="315">
        <f>1/(1+'[93]Asumsi I'!$C$3)^(KKF!A28)</f>
        <v>9.2559611679185971E-2</v>
      </c>
      <c r="P28" s="316">
        <f t="shared" ca="1" si="7"/>
        <v>0.10120094199981829</v>
      </c>
      <c r="Q28" s="316">
        <f t="shared" ca="1" si="9"/>
        <v>8.9499937209534934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3696</v>
      </c>
      <c r="D29" s="316">
        <f t="shared" si="5"/>
        <v>616</v>
      </c>
      <c r="E29" s="316">
        <f t="shared" si="0"/>
        <v>3080</v>
      </c>
      <c r="F29" s="314"/>
      <c r="G29" s="318">
        <f ca="1">DATA!$D$11/1000000</f>
        <v>0.14916957</v>
      </c>
      <c r="H29" s="318">
        <f>C29*DATA!$D$5/1000000</f>
        <v>4.0069261695968148</v>
      </c>
      <c r="I29" s="318">
        <f>(C29*DATA!$D$5*DATA!$D$7)/1000000</f>
        <v>9.0155838815928327E-2</v>
      </c>
      <c r="J29" s="316">
        <f t="shared" ca="1" si="1"/>
        <v>4.2462515784127426</v>
      </c>
      <c r="K29" s="314"/>
      <c r="L29" s="316">
        <f>((D29*DATA!$D$23)/1000000)+((E29*DATA!$D$24)/1000000)</f>
        <v>5.3396112000000002</v>
      </c>
      <c r="M29" s="316">
        <f t="shared" si="2"/>
        <v>5.3396112000000002</v>
      </c>
      <c r="N29" s="316">
        <f t="shared" ca="1" si="6"/>
        <v>1.0933596215872576</v>
      </c>
      <c r="O29" s="315">
        <f>1/(1+'[93]Asumsi I'!$C$3)^(KKF!A29)</f>
        <v>8.2642510427844609E-2</v>
      </c>
      <c r="P29" s="316">
        <f t="shared" ca="1" si="7"/>
        <v>9.0357983928409172E-2</v>
      </c>
      <c r="Q29" s="316">
        <f t="shared" ca="1" si="9"/>
        <v>9.0403517048819033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3696</v>
      </c>
      <c r="D30" s="316">
        <f t="shared" si="5"/>
        <v>616</v>
      </c>
      <c r="E30" s="316">
        <f t="shared" si="0"/>
        <v>3080</v>
      </c>
      <c r="F30" s="314"/>
      <c r="G30" s="318">
        <f ca="1">DATA!$D$11/1000000</f>
        <v>0.14916957</v>
      </c>
      <c r="H30" s="318">
        <f>C30*DATA!$D$5/1000000</f>
        <v>4.0069261695968148</v>
      </c>
      <c r="I30" s="318">
        <f>(C30*DATA!$D$5*DATA!$D$7)/1000000</f>
        <v>9.0155838815928327E-2</v>
      </c>
      <c r="J30" s="316">
        <f t="shared" ca="1" si="1"/>
        <v>4.2462515784127426</v>
      </c>
      <c r="K30" s="314"/>
      <c r="L30" s="316">
        <f>((D30*DATA!$D$23)/1000000)+((E30*DATA!$D$24)/1000000)</f>
        <v>5.3396112000000002</v>
      </c>
      <c r="M30" s="316">
        <f t="shared" si="2"/>
        <v>5.3396112000000002</v>
      </c>
      <c r="N30" s="316">
        <f t="shared" ca="1" si="6"/>
        <v>1.0933596215872576</v>
      </c>
      <c r="O30" s="315">
        <f>1/(1+'[93]Asumsi I'!$C$3)^(KKF!A30)</f>
        <v>7.3787955739146982E-2</v>
      </c>
      <c r="P30" s="316">
        <f t="shared" ca="1" si="7"/>
        <v>8.0676771364651054E-2</v>
      </c>
      <c r="Q30" s="316">
        <f t="shared" ca="1" si="9"/>
        <v>9.1210284762465541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3696</v>
      </c>
      <c r="D31" s="316">
        <f t="shared" si="5"/>
        <v>616</v>
      </c>
      <c r="E31" s="316">
        <f t="shared" si="0"/>
        <v>3080</v>
      </c>
      <c r="F31" s="314"/>
      <c r="G31" s="318">
        <f ca="1">DATA!$D$11/1000000</f>
        <v>0.14916957</v>
      </c>
      <c r="H31" s="318">
        <f>C31*DATA!$D$5/1000000</f>
        <v>4.0069261695968148</v>
      </c>
      <c r="I31" s="318">
        <f>(C31*DATA!$D$5*DATA!$D$7)/1000000</f>
        <v>9.0155838815928327E-2</v>
      </c>
      <c r="J31" s="316">
        <f t="shared" ca="1" si="1"/>
        <v>4.2462515784127426</v>
      </c>
      <c r="K31" s="314"/>
      <c r="L31" s="316">
        <f>((D31*DATA!$D$23)/1000000)+((E31*DATA!$D$24)/1000000)</f>
        <v>5.3396112000000002</v>
      </c>
      <c r="M31" s="316">
        <f t="shared" si="2"/>
        <v>5.3396112000000002</v>
      </c>
      <c r="N31" s="316">
        <f t="shared" ca="1" si="6"/>
        <v>1.0933596215872576</v>
      </c>
      <c r="O31" s="315">
        <f>1/(1+'[93]Asumsi I'!$C$3)^(KKF!A31)</f>
        <v>6.5882103338524081E-2</v>
      </c>
      <c r="P31" s="316">
        <f t="shared" ca="1" si="7"/>
        <v>7.2032831575581296E-2</v>
      </c>
      <c r="Q31" s="316">
        <f ca="1">Q30+P31</f>
        <v>9.1930613078221359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3696</v>
      </c>
      <c r="D32" s="316">
        <f t="shared" si="5"/>
        <v>616</v>
      </c>
      <c r="E32" s="316">
        <f t="shared" si="0"/>
        <v>3080</v>
      </c>
      <c r="F32" s="314"/>
      <c r="G32" s="318">
        <f ca="1">DATA!$D$11/1000000</f>
        <v>0.14916957</v>
      </c>
      <c r="H32" s="318">
        <f>C32*DATA!$D$5/1000000</f>
        <v>4.0069261695968148</v>
      </c>
      <c r="I32" s="318">
        <f>(C32*DATA!$D$5*DATA!$D$7)/1000000</f>
        <v>9.0155838815928327E-2</v>
      </c>
      <c r="J32" s="316">
        <f t="shared" ca="1" si="1"/>
        <v>4.2462515784127426</v>
      </c>
      <c r="K32" s="314"/>
      <c r="L32" s="316">
        <f>((D32*DATA!$D$23)/1000000)+((E32*DATA!$D$24)/1000000)</f>
        <v>5.3396112000000002</v>
      </c>
      <c r="M32" s="316">
        <f t="shared" si="2"/>
        <v>5.3396112000000002</v>
      </c>
      <c r="N32" s="316">
        <f t="shared" ca="1" si="6"/>
        <v>1.0933596215872576</v>
      </c>
      <c r="O32" s="315">
        <f>1/(1+'[93]Asumsi I'!$C$3)^(KKF!A32)</f>
        <v>5.8823306552253637E-2</v>
      </c>
      <c r="P32" s="316">
        <f t="shared" ca="1" si="7"/>
        <v>6.431502819248329E-2</v>
      </c>
      <c r="Q32" s="316">
        <f ca="1">Q31+P32</f>
        <v>9.2573763360146195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9" t="s">
        <v>1374</v>
      </c>
      <c r="G33" s="609"/>
      <c r="H33" s="609"/>
      <c r="I33" s="324"/>
      <c r="J33" s="325">
        <f ca="1">SUM(J7:J32)</f>
        <v>116.49532553592699</v>
      </c>
      <c r="K33" s="609" t="s">
        <v>1375</v>
      </c>
      <c r="L33" s="609"/>
      <c r="M33" s="325">
        <f>SUM(M7:M32)</f>
        <v>144.51132080000011</v>
      </c>
      <c r="N33" s="323"/>
      <c r="O33" s="323"/>
      <c r="P33" s="326"/>
      <c r="Q33" s="326"/>
      <c r="S33" s="304">
        <f ca="1">COUNTIF(S7:S32,"a")</f>
        <v>0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9.4562080686673404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1.2404902955134711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8.2655145857273382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79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O38" sqref="O3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2" t="s">
        <v>1036</v>
      </c>
      <c r="P3" s="632"/>
      <c r="Q3" s="346"/>
      <c r="T3" s="344"/>
      <c r="U3" s="345" t="s">
        <v>1041</v>
      </c>
      <c r="V3" s="344"/>
    </row>
    <row r="4" spans="1:22" ht="15.75" customHeight="1">
      <c r="B4" s="633" t="s">
        <v>1023</v>
      </c>
      <c r="C4" s="633"/>
      <c r="D4" s="633"/>
      <c r="E4" s="633"/>
      <c r="F4" s="633"/>
      <c r="G4" s="633"/>
      <c r="H4" s="633"/>
      <c r="I4" s="633"/>
      <c r="J4" s="633"/>
      <c r="K4" s="633"/>
      <c r="O4" s="632"/>
      <c r="P4" s="63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6" t="str">
        <f>DATA!D14</f>
        <v>AIRYS DEPO ISI ULANG</v>
      </c>
      <c r="H6" s="616"/>
      <c r="I6" s="616"/>
      <c r="J6" s="616"/>
      <c r="K6" s="61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5" t="s">
        <v>0</v>
      </c>
      <c r="C11" s="637" t="s">
        <v>1</v>
      </c>
      <c r="D11" s="626" t="s">
        <v>42</v>
      </c>
      <c r="E11" s="626" t="s">
        <v>43</v>
      </c>
      <c r="F11" s="626" t="s">
        <v>2</v>
      </c>
      <c r="G11" s="640" t="s">
        <v>41</v>
      </c>
      <c r="H11" s="626" t="s">
        <v>3</v>
      </c>
      <c r="I11" s="626"/>
      <c r="J11" s="626"/>
      <c r="K11" s="62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6"/>
      <c r="C12" s="638"/>
      <c r="D12" s="630"/>
      <c r="E12" s="630"/>
      <c r="F12" s="630"/>
      <c r="G12" s="641"/>
      <c r="H12" s="628" t="s">
        <v>46</v>
      </c>
      <c r="I12" s="628" t="s">
        <v>5</v>
      </c>
      <c r="J12" s="630" t="s">
        <v>47</v>
      </c>
      <c r="K12" s="63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6"/>
      <c r="C13" s="639"/>
      <c r="D13" s="630"/>
      <c r="E13" s="630"/>
      <c r="F13" s="630"/>
      <c r="G13" s="642"/>
      <c r="H13" s="629"/>
      <c r="I13" s="629"/>
      <c r="J13" s="630"/>
      <c r="K13" s="63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1631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511"/>
      <c r="C18" s="512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0</v>
      </c>
      <c r="K18" s="362">
        <f t="shared" ref="K18" ca="1" si="15">SUM(H18:J18)</f>
        <v>0</v>
      </c>
      <c r="L18" s="342"/>
      <c r="M18" s="342"/>
      <c r="N18" s="369"/>
      <c r="O18" s="344"/>
      <c r="P18" s="397"/>
      <c r="Q18" s="344"/>
    </row>
    <row r="19" spans="1:22" s="365" customFormat="1">
      <c r="A19" s="336"/>
      <c r="B19" s="511" t="s">
        <v>1035</v>
      </c>
      <c r="C19" s="512" t="s">
        <v>1620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1">
        <v>2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25" ca="1" si="16">IF(OR(D19="MDU",D19="MDU-KD"),(IF($O$3="RAB NON MDU","PLN KD",G19*F19)),0)</f>
        <v>0</v>
      </c>
      <c r="I19" s="361">
        <f t="shared" ref="I19:I25" ca="1" si="17">IF(D19="HDW",G19*F19,0)</f>
        <v>0</v>
      </c>
      <c r="J19" s="361">
        <f t="shared" ref="J19:J25" ca="1" si="18">IF(D19="JASA",G19*F19,0)</f>
        <v>0</v>
      </c>
      <c r="K19" s="362">
        <f t="shared" ref="K19:K25" ca="1" si="19">SUM(H19:J19)</f>
        <v>0</v>
      </c>
      <c r="L19" s="342"/>
      <c r="M19" s="342"/>
      <c r="N19" s="369"/>
      <c r="O19" s="344"/>
      <c r="P19" s="397"/>
      <c r="Q19" s="344"/>
    </row>
    <row r="20" spans="1:22" s="365" customFormat="1">
      <c r="A20" s="336"/>
      <c r="B20" s="511">
        <v>1</v>
      </c>
      <c r="C20" s="512" t="s">
        <v>595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501">
        <f>F19*1</f>
        <v>2</v>
      </c>
      <c r="G20" s="360">
        <f ca="1">IF(ISERROR(OFFSET('HARGA SATUAN'!$I$6,MATCH(RAB!C20,'HARGA SATUAN'!$C$7:$C$1492,0),0)),0,OFFSET('HARGA SATUAN'!$I$6,MATCH(RAB!C20,'HARGA SATUAN'!$C$7:$C$1492,0),0))</f>
        <v>78500</v>
      </c>
      <c r="H20" s="361">
        <f t="shared" ca="1" si="16"/>
        <v>0</v>
      </c>
      <c r="I20" s="361">
        <f t="shared" ca="1" si="17"/>
        <v>157000</v>
      </c>
      <c r="J20" s="361">
        <f t="shared" ca="1" si="18"/>
        <v>0</v>
      </c>
      <c r="K20" s="362">
        <f t="shared" ca="1" si="19"/>
        <v>157000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511">
        <v>2</v>
      </c>
      <c r="C21" s="512" t="s">
        <v>229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501">
        <f>F19*1</f>
        <v>2</v>
      </c>
      <c r="G21" s="360">
        <f ca="1">IF(ISERROR(OFFSET('HARGA SATUAN'!$I$6,MATCH(RAB!C21,'HARGA SATUAN'!$C$7:$C$1492,0),0)),0,OFFSET('HARGA SATUAN'!$I$6,MATCH(RAB!C21,'HARGA SATUAN'!$C$7:$C$1492,0),0))</f>
        <v>4212</v>
      </c>
      <c r="H21" s="361">
        <f t="shared" ca="1" si="16"/>
        <v>0</v>
      </c>
      <c r="I21" s="361">
        <f t="shared" ca="1" si="17"/>
        <v>8424</v>
      </c>
      <c r="J21" s="361">
        <f t="shared" ca="1" si="18"/>
        <v>0</v>
      </c>
      <c r="K21" s="362">
        <f t="shared" ca="1" si="19"/>
        <v>8424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11">
        <v>3</v>
      </c>
      <c r="C22" s="512" t="s">
        <v>266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Mtr</v>
      </c>
      <c r="F22" s="501">
        <f>F19*1</f>
        <v>2</v>
      </c>
      <c r="G22" s="360">
        <f ca="1">IF(ISERROR(OFFSET('HARGA SATUAN'!$I$6,MATCH(RAB!C22,'HARGA SATUAN'!$C$7:$C$1492,0),0)),0,OFFSET('HARGA SATUAN'!$I$6,MATCH(RAB!C22,'HARGA SATUAN'!$C$7:$C$1492,0),0))</f>
        <v>23310</v>
      </c>
      <c r="H22" s="361">
        <f t="shared" ca="1" si="16"/>
        <v>0</v>
      </c>
      <c r="I22" s="361">
        <f t="shared" ca="1" si="17"/>
        <v>46620</v>
      </c>
      <c r="J22" s="361">
        <f t="shared" ca="1" si="18"/>
        <v>0</v>
      </c>
      <c r="K22" s="362">
        <f t="shared" ca="1" si="19"/>
        <v>46620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1">
        <v>4</v>
      </c>
      <c r="C23" s="512" t="s">
        <v>35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F19*1</f>
        <v>2</v>
      </c>
      <c r="G23" s="360">
        <f ca="1">IF(ISERROR(OFFSET('HARGA SATUAN'!$I$6,MATCH(RAB!C23,'HARGA SATUAN'!$C$7:$C$1492,0),0)),0,OFFSET('HARGA SATUAN'!$I$6,MATCH(RAB!C23,'HARGA SATUAN'!$C$7:$C$1492,0),0))</f>
        <v>2300</v>
      </c>
      <c r="H23" s="361">
        <f t="shared" ca="1" si="16"/>
        <v>0</v>
      </c>
      <c r="I23" s="361">
        <f t="shared" ca="1" si="17"/>
        <v>4600</v>
      </c>
      <c r="J23" s="361">
        <f t="shared" ca="1" si="18"/>
        <v>0</v>
      </c>
      <c r="K23" s="362">
        <f t="shared" ca="1" si="19"/>
        <v>4600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1">
        <v>5</v>
      </c>
      <c r="C24" s="512" t="s">
        <v>630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1">
        <f>F19*1</f>
        <v>2</v>
      </c>
      <c r="G24" s="360">
        <f ca="1">IF(ISERROR(OFFSET('HARGA SATUAN'!$I$6,MATCH(RAB!C24,'HARGA SATUAN'!$C$7:$C$1492,0),0)),0,OFFSET('HARGA SATUAN'!$I$6,MATCH(RAB!C24,'HARGA SATUAN'!$C$7:$C$1492,0),0))</f>
        <v>35700</v>
      </c>
      <c r="H24" s="361">
        <f t="shared" ca="1" si="16"/>
        <v>0</v>
      </c>
      <c r="I24" s="361">
        <f t="shared" ca="1" si="17"/>
        <v>0</v>
      </c>
      <c r="J24" s="361">
        <f t="shared" ca="1" si="18"/>
        <v>71400</v>
      </c>
      <c r="K24" s="362">
        <f t="shared" ca="1" si="19"/>
        <v>71400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1"/>
      <c r="C25" s="512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501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6"/>
        <v>0</v>
      </c>
      <c r="I25" s="361">
        <f t="shared" ca="1" si="17"/>
        <v>0</v>
      </c>
      <c r="J25" s="361">
        <f t="shared" ca="1" si="18"/>
        <v>0</v>
      </c>
      <c r="K25" s="362">
        <f t="shared" ca="1" si="19"/>
        <v>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4" t="s">
        <v>1035</v>
      </c>
      <c r="C26" s="515" t="s">
        <v>1623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1">
        <v>1</v>
      </c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ref="H26:H32" ca="1" si="20">IF(OR(D26="MDU",D26="MDU-KD"),(IF($O$3="RAB NON MDU","PLN KD",G26*F26)),0)</f>
        <v>0</v>
      </c>
      <c r="I26" s="361">
        <f t="shared" ref="I26:I32" ca="1" si="21">IF(D26="HDW",G26*F26,0)</f>
        <v>0</v>
      </c>
      <c r="J26" s="361">
        <f t="shared" ref="J26:J32" ca="1" si="22">IF(D26="JASA",G26*F26,0)</f>
        <v>0</v>
      </c>
      <c r="K26" s="362">
        <f t="shared" ref="K26:K32" ca="1" si="23">SUM(H26:J26)</f>
        <v>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4">
        <v>1</v>
      </c>
      <c r="C27" s="515" t="s">
        <v>229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F26*1</f>
        <v>1</v>
      </c>
      <c r="G27" s="360">
        <f ca="1">IF(ISERROR(OFFSET('HARGA SATUAN'!$I$6,MATCH(RAB!C27,'HARGA SATUAN'!$C$7:$C$1492,0),0)),0,OFFSET('HARGA SATUAN'!$I$6,MATCH(RAB!C27,'HARGA SATUAN'!$C$7:$C$1492,0),0))</f>
        <v>4212</v>
      </c>
      <c r="H27" s="361">
        <f t="shared" ca="1" si="20"/>
        <v>0</v>
      </c>
      <c r="I27" s="361">
        <f t="shared" ca="1" si="21"/>
        <v>4212</v>
      </c>
      <c r="J27" s="361">
        <f t="shared" ca="1" si="22"/>
        <v>0</v>
      </c>
      <c r="K27" s="362">
        <f t="shared" ca="1" si="23"/>
        <v>4212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4">
        <v>2</v>
      </c>
      <c r="C28" s="515" t="s">
        <v>266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1">
        <f>F26*1</f>
        <v>1</v>
      </c>
      <c r="G28" s="360">
        <f ca="1">IF(ISERROR(OFFSET('HARGA SATUAN'!$I$6,MATCH(RAB!C28,'HARGA SATUAN'!$C$7:$C$1492,0),0)),0,OFFSET('HARGA SATUAN'!$I$6,MATCH(RAB!C28,'HARGA SATUAN'!$C$7:$C$1492,0),0))</f>
        <v>23310</v>
      </c>
      <c r="H28" s="361">
        <f t="shared" ca="1" si="20"/>
        <v>0</v>
      </c>
      <c r="I28" s="361">
        <f t="shared" ca="1" si="21"/>
        <v>23310</v>
      </c>
      <c r="J28" s="361">
        <f t="shared" ca="1" si="22"/>
        <v>0</v>
      </c>
      <c r="K28" s="362">
        <f t="shared" ca="1" si="23"/>
        <v>23310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4">
        <v>3</v>
      </c>
      <c r="C29" s="515" t="s">
        <v>35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F26*1</f>
        <v>1</v>
      </c>
      <c r="G29" s="360">
        <f ca="1">IF(ISERROR(OFFSET('HARGA SATUAN'!$I$6,MATCH(RAB!C29,'HARGA SATUAN'!$C$7:$C$1492,0),0)),0,OFFSET('HARGA SATUAN'!$I$6,MATCH(RAB!C29,'HARGA SATUAN'!$C$7:$C$1492,0),0))</f>
        <v>2300</v>
      </c>
      <c r="H29" s="361">
        <f t="shared" ca="1" si="20"/>
        <v>0</v>
      </c>
      <c r="I29" s="361">
        <f t="shared" ca="1" si="21"/>
        <v>2300</v>
      </c>
      <c r="J29" s="361">
        <f t="shared" ca="1" si="22"/>
        <v>0</v>
      </c>
      <c r="K29" s="362">
        <f t="shared" ca="1" si="23"/>
        <v>2300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4">
        <v>4</v>
      </c>
      <c r="C30" s="515" t="s">
        <v>609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F26*1</f>
        <v>1</v>
      </c>
      <c r="G30" s="360">
        <f ca="1">IF(ISERROR(OFFSET('HARGA SATUAN'!$I$6,MATCH(RAB!C30,'HARGA SATUAN'!$C$7:$C$1492,0),0)),0,OFFSET('HARGA SATUAN'!$I$6,MATCH(RAB!C30,'HARGA SATUAN'!$C$7:$C$1492,0),0))</f>
        <v>71000</v>
      </c>
      <c r="H30" s="361">
        <f t="shared" ca="1" si="20"/>
        <v>0</v>
      </c>
      <c r="I30" s="361">
        <f t="shared" ca="1" si="21"/>
        <v>71000</v>
      </c>
      <c r="J30" s="361">
        <f t="shared" ca="1" si="22"/>
        <v>0</v>
      </c>
      <c r="K30" s="362">
        <f t="shared" ca="1" si="23"/>
        <v>71000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4">
        <v>5</v>
      </c>
      <c r="C31" s="515" t="s">
        <v>629</v>
      </c>
      <c r="D31" s="358" t="str">
        <f ca="1">IF(ISERROR(OFFSET('HARGA SATUAN'!$D$6,MATCH(RAB!C31,'HARGA SATUAN'!$C$7:$C$1492,0),0)),"",OFFSET('HARGA SATUAN'!$D$6,MATCH(RAB!C31,'HARGA SATUAN'!$C$7:$C$1492,0),0))</f>
        <v>JASA</v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501">
        <f>F26*1</f>
        <v>1</v>
      </c>
      <c r="G31" s="360">
        <f ca="1">IF(ISERROR(OFFSET('HARGA SATUAN'!$I$6,MATCH(RAB!C31,'HARGA SATUAN'!$C$7:$C$1492,0),0)),0,OFFSET('HARGA SATUAN'!$I$6,MATCH(RAB!C31,'HARGA SATUAN'!$C$7:$C$1492,0),0))</f>
        <v>29400</v>
      </c>
      <c r="H31" s="361">
        <f t="shared" ca="1" si="20"/>
        <v>0</v>
      </c>
      <c r="I31" s="361">
        <f t="shared" ca="1" si="21"/>
        <v>0</v>
      </c>
      <c r="J31" s="361">
        <f t="shared" ca="1" si="22"/>
        <v>29400</v>
      </c>
      <c r="K31" s="362">
        <f t="shared" ca="1" si="23"/>
        <v>29400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1"/>
      <c r="C32" s="512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501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20"/>
        <v>0</v>
      </c>
      <c r="I32" s="361">
        <f t="shared" ca="1" si="21"/>
        <v>0</v>
      </c>
      <c r="J32" s="361">
        <f t="shared" ca="1" si="22"/>
        <v>0</v>
      </c>
      <c r="K32" s="362">
        <f t="shared" ca="1" si="23"/>
        <v>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498"/>
      <c r="C33" s="507" t="s">
        <v>1621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501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ref="H33" ca="1" si="24">IF(OR(D33="MDU",D33="MDU-KD"),(IF($O$3="RAB NON MDU","PLN KD",G33*F33)),0)</f>
        <v>0</v>
      </c>
      <c r="I33" s="361">
        <f t="shared" ref="I33" ca="1" si="25">IF(D33="HDW",G33*F33,0)</f>
        <v>0</v>
      </c>
      <c r="J33" s="361">
        <f t="shared" ref="J33" ca="1" si="26">IF(D33="JASA",G33*F33,0)</f>
        <v>0</v>
      </c>
      <c r="K33" s="362">
        <f t="shared" ref="K33" ca="1" si="27">SUM(H33:J33)</f>
        <v>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498">
        <v>1</v>
      </c>
      <c r="C34" s="109" t="s">
        <v>1402</v>
      </c>
      <c r="D34" s="358" t="str">
        <f ca="1">IF(ISERROR(OFFSET('HARGA SATUAN'!$D$6,MATCH(RAB!C34,'HARGA SATUAN'!$C$7:$C$1492,0),0)),"",OFFSET('HARGA SATUAN'!$D$6,MATCH(RAB!C34,'HARGA SATUAN'!$C$7:$C$1492,0),0))</f>
        <v>MDU-KD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501">
        <v>100</v>
      </c>
      <c r="G34" s="360">
        <f ca="1">IF(ISERROR(OFFSET('HARGA SATUAN'!$I$6,MATCH(RAB!C34,'HARGA SATUAN'!$C$7:$C$1492,0),0)),0,OFFSET('HARGA SATUAN'!$I$6,MATCH(RAB!C34,'HARGA SATUAN'!$C$7:$C$1492,0),0))</f>
        <v>53300</v>
      </c>
      <c r="H34" s="361">
        <f t="shared" ref="H34:H35" ca="1" si="28">IF(OR(D34="MDU",D34="MDU-KD"),(IF($O$3="RAB NON MDU","PLN KD",G34*F34)),0)</f>
        <v>5330000</v>
      </c>
      <c r="I34" s="361">
        <f t="shared" ref="I34:I35" ca="1" si="29">IF(D34="HDW",G34*F34,0)</f>
        <v>0</v>
      </c>
      <c r="J34" s="361">
        <f t="shared" ref="J34:J35" ca="1" si="30">IF(D34="JASA",G34*F34,0)</f>
        <v>0</v>
      </c>
      <c r="K34" s="362">
        <f t="shared" ref="K34:K35" ca="1" si="31">SUM(H34:J34)</f>
        <v>5330000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498">
        <v>2</v>
      </c>
      <c r="C35" s="109" t="s">
        <v>347</v>
      </c>
      <c r="D35" s="504" t="s">
        <v>47</v>
      </c>
      <c r="E35" s="505" t="s">
        <v>297</v>
      </c>
      <c r="F35" s="505">
        <f>F34/50</f>
        <v>2</v>
      </c>
      <c r="G35" s="506">
        <v>85000</v>
      </c>
      <c r="H35" s="361">
        <f t="shared" si="28"/>
        <v>0</v>
      </c>
      <c r="I35" s="361">
        <f t="shared" si="29"/>
        <v>0</v>
      </c>
      <c r="J35" s="361">
        <f t="shared" si="30"/>
        <v>170000</v>
      </c>
      <c r="K35" s="362">
        <f t="shared" si="31"/>
        <v>170000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498"/>
      <c r="C36" s="499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38" ca="1" si="32">IF(OR(D36="MDU",D36="MDU-KD"),(IF($O$3="RAB NON MDU","PLN KD",G36*F36)),0)</f>
        <v>0</v>
      </c>
      <c r="I36" s="361">
        <f t="shared" ref="I36:I38" ca="1" si="33">IF(D36="HDW",G36*F36,0)</f>
        <v>0</v>
      </c>
      <c r="J36" s="361">
        <f t="shared" ref="J36:J38" ca="1" si="34">IF(D36="JASA",G36*F36,0)</f>
        <v>0</v>
      </c>
      <c r="K36" s="362">
        <f t="shared" ref="K36:K38" ca="1" si="35">SUM(H36:J36)</f>
        <v>0</v>
      </c>
      <c r="L36" s="342"/>
      <c r="M36" s="342"/>
      <c r="N36" s="369"/>
      <c r="O36" s="344"/>
      <c r="P36" s="397"/>
      <c r="Q36" s="344"/>
    </row>
    <row r="37" spans="1:17">
      <c r="B37" s="366" t="s">
        <v>1614</v>
      </c>
      <c r="C37" s="367" t="s">
        <v>1616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501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32"/>
        <v>0</v>
      </c>
      <c r="I37" s="361">
        <f t="shared" ca="1" si="33"/>
        <v>0</v>
      </c>
      <c r="J37" s="361">
        <f t="shared" ca="1" si="34"/>
        <v>0</v>
      </c>
      <c r="K37" s="362">
        <f t="shared" ca="1" si="35"/>
        <v>0</v>
      </c>
    </row>
    <row r="38" spans="1:17">
      <c r="B38" s="494"/>
      <c r="C38" s="497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501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32"/>
        <v>0</v>
      </c>
      <c r="I38" s="361">
        <f t="shared" ca="1" si="33"/>
        <v>0</v>
      </c>
      <c r="J38" s="361">
        <f t="shared" ca="1" si="34"/>
        <v>0</v>
      </c>
      <c r="K38" s="362">
        <f t="shared" ca="1" si="35"/>
        <v>0</v>
      </c>
    </row>
    <row r="39" spans="1:17">
      <c r="B39" s="495" t="s">
        <v>1615</v>
      </c>
      <c r="C39" s="500" t="s">
        <v>1619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45" ca="1" si="36">IF(OR(D39="MDU",D39="MDU-KD"),(IF($O$3="RAB NON MDU","PLN KD",G39*F39)),0)</f>
        <v>0</v>
      </c>
      <c r="I39" s="361">
        <f t="shared" ref="I39:I45" ca="1" si="37">IF(D39="HDW",G39*F39,0)</f>
        <v>0</v>
      </c>
      <c r="J39" s="361">
        <f t="shared" ref="J39:J45" ca="1" si="38">IF(D39="JASA",G39*F39,0)</f>
        <v>0</v>
      </c>
      <c r="K39" s="362">
        <f t="shared" ref="K39:K45" ca="1" si="39">SUM(H39:J39)</f>
        <v>0</v>
      </c>
    </row>
    <row r="40" spans="1:17">
      <c r="B40" s="495"/>
      <c r="C40" s="496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3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36"/>
        <v>0</v>
      </c>
      <c r="I40" s="361">
        <f t="shared" ca="1" si="37"/>
        <v>0</v>
      </c>
      <c r="J40" s="361">
        <f t="shared" ca="1" si="38"/>
        <v>0</v>
      </c>
      <c r="K40" s="362">
        <f t="shared" ca="1" si="39"/>
        <v>0</v>
      </c>
    </row>
    <row r="41" spans="1:17">
      <c r="B41" s="495" t="s">
        <v>1035</v>
      </c>
      <c r="C41" s="496" t="s">
        <v>1633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10">
        <v>1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36"/>
        <v>0</v>
      </c>
      <c r="I41" s="361">
        <f t="shared" ca="1" si="37"/>
        <v>0</v>
      </c>
      <c r="J41" s="361">
        <f t="shared" ca="1" si="38"/>
        <v>0</v>
      </c>
      <c r="K41" s="362">
        <f t="shared" ca="1" si="39"/>
        <v>0</v>
      </c>
    </row>
    <row r="42" spans="1:17">
      <c r="B42" s="713">
        <v>1</v>
      </c>
      <c r="C42" s="109" t="s">
        <v>482</v>
      </c>
      <c r="D42" s="358" t="str">
        <f ca="1">IF(ISERROR(OFFSET('HARGA SATUAN'!$D$6,MATCH(RAB!C42,'HARGA SATUAN'!$C$7:$C$1492,0),0)),"",OFFSET('HARGA SATUAN'!$D$6,MATCH(RAB!C42,'HARGA SATUAN'!$C$7:$C$1492,0),0))</f>
        <v>MDU-KD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10">
        <f>F41*1</f>
        <v>1</v>
      </c>
      <c r="G42" s="360">
        <f ca="1">IF(ISERROR(OFFSET('HARGA SATUAN'!$I$6,MATCH(RAB!C42,'HARGA SATUAN'!$C$7:$C$1492,0),0)),0,OFFSET('HARGA SATUAN'!$I$6,MATCH(RAB!C42,'HARGA SATUAN'!$C$7:$C$1492,0),0))</f>
        <v>327600</v>
      </c>
      <c r="H42" s="361">
        <f t="shared" ca="1" si="36"/>
        <v>327600</v>
      </c>
      <c r="I42" s="361">
        <f t="shared" ca="1" si="37"/>
        <v>0</v>
      </c>
      <c r="J42" s="361">
        <f t="shared" ca="1" si="38"/>
        <v>0</v>
      </c>
      <c r="K42" s="362">
        <f t="shared" ca="1" si="39"/>
        <v>327600</v>
      </c>
    </row>
    <row r="43" spans="1:17">
      <c r="B43" s="713">
        <v>2</v>
      </c>
      <c r="C43" s="714" t="s">
        <v>492</v>
      </c>
      <c r="D43" s="358" t="str">
        <f ca="1">IF(ISERROR(OFFSET('HARGA SATUAN'!$D$6,MATCH(RAB!C43,'HARGA SATUAN'!$C$7:$C$1492,0),0)),"",OFFSET('HARGA SATUAN'!$D$6,MATCH(RAB!C43,'HARGA SATUAN'!$C$7:$C$1492,0),0))</f>
        <v>MDU-KD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10">
        <f>F41*1</f>
        <v>1</v>
      </c>
      <c r="G43" s="360">
        <f ca="1">IF(ISERROR(OFFSET('HARGA SATUAN'!$I$6,MATCH(RAB!C43,'HARGA SATUAN'!$C$7:$C$1492,0),0)),0,OFFSET('HARGA SATUAN'!$I$6,MATCH(RAB!C43,'HARGA SATUAN'!$C$7:$C$1492,0),0))</f>
        <v>39000</v>
      </c>
      <c r="H43" s="361">
        <f t="shared" ca="1" si="36"/>
        <v>39000</v>
      </c>
      <c r="I43" s="361">
        <f t="shared" ca="1" si="37"/>
        <v>0</v>
      </c>
      <c r="J43" s="361">
        <f t="shared" ca="1" si="38"/>
        <v>0</v>
      </c>
      <c r="K43" s="362">
        <f t="shared" ca="1" si="39"/>
        <v>39000</v>
      </c>
    </row>
    <row r="44" spans="1:17">
      <c r="B44" s="713">
        <v>3</v>
      </c>
      <c r="C44" s="714" t="s">
        <v>74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10">
        <f>F41*35</f>
        <v>35</v>
      </c>
      <c r="G44" s="360">
        <f ca="1">IF(ISERROR(OFFSET('HARGA SATUAN'!$I$6,MATCH(RAB!C44,'HARGA SATUAN'!$C$7:$C$1492,0),0)),0,OFFSET('HARGA SATUAN'!$I$6,MATCH(RAB!C44,'HARGA SATUAN'!$C$7:$C$1492,0),0))</f>
        <v>6600</v>
      </c>
      <c r="H44" s="361">
        <f t="shared" ca="1" si="36"/>
        <v>231000</v>
      </c>
      <c r="I44" s="361">
        <f t="shared" ca="1" si="37"/>
        <v>0</v>
      </c>
      <c r="J44" s="361">
        <f t="shared" ca="1" si="38"/>
        <v>0</v>
      </c>
      <c r="K44" s="362">
        <f t="shared" ca="1" si="39"/>
        <v>231000</v>
      </c>
    </row>
    <row r="45" spans="1:17">
      <c r="B45" s="713">
        <v>4</v>
      </c>
      <c r="C45" s="714" t="s">
        <v>798</v>
      </c>
      <c r="D45" s="358" t="str">
        <f ca="1">IF(ISERROR(OFFSET('HARGA SATUAN'!$D$6,MATCH(RAB!C45,'HARGA SATUAN'!$C$7:$C$1492,0),0)),"",OFFSET('HARGA SATUAN'!$D$6,MATCH(RAB!C45,'HARGA SATUAN'!$C$7:$C$1492,0),0))</f>
        <v>JASA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510">
        <f>F41*1</f>
        <v>1</v>
      </c>
      <c r="G45" s="360">
        <f ca="1">IF(ISERROR(OFFSET('HARGA SATUAN'!$I$6,MATCH(RAB!C45,'HARGA SATUAN'!$C$7:$C$1492,0),0)),0,OFFSET('HARGA SATUAN'!$I$6,MATCH(RAB!C45,'HARGA SATUAN'!$C$7:$C$1492,0),0))</f>
        <v>54400</v>
      </c>
      <c r="H45" s="361">
        <f t="shared" ca="1" si="36"/>
        <v>0</v>
      </c>
      <c r="I45" s="361">
        <f t="shared" ca="1" si="37"/>
        <v>0</v>
      </c>
      <c r="J45" s="361">
        <f t="shared" ca="1" si="38"/>
        <v>54400</v>
      </c>
      <c r="K45" s="362">
        <f t="shared" ca="1" si="39"/>
        <v>54400</v>
      </c>
    </row>
    <row r="46" spans="1:17">
      <c r="B46" s="374"/>
      <c r="C46" s="502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58" ca="1" si="40">IF(OR(D46="MDU",D46="MDU-KD"),(IF($O$3="RAB NON MDU","PLN KD",G46*F46)),0)</f>
        <v>0</v>
      </c>
      <c r="I46" s="361">
        <f t="shared" ref="I46:I58" ca="1" si="41">IF(D46="HDW",G46*F46,0)</f>
        <v>0</v>
      </c>
      <c r="J46" s="361">
        <f t="shared" ref="J46:J58" ca="1" si="42">IF(D46="JASA",G46*F46,0)</f>
        <v>0</v>
      </c>
      <c r="K46" s="362">
        <f t="shared" ref="K46:K58" ca="1" si="43">SUM(H46:J46)</f>
        <v>0</v>
      </c>
    </row>
    <row r="47" spans="1:17">
      <c r="B47" s="508" t="s">
        <v>1035</v>
      </c>
      <c r="C47" s="509" t="s">
        <v>1622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10">
        <v>1</v>
      </c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40"/>
        <v>0</v>
      </c>
      <c r="I47" s="361">
        <f t="shared" ca="1" si="41"/>
        <v>0</v>
      </c>
      <c r="J47" s="361">
        <f t="shared" ca="1" si="42"/>
        <v>0</v>
      </c>
      <c r="K47" s="362">
        <f t="shared" ca="1" si="43"/>
        <v>0</v>
      </c>
    </row>
    <row r="48" spans="1:17">
      <c r="B48" s="508">
        <v>1</v>
      </c>
      <c r="C48" s="509" t="s">
        <v>115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Set</v>
      </c>
      <c r="F48" s="510">
        <f>F47*1</f>
        <v>1</v>
      </c>
      <c r="G48" s="360">
        <f ca="1">IF(ISERROR(OFFSET('HARGA SATUAN'!$I$6,MATCH(RAB!C48,'HARGA SATUAN'!$C$7:$C$1492,0),0)),0,OFFSET('HARGA SATUAN'!$I$6,MATCH(RAB!C48,'HARGA SATUAN'!$C$7:$C$1492,0),0))</f>
        <v>11500</v>
      </c>
      <c r="H48" s="361">
        <f t="shared" ca="1" si="40"/>
        <v>0</v>
      </c>
      <c r="I48" s="361">
        <f t="shared" ca="1" si="41"/>
        <v>11500</v>
      </c>
      <c r="J48" s="361">
        <f t="shared" ca="1" si="42"/>
        <v>0</v>
      </c>
      <c r="K48" s="362">
        <f t="shared" ca="1" si="43"/>
        <v>11500</v>
      </c>
    </row>
    <row r="49" spans="2:13">
      <c r="B49" s="508">
        <v>2</v>
      </c>
      <c r="C49" s="509" t="s">
        <v>145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Set</v>
      </c>
      <c r="F49" s="510">
        <f>F47*1</f>
        <v>1</v>
      </c>
      <c r="G49" s="360">
        <f ca="1">IF(ISERROR(OFFSET('HARGA SATUAN'!$I$6,MATCH(RAB!C49,'HARGA SATUAN'!$C$7:$C$1492,0),0)),0,OFFSET('HARGA SATUAN'!$I$6,MATCH(RAB!C49,'HARGA SATUAN'!$C$7:$C$1492,0),0))</f>
        <v>6200</v>
      </c>
      <c r="H49" s="361">
        <f t="shared" ca="1" si="40"/>
        <v>0</v>
      </c>
      <c r="I49" s="361">
        <f t="shared" ca="1" si="41"/>
        <v>6200</v>
      </c>
      <c r="J49" s="361">
        <f t="shared" ca="1" si="42"/>
        <v>0</v>
      </c>
      <c r="K49" s="362">
        <f t="shared" ca="1" si="43"/>
        <v>6200</v>
      </c>
    </row>
    <row r="50" spans="2:13">
      <c r="B50" s="508">
        <v>3</v>
      </c>
      <c r="C50" s="509" t="s">
        <v>587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Btg</v>
      </c>
      <c r="F50" s="510">
        <f>F47*1</f>
        <v>1</v>
      </c>
      <c r="G50" s="360">
        <f ca="1">IF(ISERROR(OFFSET('HARGA SATUAN'!$I$6,MATCH(RAB!C50,'HARGA SATUAN'!$C$7:$C$1492,0),0)),0,OFFSET('HARGA SATUAN'!$I$6,MATCH(RAB!C50,'HARGA SATUAN'!$C$7:$C$1492,0),0))</f>
        <v>45796</v>
      </c>
      <c r="H50" s="361">
        <f t="shared" ca="1" si="40"/>
        <v>0</v>
      </c>
      <c r="I50" s="361">
        <f t="shared" ca="1" si="41"/>
        <v>45796</v>
      </c>
      <c r="J50" s="361">
        <f t="shared" ca="1" si="42"/>
        <v>0</v>
      </c>
      <c r="K50" s="362">
        <f t="shared" ca="1" si="43"/>
        <v>45796</v>
      </c>
    </row>
    <row r="51" spans="2:13">
      <c r="B51" s="508">
        <v>4</v>
      </c>
      <c r="C51" s="509" t="s">
        <v>118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Set</v>
      </c>
      <c r="F51" s="510">
        <f>F47*1</f>
        <v>1</v>
      </c>
      <c r="G51" s="360">
        <f ca="1">IF(ISERROR(OFFSET('HARGA SATUAN'!$I$6,MATCH(RAB!C51,'HARGA SATUAN'!$C$7:$C$1492,0),0)),0,OFFSET('HARGA SATUAN'!$I$6,MATCH(RAB!C51,'HARGA SATUAN'!$C$7:$C$1492,0),0))</f>
        <v>5300</v>
      </c>
      <c r="H51" s="361">
        <f t="shared" ca="1" si="40"/>
        <v>0</v>
      </c>
      <c r="I51" s="361">
        <f t="shared" ca="1" si="41"/>
        <v>5300</v>
      </c>
      <c r="J51" s="361">
        <f t="shared" ca="1" si="42"/>
        <v>0</v>
      </c>
      <c r="K51" s="362">
        <f t="shared" ca="1" si="43"/>
        <v>5300</v>
      </c>
    </row>
    <row r="52" spans="2:13">
      <c r="B52" s="508">
        <v>5</v>
      </c>
      <c r="C52" s="509" t="s">
        <v>117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0">
        <f>F47*1</f>
        <v>1</v>
      </c>
      <c r="G52" s="360">
        <f ca="1">IF(ISERROR(OFFSET('HARGA SATUAN'!$I$6,MATCH(RAB!C52,'HARGA SATUAN'!$C$7:$C$1492,0),0)),0,OFFSET('HARGA SATUAN'!$I$6,MATCH(RAB!C52,'HARGA SATUAN'!$C$7:$C$1492,0),0))</f>
        <v>58600</v>
      </c>
      <c r="H52" s="361">
        <f t="shared" ca="1" si="40"/>
        <v>0</v>
      </c>
      <c r="I52" s="361">
        <f t="shared" ca="1" si="41"/>
        <v>58600</v>
      </c>
      <c r="J52" s="361">
        <f t="shared" ca="1" si="42"/>
        <v>0</v>
      </c>
      <c r="K52" s="362">
        <f t="shared" ca="1" si="43"/>
        <v>58600</v>
      </c>
    </row>
    <row r="53" spans="2:13">
      <c r="B53" s="508">
        <v>6</v>
      </c>
      <c r="C53" s="109" t="s">
        <v>1154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Set</v>
      </c>
      <c r="F53" s="510">
        <f>F47*1</f>
        <v>1</v>
      </c>
      <c r="G53" s="360">
        <f ca="1">IF(ISERROR(OFFSET('HARGA SATUAN'!$I$6,MATCH(RAB!C53,'HARGA SATUAN'!$C$7:$C$1492,0),0)),0,OFFSET('HARGA SATUAN'!$I$6,MATCH(RAB!C53,'HARGA SATUAN'!$C$7:$C$1492,0),0))</f>
        <v>3888</v>
      </c>
      <c r="H53" s="361">
        <f t="shared" ca="1" si="40"/>
        <v>0</v>
      </c>
      <c r="I53" s="361">
        <f t="shared" ca="1" si="41"/>
        <v>3888</v>
      </c>
      <c r="J53" s="361">
        <f t="shared" ca="1" si="42"/>
        <v>0</v>
      </c>
      <c r="K53" s="362">
        <f t="shared" ca="1" si="43"/>
        <v>3888</v>
      </c>
    </row>
    <row r="54" spans="2:13">
      <c r="B54" s="508">
        <v>7</v>
      </c>
      <c r="C54" s="509" t="s">
        <v>119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Set</v>
      </c>
      <c r="F54" s="510">
        <f>F47*2</f>
        <v>2</v>
      </c>
      <c r="G54" s="360">
        <f ca="1">IF(ISERROR(OFFSET('HARGA SATUAN'!$I$6,MATCH(RAB!C54,'HARGA SATUAN'!$C$7:$C$1492,0),0)),0,OFFSET('HARGA SATUAN'!$I$6,MATCH(RAB!C54,'HARGA SATUAN'!$C$7:$C$1492,0),0))</f>
        <v>8900</v>
      </c>
      <c r="H54" s="361">
        <f t="shared" ca="1" si="40"/>
        <v>0</v>
      </c>
      <c r="I54" s="361">
        <f t="shared" ca="1" si="41"/>
        <v>17800</v>
      </c>
      <c r="J54" s="361">
        <f t="shared" ca="1" si="42"/>
        <v>0</v>
      </c>
      <c r="K54" s="362">
        <f t="shared" ca="1" si="43"/>
        <v>17800</v>
      </c>
    </row>
    <row r="55" spans="2:13">
      <c r="B55" s="374"/>
      <c r="C55" s="502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368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40"/>
        <v>0</v>
      </c>
      <c r="I55" s="361">
        <f t="shared" ca="1" si="41"/>
        <v>0</v>
      </c>
      <c r="J55" s="361">
        <f t="shared" ca="1" si="42"/>
        <v>0</v>
      </c>
      <c r="K55" s="362">
        <f t="shared" ca="1" si="43"/>
        <v>0</v>
      </c>
    </row>
    <row r="56" spans="2:13">
      <c r="B56" s="366" t="s">
        <v>22</v>
      </c>
      <c r="C56" s="367" t="s">
        <v>1617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368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40"/>
        <v>0</v>
      </c>
      <c r="I56" s="361">
        <f t="shared" ca="1" si="41"/>
        <v>0</v>
      </c>
      <c r="J56" s="361">
        <f t="shared" ca="1" si="42"/>
        <v>0</v>
      </c>
      <c r="K56" s="362">
        <f t="shared" ca="1" si="43"/>
        <v>0</v>
      </c>
    </row>
    <row r="57" spans="2:13">
      <c r="B57" s="374"/>
      <c r="C57" s="373"/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368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40"/>
        <v>0</v>
      </c>
      <c r="I57" s="361">
        <f t="shared" ca="1" si="41"/>
        <v>0</v>
      </c>
      <c r="J57" s="361">
        <f t="shared" ca="1" si="42"/>
        <v>0</v>
      </c>
      <c r="K57" s="362">
        <f t="shared" ca="1" si="43"/>
        <v>0</v>
      </c>
    </row>
    <row r="58" spans="2:13">
      <c r="B58" s="375"/>
      <c r="C58" s="376" t="s">
        <v>475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368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40"/>
        <v>0</v>
      </c>
      <c r="I58" s="361">
        <f t="shared" ca="1" si="41"/>
        <v>0</v>
      </c>
      <c r="J58" s="361">
        <f t="shared" ca="1" si="42"/>
        <v>0</v>
      </c>
      <c r="K58" s="362">
        <f t="shared" ca="1" si="43"/>
        <v>0</v>
      </c>
    </row>
    <row r="59" spans="2:13">
      <c r="B59" s="378">
        <v>1</v>
      </c>
      <c r="C59" s="379" t="s">
        <v>1091</v>
      </c>
      <c r="D59" s="380" t="str">
        <f ca="1">IF(ISERROR(OFFSET('HARGA SATUAN'!$D$6,MATCH(RAB!C59,'HARGA SATUAN'!$C$7:$C$1492,0),0)),"",OFFSET('HARGA SATUAN'!$D$6,MATCH(RAB!C59,'HARGA SATUAN'!$C$7:$C$1492,0),0))</f>
        <v>JASA</v>
      </c>
      <c r="E59" s="381" t="str">
        <f ca="1">IF(ISERROR(OFFSET('HARGA SATUAN'!$E$6,MATCH(RAB!C59,'HARGA SATUAN'!$C$7:$C$1492,0),0)),"",OFFSET('HARGA SATUAN'!$E$6,MATCH(RAB!C59,'HARGA SATUAN'!$C$7:$C$1492,0),0))</f>
        <v>Lot</v>
      </c>
      <c r="F59" s="382">
        <v>1</v>
      </c>
      <c r="G59" s="383">
        <f ca="1">IF(ISERROR(OFFSET('HARGA SATUAN'!$I$6,MATCH(RAB!C59,'HARGA SATUAN'!$C$7:$C$1492,0),0)),0,OFFSET('HARGA SATUAN'!$I$6,MATCH(RAB!C59,'HARGA SATUAN'!$C$7:$C$1492,0),0))</f>
        <v>2.5000000000000001E-2</v>
      </c>
      <c r="H59" s="384"/>
      <c r="I59" s="384"/>
      <c r="J59" s="384">
        <f ca="1">SUM(K15:K17)*G59</f>
        <v>0</v>
      </c>
      <c r="K59" s="385">
        <f ca="1">SUM(H59:J59)</f>
        <v>0</v>
      </c>
    </row>
    <row r="60" spans="2:13">
      <c r="B60" s="386"/>
      <c r="C60" s="387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IF(ISERROR(OFFSET('HARGA SATUAN'!$E$6,MATCH(RAB!C60,'HARGA SATUAN'!$C$7:$C$1492,0),0)),"",OFFSET('HARGA SATUAN'!$E$6,MATCH(RAB!C60,'HARGA SATUAN'!$C$7:$C$1492,0),0))</f>
        <v/>
      </c>
      <c r="F60" s="377"/>
      <c r="G60" s="360" t="str">
        <f ca="1">IF(ISERROR(OFFSET('HARGA SATUAN'!$I$6,MATCH(RAB!C60,'HARGA SATUAN'!$C$7:$C$1492,0),0)),"",OFFSET('HARGA SATUAN'!$I$6,MATCH(RAB!C60,'HARGA SATUAN'!$C$7:$C$1492,0),0))</f>
        <v/>
      </c>
      <c r="H60" s="361">
        <f ca="1">IF(OR(D60="MDU",D60="MDU-KD"),IF(G60="PLN",0,G60*F60),0)</f>
        <v>0</v>
      </c>
      <c r="I60" s="361">
        <f ca="1">IF(D60="HDW",IF(G60="PLN",0,G60*F60),0)</f>
        <v>0</v>
      </c>
      <c r="J60" s="361">
        <f ca="1">IF(D60="JASA",IF(G60="PLN",0,G60*F60),0)</f>
        <v>0</v>
      </c>
      <c r="K60" s="362">
        <f ca="1">SUM(H60:J60)</f>
        <v>0</v>
      </c>
    </row>
    <row r="61" spans="2:13" ht="15.75" thickBot="1">
      <c r="B61" s="388"/>
      <c r="C61" s="389"/>
      <c r="D61" s="390"/>
      <c r="E61" s="391"/>
      <c r="F61" s="391"/>
      <c r="G61" s="391"/>
      <c r="H61" s="392"/>
      <c r="I61" s="392"/>
      <c r="J61" s="392"/>
      <c r="K61" s="393"/>
    </row>
    <row r="62" spans="2:13">
      <c r="B62" s="394"/>
      <c r="C62" s="634" t="s">
        <v>1008</v>
      </c>
      <c r="D62" s="634"/>
      <c r="E62" s="634"/>
      <c r="F62" s="634"/>
      <c r="G62" s="395" t="s">
        <v>9</v>
      </c>
      <c r="H62" s="396">
        <f ca="1">SUM(H14:H60)</f>
        <v>5927600</v>
      </c>
      <c r="I62" s="396">
        <f ca="1">SUM(I14:I60)</f>
        <v>466550</v>
      </c>
      <c r="J62" s="396">
        <f ca="1">SUM(J14:J60)</f>
        <v>325200</v>
      </c>
      <c r="K62" s="396">
        <f ca="1">SUM(K14:K60)</f>
        <v>6719350</v>
      </c>
    </row>
    <row r="63" spans="2:13">
      <c r="B63" s="398"/>
      <c r="C63" s="617" t="s">
        <v>1457</v>
      </c>
      <c r="D63" s="617"/>
      <c r="E63" s="617"/>
      <c r="F63" s="617"/>
      <c r="G63" s="399" t="s">
        <v>9</v>
      </c>
      <c r="H63" s="400">
        <f ca="1">H62*0.11</f>
        <v>652036</v>
      </c>
      <c r="I63" s="400">
        <f ca="1">I62*0.11</f>
        <v>51320.5</v>
      </c>
      <c r="J63" s="400">
        <f ca="1">J62*0.11</f>
        <v>35772</v>
      </c>
      <c r="K63" s="400">
        <f ca="1">K62*0.11</f>
        <v>739128.5</v>
      </c>
    </row>
    <row r="64" spans="2:13" ht="15.75" thickBot="1">
      <c r="B64" s="398"/>
      <c r="C64" s="615" t="s">
        <v>463</v>
      </c>
      <c r="D64" s="615"/>
      <c r="E64" s="615"/>
      <c r="F64" s="615"/>
      <c r="G64" s="401" t="s">
        <v>9</v>
      </c>
      <c r="H64" s="402">
        <f ca="1">SUM(H62:H63)</f>
        <v>6579636</v>
      </c>
      <c r="I64" s="402">
        <f ca="1">SUM(I62:I63)</f>
        <v>517870.5</v>
      </c>
      <c r="J64" s="401">
        <f ca="1">SUM(J62:J63)</f>
        <v>360972</v>
      </c>
      <c r="K64" s="401">
        <f ca="1">SUM(K62:K63)</f>
        <v>7458478.5</v>
      </c>
      <c r="M64" s="484"/>
    </row>
    <row r="65" spans="2:11">
      <c r="B65" s="618" t="str">
        <f ca="1">"Terbilang : "&amp;PROPER(IF(K64=0,"nol",IF(K64&lt;0,"minus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IF(--MID(TEXT(ABS(K64),"000000000000000"),1,3)=0,"",MID(TEXT(ABS(K64),"000000000000000"),1,1)&amp;" ratus "&amp;MID(TEXT(ABS(K64),"000000000000000"),2,1)&amp;" puluh "&amp;MID(TEXT(ABS(K64),"000000000000000"),3,1)&amp;" trilyun ")&amp; IF(--MID(TEXT(ABS(K64),"000000000000000"),4,3)=0,"",MID(TEXT(ABS(K64),"000000000000000"),4,1)&amp;" ratus "&amp;MID(TEXT(ABS(K64),"000000000000000"),5,1)&amp;" puluh "&amp;MID(TEXT(ABS(K64),"000000000000000"),6,1)&amp;" milyar ")&amp; IF(--MID(TEXT(ABS(K64),"000000000000000"),7,3)=0,"",MID(TEXT(ABS(K64),"000000000000000"),7,1)&amp;" ratus "&amp;MID(TEXT(ABS(K64),"000000000000000"),8,1)&amp;" puluh "&amp;MID(TEXT(ABS(K64),"000000000000000"),9,1)&amp;" juta ")&amp; IF(--MID(TEXT(ABS(K64),"000000000000000"),10,3)=0,"",IF(--MID(TEXT(ABS(K64),"000000000000000"),10,3)=1,"*",MID(TEXT(ABS(K64),"000000000000000"),10,1)&amp;" ratus "&amp;MID(TEXT(ABS(K64),"000000000000000"),11,1)&amp;" puluh ")&amp;MID(TEXT(ABS(K64),"000000000000000"),12,1)&amp;" ribu ")&amp; IF(--MID(TEXT(ABS(K64),"000000000000000"),13,3)=0,"",MID(TEXT(ABS(K64),"000000000000000"),13,1)&amp;" ratus "&amp;MID(TEXT(ABS(K64),"000000000000000"),14,1)&amp;" puluh "&amp;MID(TEXT(ABS(K64),"000000000000000"),15,1)),1,"satu"),2,"dua"),3,"tiga"),4,"empat"),5,"lima"),6,"enam"),7,"tujuh"),8,"delapan"),9,"sembilan"),"0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Juta Empat Ratus Lima Puluh Delapan Ribu Empat Ratus Tujuh Puluh Sembilan Rupiah</v>
      </c>
      <c r="C65" s="619"/>
      <c r="D65" s="619"/>
      <c r="E65" s="619"/>
      <c r="F65" s="619"/>
      <c r="G65" s="619"/>
      <c r="H65" s="619"/>
      <c r="I65" s="619"/>
      <c r="J65" s="619"/>
      <c r="K65" s="620"/>
    </row>
    <row r="66" spans="2:11">
      <c r="B66" s="621"/>
      <c r="C66" s="622"/>
      <c r="D66" s="622"/>
      <c r="E66" s="622"/>
      <c r="F66" s="622"/>
      <c r="G66" s="622"/>
      <c r="H66" s="622"/>
      <c r="I66" s="622"/>
      <c r="J66" s="622"/>
      <c r="K66" s="623"/>
    </row>
    <row r="67" spans="2:11" ht="15.75" thickBot="1">
      <c r="B67" s="403" t="str">
        <f>"Harga yang dipakai adalah "&amp;'HARGA SATUAN'!I5&amp;""</f>
        <v>Harga yang dipakai adalah RAB HSS 2023</v>
      </c>
      <c r="C67" s="404"/>
      <c r="D67" s="405"/>
      <c r="E67" s="405"/>
      <c r="F67" s="405"/>
      <c r="G67" s="406"/>
      <c r="H67" s="406"/>
      <c r="I67" s="406"/>
      <c r="J67" s="406"/>
      <c r="K67" s="407"/>
    </row>
    <row r="68" spans="2:11">
      <c r="C68" s="408"/>
      <c r="E68" s="410"/>
      <c r="F68" s="410"/>
      <c r="G68" s="410"/>
    </row>
    <row r="69" spans="2:11">
      <c r="C69" s="337"/>
      <c r="E69" s="410"/>
      <c r="F69" s="410"/>
      <c r="G69" s="410"/>
      <c r="H69" s="624"/>
      <c r="I69" s="624"/>
      <c r="J69" s="625"/>
      <c r="K69" s="625"/>
    </row>
    <row r="70" spans="2:11">
      <c r="C70" s="337"/>
      <c r="E70" s="410"/>
      <c r="F70" s="410"/>
      <c r="G70" s="410"/>
      <c r="H70" s="411"/>
      <c r="I70" s="614" t="s">
        <v>1610</v>
      </c>
      <c r="J70" s="614"/>
      <c r="K70" s="614"/>
    </row>
    <row r="71" spans="2:11">
      <c r="C71" s="337"/>
      <c r="E71" s="410"/>
      <c r="F71" s="410"/>
      <c r="G71" s="410"/>
      <c r="H71" s="411"/>
      <c r="I71" s="614" t="s">
        <v>1546</v>
      </c>
      <c r="J71" s="614"/>
      <c r="K71" s="614"/>
    </row>
    <row r="72" spans="2:11">
      <c r="C72" s="337"/>
      <c r="E72" s="410"/>
      <c r="F72" s="410"/>
      <c r="G72" s="410"/>
      <c r="H72" s="412"/>
      <c r="I72" s="413"/>
      <c r="J72" s="413"/>
      <c r="K72" s="413"/>
    </row>
    <row r="73" spans="2:11">
      <c r="C73" s="337"/>
      <c r="E73" s="410"/>
      <c r="F73" s="410"/>
      <c r="G73" s="410"/>
      <c r="H73" s="412"/>
      <c r="I73" s="412"/>
      <c r="J73" s="412"/>
      <c r="K73" s="412"/>
    </row>
    <row r="74" spans="2:11">
      <c r="C74" s="337"/>
      <c r="E74" s="410"/>
      <c r="F74" s="410"/>
      <c r="G74" s="410"/>
      <c r="H74" s="412"/>
      <c r="I74" s="412"/>
      <c r="J74" s="412"/>
      <c r="K74" s="412"/>
    </row>
    <row r="75" spans="2:11">
      <c r="C75" s="337"/>
      <c r="E75" s="410"/>
      <c r="F75" s="410"/>
      <c r="G75" s="410"/>
      <c r="H75" s="412"/>
      <c r="I75" s="412"/>
      <c r="J75" s="412"/>
      <c r="K75" s="412"/>
    </row>
    <row r="76" spans="2:11">
      <c r="C76" s="337"/>
      <c r="E76" s="410"/>
      <c r="F76" s="410"/>
      <c r="G76" s="410"/>
      <c r="H76" s="414"/>
      <c r="I76" s="614" t="s">
        <v>1547</v>
      </c>
      <c r="J76" s="614"/>
      <c r="K76" s="614"/>
    </row>
    <row r="77" spans="2:11">
      <c r="C77" s="408"/>
      <c r="E77" s="410"/>
      <c r="F77" s="410"/>
      <c r="G77" s="410"/>
      <c r="H77" s="412"/>
      <c r="I77" s="412"/>
      <c r="J77" s="412"/>
      <c r="K77" s="412"/>
    </row>
    <row r="78" spans="2:11">
      <c r="C78" s="408"/>
      <c r="E78" s="410"/>
      <c r="F78" s="410"/>
      <c r="G78" s="410"/>
      <c r="H78" s="412"/>
      <c r="I78" s="412"/>
      <c r="J78" s="412"/>
      <c r="K78" s="412"/>
    </row>
    <row r="79" spans="2:11">
      <c r="C79" s="408"/>
      <c r="E79" s="410"/>
      <c r="F79" s="410"/>
      <c r="G79" s="410"/>
      <c r="H79" s="412"/>
      <c r="I79" s="412"/>
      <c r="J79" s="412"/>
      <c r="K79" s="412"/>
    </row>
  </sheetData>
  <sheetProtection sort="0" autoFilter="0"/>
  <protectedRanges>
    <protectedRange sqref="B57 B40:B55" name="Range1_1"/>
    <protectedRange sqref="F36:F58 F33:F34 F14:F32" name="Range1_1_2_2"/>
    <protectedRange sqref="C57 C40:C41 C45:C55 C43" name="Range1_1_1"/>
    <protectedRange sqref="B38:C39" name="Range1_6_2"/>
    <protectedRange sqref="C44" name="Range1_1_3_13"/>
    <protectedRange sqref="G35" name="Range1_3_7"/>
    <protectedRange sqref="C35" name="Range1_1_3_5"/>
    <protectedRange sqref="C34" name="Range1_1_3_6"/>
    <protectedRange sqref="C42" name="Range1_1_3_4"/>
  </protectedRanges>
  <mergeCells count="22">
    <mergeCell ref="O3:P4"/>
    <mergeCell ref="B4:K4"/>
    <mergeCell ref="C62:F62"/>
    <mergeCell ref="B11:B13"/>
    <mergeCell ref="C11:C13"/>
    <mergeCell ref="D11:D13"/>
    <mergeCell ref="E11:E13"/>
    <mergeCell ref="F11:F13"/>
    <mergeCell ref="G11:G13"/>
    <mergeCell ref="I12:I13"/>
    <mergeCell ref="I71:K71"/>
    <mergeCell ref="I76:K76"/>
    <mergeCell ref="C64:F64"/>
    <mergeCell ref="G6:K6"/>
    <mergeCell ref="I70:K70"/>
    <mergeCell ref="C63:F63"/>
    <mergeCell ref="B65:K66"/>
    <mergeCell ref="H69:K69"/>
    <mergeCell ref="H11:K11"/>
    <mergeCell ref="H12:H13"/>
    <mergeCell ref="J12:J13"/>
    <mergeCell ref="K12:K13"/>
  </mergeCells>
  <phoneticPr fontId="140" type="noConversion"/>
  <conditionalFormatting sqref="C15 C17">
    <cfRule type="cellIs" dxfId="9" priority="505" operator="equal">
      <formula>0</formula>
    </cfRule>
  </conditionalFormatting>
  <conditionalFormatting sqref="C34:C35">
    <cfRule type="cellIs" dxfId="8" priority="23" operator="equal">
      <formula>0</formula>
    </cfRule>
  </conditionalFormatting>
  <conditionalFormatting sqref="C37">
    <cfRule type="cellIs" dxfId="7" priority="130" operator="equal">
      <formula>0</formula>
    </cfRule>
  </conditionalFormatting>
  <conditionalFormatting sqref="C53">
    <cfRule type="cellIs" dxfId="5" priority="21" operator="equal">
      <formula>0</formula>
    </cfRule>
  </conditionalFormatting>
  <conditionalFormatting sqref="C56">
    <cfRule type="cellIs" dxfId="4" priority="128" operator="equal">
      <formula>0</formula>
    </cfRule>
  </conditionalFormatting>
  <conditionalFormatting sqref="D35:G35">
    <cfRule type="cellIs" dxfId="3" priority="31" operator="equal">
      <formula>0</formula>
    </cfRule>
  </conditionalFormatting>
  <conditionalFormatting sqref="E1:E3 G1:G13 E5:E13 H12:I12 O13 H35:K35 E36:K58 E59:G59 H59:K61 E60:H60 E61:F61 S14:V17 E14:K34">
    <cfRule type="cellIs" dxfId="2" priority="1085" stopIfTrue="1" operator="equal">
      <formula>0</formula>
    </cfRule>
  </conditionalFormatting>
  <conditionalFormatting sqref="G60:G65526 E65:E65526">
    <cfRule type="cellIs" dxfId="1" priority="219" stopIfTrue="1" operator="equal">
      <formula>0</formula>
    </cfRule>
  </conditionalFormatting>
  <conditionalFormatting sqref="C42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36:F38 H14:K61 F19:F3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5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0" zoomScale="85" zoomScaleNormal="115" zoomScaleSheetLayoutView="85" workbookViewId="0">
      <selection activeCell="T26" sqref="T26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7" t="s">
        <v>1439</v>
      </c>
      <c r="X2" s="698"/>
      <c r="Y2" s="698"/>
      <c r="Z2" s="698"/>
      <c r="AA2" s="698"/>
      <c r="AB2" s="698"/>
      <c r="AC2" s="698"/>
      <c r="AD2" s="699"/>
    </row>
    <row r="3" spans="3:30">
      <c r="C3" s="238"/>
      <c r="W3" s="700"/>
      <c r="X3" s="701"/>
      <c r="Y3" s="701"/>
      <c r="Z3" s="701"/>
      <c r="AA3" s="701"/>
      <c r="AB3" s="701"/>
      <c r="AC3" s="701"/>
      <c r="AD3" s="702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238"/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E7" s="490" t="s">
        <v>1630</v>
      </c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>
      <c r="C17" s="238"/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95"/>
      <c r="Y19" s="695"/>
      <c r="Z19" s="695"/>
      <c r="AA19" s="695"/>
      <c r="AB19" s="695"/>
      <c r="AC19" s="695"/>
      <c r="AD19" s="696"/>
    </row>
    <row r="20" spans="3:30">
      <c r="C20" s="238"/>
      <c r="W20" s="682" t="s">
        <v>992</v>
      </c>
      <c r="X20" s="683"/>
      <c r="Y20" s="683"/>
      <c r="Z20" s="683"/>
      <c r="AA20" s="683"/>
      <c r="AB20" s="683"/>
      <c r="AC20" s="683"/>
      <c r="AD20" s="684"/>
    </row>
    <row r="21" spans="3:30">
      <c r="C21" s="238"/>
      <c r="W21" s="685" t="s">
        <v>985</v>
      </c>
      <c r="X21" s="686"/>
      <c r="Y21" s="686"/>
      <c r="Z21" s="687"/>
      <c r="AA21" s="688" t="s">
        <v>986</v>
      </c>
      <c r="AB21" s="689"/>
      <c r="AC21" s="689"/>
      <c r="AD21" s="690"/>
    </row>
    <row r="22" spans="3:30">
      <c r="C22" s="238"/>
      <c r="W22" s="691"/>
      <c r="X22" s="692"/>
      <c r="Y22" s="492"/>
      <c r="Z22" s="493"/>
      <c r="AA22" s="693"/>
      <c r="AB22" s="694"/>
      <c r="AC22" s="248"/>
      <c r="AD22" s="249"/>
    </row>
    <row r="23" spans="3:30">
      <c r="C23" s="238"/>
      <c r="W23" s="691" t="s">
        <v>1626</v>
      </c>
      <c r="X23" s="692"/>
      <c r="Y23" s="492">
        <v>1</v>
      </c>
      <c r="Z23" s="493"/>
      <c r="AA23" s="680" t="s">
        <v>1623</v>
      </c>
      <c r="AB23" s="681"/>
      <c r="AC23" s="248"/>
      <c r="AD23" s="249">
        <v>2</v>
      </c>
    </row>
    <row r="24" spans="3:30">
      <c r="C24" s="238"/>
      <c r="W24" s="675" t="s">
        <v>1624</v>
      </c>
      <c r="X24" s="677"/>
      <c r="Y24" s="246">
        <v>1</v>
      </c>
      <c r="Z24" s="247"/>
      <c r="AA24" s="678"/>
      <c r="AB24" s="679"/>
      <c r="AC24" s="248"/>
      <c r="AD24" s="249"/>
    </row>
    <row r="25" spans="3:30">
      <c r="C25" s="238"/>
      <c r="W25" s="675" t="s">
        <v>1618</v>
      </c>
      <c r="X25" s="677"/>
      <c r="Y25" s="246">
        <v>2</v>
      </c>
      <c r="Z25" s="247"/>
      <c r="AA25" s="680"/>
      <c r="AB25" s="681"/>
      <c r="AC25" s="248"/>
      <c r="AD25" s="249"/>
    </row>
    <row r="26" spans="3:30">
      <c r="C26" s="238"/>
      <c r="W26" s="480" t="s">
        <v>1627</v>
      </c>
      <c r="X26" s="481"/>
      <c r="Y26" s="246">
        <v>1</v>
      </c>
      <c r="Z26" s="247"/>
      <c r="AA26" s="680"/>
      <c r="AB26" s="681"/>
      <c r="AC26" s="248"/>
      <c r="AD26" s="249"/>
    </row>
    <row r="27" spans="3:30">
      <c r="C27" s="238"/>
      <c r="W27" s="480" t="s">
        <v>1620</v>
      </c>
      <c r="X27" s="481"/>
      <c r="Y27" s="246">
        <v>2</v>
      </c>
      <c r="Z27" s="247"/>
      <c r="AA27" s="674"/>
      <c r="AB27" s="669"/>
      <c r="AC27" s="248"/>
      <c r="AD27" s="249"/>
    </row>
    <row r="28" spans="3:30">
      <c r="C28" s="238"/>
      <c r="W28" s="480" t="s">
        <v>1628</v>
      </c>
      <c r="X28" s="481"/>
      <c r="Y28" s="246">
        <v>1</v>
      </c>
      <c r="Z28" s="247"/>
      <c r="AA28" s="674"/>
      <c r="AB28" s="669"/>
      <c r="AC28" s="248"/>
      <c r="AD28" s="249"/>
    </row>
    <row r="29" spans="3:30">
      <c r="C29" s="238"/>
      <c r="W29" s="480" t="s">
        <v>1629</v>
      </c>
      <c r="X29" s="481"/>
      <c r="Y29" s="246">
        <v>2</v>
      </c>
      <c r="Z29" s="247"/>
      <c r="AA29" s="674"/>
      <c r="AB29" s="669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4"/>
      <c r="AB30" s="669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4"/>
      <c r="AB31" s="669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4"/>
      <c r="AB32" s="669"/>
      <c r="AC32" s="248"/>
      <c r="AD32" s="249"/>
    </row>
    <row r="33" spans="3:30">
      <c r="C33" s="238"/>
      <c r="W33" s="480"/>
      <c r="X33" s="481"/>
      <c r="Y33" s="246"/>
      <c r="Z33" s="247"/>
      <c r="AA33" s="674"/>
      <c r="AB33" s="669"/>
      <c r="AC33" s="248"/>
      <c r="AD33" s="249"/>
    </row>
    <row r="34" spans="3:30">
      <c r="C34" s="238"/>
      <c r="W34" s="480"/>
      <c r="X34" s="481"/>
      <c r="Y34" s="246"/>
      <c r="Z34" s="247"/>
      <c r="AA34" s="674"/>
      <c r="AB34" s="669"/>
      <c r="AC34" s="248"/>
      <c r="AD34" s="249"/>
    </row>
    <row r="35" spans="3:30">
      <c r="C35" s="238"/>
      <c r="W35" s="675"/>
      <c r="X35" s="676"/>
      <c r="Y35" s="246"/>
      <c r="Z35" s="247"/>
      <c r="AA35" s="674"/>
      <c r="AB35" s="669"/>
      <c r="AC35" s="248"/>
      <c r="AD35" s="249"/>
    </row>
    <row r="36" spans="3:30">
      <c r="C36" s="238"/>
      <c r="W36" s="666"/>
      <c r="X36" s="667"/>
      <c r="Y36" s="246"/>
      <c r="Z36" s="251"/>
      <c r="AA36" s="668"/>
      <c r="AB36" s="669"/>
      <c r="AC36" s="248"/>
      <c r="AD36" s="249"/>
    </row>
    <row r="37" spans="3:30" ht="12.75" customHeight="1">
      <c r="C37" s="238"/>
      <c r="W37" s="670"/>
      <c r="X37" s="671"/>
      <c r="Y37" s="246"/>
      <c r="Z37" s="251"/>
      <c r="AA37" s="672"/>
      <c r="AB37" s="673"/>
      <c r="AC37" s="252"/>
      <c r="AD37" s="253"/>
    </row>
    <row r="38" spans="3:30" ht="12.75" customHeight="1">
      <c r="C38" s="238"/>
      <c r="W38" s="670"/>
      <c r="X38" s="671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3"/>
      <c r="W39" s="670"/>
      <c r="X39" s="671"/>
      <c r="Y39" s="254"/>
      <c r="Z39" s="257"/>
      <c r="AA39" s="662"/>
      <c r="AB39" s="663"/>
      <c r="AC39" s="252"/>
      <c r="AD39" s="253"/>
    </row>
    <row r="40" spans="3:30" ht="12" customHeight="1">
      <c r="C40" s="238"/>
      <c r="D40" s="513"/>
      <c r="W40" s="658"/>
      <c r="X40" s="659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3"/>
      <c r="W41" s="660"/>
      <c r="X41" s="661"/>
      <c r="Y41" s="260"/>
      <c r="Z41" s="261"/>
      <c r="AA41" s="662"/>
      <c r="AB41" s="663"/>
      <c r="AC41" s="252"/>
      <c r="AD41" s="253"/>
    </row>
    <row r="42" spans="3:30" ht="12" customHeight="1">
      <c r="C42" s="238"/>
      <c r="D42" s="513"/>
      <c r="W42" s="664" t="s">
        <v>1456</v>
      </c>
      <c r="X42" s="665"/>
      <c r="Y42" s="665"/>
      <c r="Z42" s="665"/>
      <c r="AA42" s="262"/>
      <c r="AB42" s="262"/>
      <c r="AC42" s="262"/>
      <c r="AD42" s="263"/>
    </row>
    <row r="43" spans="3:30" ht="12" customHeight="1">
      <c r="C43" s="238"/>
      <c r="D43" s="513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3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3" t="s">
        <v>11</v>
      </c>
      <c r="X44" s="644"/>
      <c r="Y44" s="646"/>
      <c r="Z44" s="646"/>
      <c r="AA44" s="646"/>
      <c r="AB44" s="646"/>
      <c r="AC44" s="646"/>
      <c r="AD44" s="647"/>
    </row>
    <row r="45" spans="3:30">
      <c r="C45" s="268"/>
      <c r="D45" s="513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3" t="s">
        <v>984</v>
      </c>
      <c r="X45" s="644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3" t="s">
        <v>15</v>
      </c>
      <c r="X46" s="644"/>
      <c r="Y46" s="657"/>
      <c r="Z46" s="657"/>
      <c r="AA46" s="657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1" t="s">
        <v>17</v>
      </c>
      <c r="X47" s="651"/>
      <c r="Y47" s="651"/>
      <c r="Z47" s="651"/>
      <c r="AA47" s="651"/>
      <c r="AB47" s="651"/>
      <c r="AC47" s="651"/>
      <c r="AD47" s="65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3" t="str">
        <f>RAB!G6</f>
        <v>AIRYS DEPO ISI ULANG</v>
      </c>
      <c r="X48" s="653"/>
      <c r="Y48" s="653"/>
      <c r="Z48" s="653"/>
      <c r="AA48" s="653"/>
      <c r="AB48" s="653"/>
      <c r="AC48" s="653"/>
      <c r="AD48" s="65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3"/>
      <c r="X49" s="653"/>
      <c r="Y49" s="653"/>
      <c r="Z49" s="653"/>
      <c r="AA49" s="653"/>
      <c r="AB49" s="653"/>
      <c r="AC49" s="653"/>
      <c r="AD49" s="65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3"/>
      <c r="X50" s="653"/>
      <c r="Y50" s="653"/>
      <c r="Z50" s="653"/>
      <c r="AA50" s="653"/>
      <c r="AB50" s="653"/>
      <c r="AC50" s="653"/>
      <c r="AD50" s="65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5"/>
      <c r="X51" s="655"/>
      <c r="Y51" s="655"/>
      <c r="Z51" s="655"/>
      <c r="AA51" s="655"/>
      <c r="AB51" s="655"/>
      <c r="AC51" s="655"/>
      <c r="AD51" s="65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3" t="s">
        <v>18</v>
      </c>
      <c r="X52" s="644"/>
      <c r="Y52" s="646" t="s">
        <v>1549</v>
      </c>
      <c r="Z52" s="646"/>
      <c r="AA52" s="646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3" t="s">
        <v>19</v>
      </c>
      <c r="X53" s="644"/>
      <c r="Y53" s="646" t="s">
        <v>1549</v>
      </c>
      <c r="Z53" s="646"/>
      <c r="AA53" s="646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3" t="s">
        <v>20</v>
      </c>
      <c r="X54" s="644"/>
      <c r="Y54" s="645" t="s">
        <v>1550</v>
      </c>
      <c r="Z54" s="645"/>
      <c r="AA54" s="645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8" t="s">
        <v>21</v>
      </c>
      <c r="X55" s="649"/>
      <c r="Y55" s="645" t="s">
        <v>1551</v>
      </c>
      <c r="Z55" s="645"/>
      <c r="AA55" s="645"/>
      <c r="AB55" s="645"/>
      <c r="AC55" s="645"/>
      <c r="AD55" s="650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T44" sqref="T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3" t="s">
        <v>1528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17"/>
      <c r="AE4" s="216"/>
      <c r="AF4" s="216"/>
    </row>
    <row r="5" spans="2:32" ht="13.5" customHeight="1">
      <c r="B5" s="215"/>
      <c r="C5" s="215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17"/>
      <c r="AE5" s="216"/>
      <c r="AF5" s="216"/>
    </row>
    <row r="6" spans="2:32" ht="12.75" customHeight="1">
      <c r="B6" s="215"/>
      <c r="C6" s="215"/>
      <c r="D6" s="706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8"/>
      <c r="AE6" s="216"/>
      <c r="AF6" s="216"/>
    </row>
    <row r="7" spans="2:32" ht="12.75" customHeight="1" thickBot="1">
      <c r="B7" s="215"/>
      <c r="C7" s="215"/>
      <c r="D7" s="709"/>
      <c r="E7" s="710"/>
      <c r="F7" s="710"/>
      <c r="G7" s="710"/>
      <c r="H7" s="710"/>
      <c r="I7" s="710"/>
      <c r="J7" s="710"/>
      <c r="K7" s="710"/>
      <c r="L7" s="710"/>
      <c r="M7" s="710"/>
      <c r="N7" s="710"/>
      <c r="O7" s="710"/>
      <c r="P7" s="710"/>
      <c r="Q7" s="710"/>
      <c r="R7" s="710"/>
      <c r="S7" s="710"/>
      <c r="T7" s="710"/>
      <c r="U7" s="710"/>
      <c r="V7" s="710"/>
      <c r="W7" s="710"/>
      <c r="X7" s="710"/>
      <c r="Y7" s="710"/>
      <c r="Z7" s="710"/>
      <c r="AA7" s="710"/>
      <c r="AB7" s="710"/>
      <c r="AC7" s="71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2" zoomScale="70" zoomScaleNormal="40" zoomScaleSheetLayoutView="70" workbookViewId="0">
      <selection activeCell="F22" sqref="F22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7" t="s">
        <v>1527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2" t="s">
        <v>1632</v>
      </c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8"/>
      <c r="Z6" s="428"/>
      <c r="AA6" s="428"/>
      <c r="AB6" s="429"/>
      <c r="AC6" s="429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2024-04-20T10:31:47Z</dcterms:modified>
</cp:coreProperties>
</file>