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ANEKA JAYA\"/>
    </mc:Choice>
  </mc:AlternateContent>
  <xr:revisionPtr revIDLastSave="0" documentId="8_{F8A0E7B5-B9A5-4CBC-99B2-72CA8DDD3959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57" i="11"/>
  <c r="F56" i="11"/>
  <c r="F55" i="11"/>
  <c r="F54" i="11"/>
  <c r="F53" i="11"/>
  <c r="F52" i="11"/>
  <c r="F51" i="11"/>
  <c r="F48" i="11"/>
  <c r="F46" i="11"/>
  <c r="F45" i="11"/>
  <c r="F44" i="11"/>
  <c r="G49" i="11"/>
  <c r="G50" i="11"/>
  <c r="G51" i="11"/>
  <c r="G52" i="11"/>
  <c r="G53" i="11"/>
  <c r="D49" i="11"/>
  <c r="H49" i="11" s="1"/>
  <c r="E49" i="11"/>
  <c r="D50" i="11"/>
  <c r="J50" i="11" s="1"/>
  <c r="E50" i="11"/>
  <c r="D51" i="11"/>
  <c r="H51" i="11" s="1"/>
  <c r="E51" i="11"/>
  <c r="D42" i="11"/>
  <c r="J42" i="11" s="1"/>
  <c r="E42" i="11"/>
  <c r="G42" i="11"/>
  <c r="J49" i="11" l="1"/>
  <c r="I50" i="11"/>
  <c r="H50" i="11"/>
  <c r="I49" i="11"/>
  <c r="J51" i="11"/>
  <c r="I42" i="11"/>
  <c r="H42" i="11"/>
  <c r="K49" i="11" l="1"/>
  <c r="K42" i="11"/>
  <c r="K50" i="11"/>
  <c r="F38" i="11" l="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D19" i="11" l="1"/>
  <c r="H19" i="11" s="1"/>
  <c r="E19" i="11"/>
  <c r="G19" i="11"/>
  <c r="D20" i="11"/>
  <c r="J20" i="11" s="1"/>
  <c r="E20" i="11"/>
  <c r="G20" i="11"/>
  <c r="D21" i="11"/>
  <c r="J21" i="11" s="1"/>
  <c r="E21" i="11"/>
  <c r="G21" i="11"/>
  <c r="D22" i="11"/>
  <c r="E22" i="11"/>
  <c r="G22" i="11"/>
  <c r="D23" i="11"/>
  <c r="H23" i="11" s="1"/>
  <c r="E23" i="11"/>
  <c r="G23" i="11"/>
  <c r="J24" i="11"/>
  <c r="E24" i="11"/>
  <c r="G24" i="11"/>
  <c r="D25" i="11"/>
  <c r="J25" i="11" s="1"/>
  <c r="E25" i="11"/>
  <c r="G25" i="11"/>
  <c r="E26" i="11"/>
  <c r="G26" i="11"/>
  <c r="I27" i="11"/>
  <c r="E27" i="11"/>
  <c r="G27" i="11"/>
  <c r="J27" i="11"/>
  <c r="J28" i="11"/>
  <c r="E28" i="11"/>
  <c r="G28" i="11"/>
  <c r="J29" i="11"/>
  <c r="E29" i="11"/>
  <c r="G29" i="11"/>
  <c r="H30" i="11"/>
  <c r="E30" i="11"/>
  <c r="G30" i="11"/>
  <c r="H31" i="11"/>
  <c r="E31" i="11"/>
  <c r="G31" i="11"/>
  <c r="J32" i="11"/>
  <c r="E32" i="11"/>
  <c r="G32" i="11"/>
  <c r="J33" i="11"/>
  <c r="E33" i="11"/>
  <c r="G33" i="11"/>
  <c r="H34" i="11"/>
  <c r="E34" i="11"/>
  <c r="G34" i="11"/>
  <c r="H35" i="11"/>
  <c r="E35" i="11"/>
  <c r="G35" i="11"/>
  <c r="J36" i="11"/>
  <c r="E36" i="11"/>
  <c r="G36" i="11"/>
  <c r="J37" i="11"/>
  <c r="E37" i="11"/>
  <c r="G37" i="11"/>
  <c r="H38" i="11"/>
  <c r="E38" i="11"/>
  <c r="G38" i="11"/>
  <c r="H39" i="11"/>
  <c r="J40" i="11"/>
  <c r="D41" i="11"/>
  <c r="J41" i="11" s="1"/>
  <c r="E41" i="11"/>
  <c r="G41" i="11"/>
  <c r="D52" i="11"/>
  <c r="E52" i="11"/>
  <c r="D53" i="11"/>
  <c r="E53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H60" i="11" s="1"/>
  <c r="E60" i="11"/>
  <c r="G60" i="11"/>
  <c r="H52" i="11" l="1"/>
  <c r="J52" i="11"/>
  <c r="H53" i="11"/>
  <c r="J53" i="11"/>
  <c r="I35" i="11"/>
  <c r="I41" i="11"/>
  <c r="I29" i="11"/>
  <c r="J39" i="11"/>
  <c r="J23" i="11"/>
  <c r="H22" i="11"/>
  <c r="I25" i="11"/>
  <c r="I23" i="11"/>
  <c r="J19" i="11"/>
  <c r="I33" i="11"/>
  <c r="H27" i="11"/>
  <c r="K27" i="11" s="1"/>
  <c r="H41" i="11"/>
  <c r="I37" i="11"/>
  <c r="I31" i="11"/>
  <c r="I21" i="11"/>
  <c r="I19" i="11"/>
  <c r="H37" i="11"/>
  <c r="I36" i="11"/>
  <c r="J35" i="11"/>
  <c r="H33" i="11"/>
  <c r="K33" i="11" s="1"/>
  <c r="I32" i="11"/>
  <c r="J31" i="11"/>
  <c r="K31" i="11" s="1"/>
  <c r="H29" i="11"/>
  <c r="K29" i="11" s="1"/>
  <c r="I28" i="11"/>
  <c r="H25" i="11"/>
  <c r="I24" i="11"/>
  <c r="H21" i="11"/>
  <c r="I20" i="11"/>
  <c r="H26" i="11"/>
  <c r="I39" i="11"/>
  <c r="I38" i="11"/>
  <c r="I34" i="11"/>
  <c r="I30" i="11"/>
  <c r="I26" i="11"/>
  <c r="I22" i="11"/>
  <c r="I40" i="11"/>
  <c r="H40" i="11"/>
  <c r="J38" i="11"/>
  <c r="H36" i="11"/>
  <c r="K36" i="11" s="1"/>
  <c r="J34" i="11"/>
  <c r="K34" i="11" s="1"/>
  <c r="H32" i="11"/>
  <c r="J30" i="11"/>
  <c r="H28" i="11"/>
  <c r="J26" i="11"/>
  <c r="H24" i="11"/>
  <c r="J22" i="11"/>
  <c r="H20" i="11"/>
  <c r="I52" i="11"/>
  <c r="I54" i="11"/>
  <c r="J60" i="11"/>
  <c r="I51" i="11"/>
  <c r="K51" i="11" s="1"/>
  <c r="I55" i="11"/>
  <c r="I56" i="11"/>
  <c r="H54" i="11"/>
  <c r="I53" i="11"/>
  <c r="H57" i="11"/>
  <c r="J56" i="11"/>
  <c r="I57" i="11"/>
  <c r="I58" i="11"/>
  <c r="I60" i="11"/>
  <c r="H58" i="11"/>
  <c r="I59" i="11"/>
  <c r="H59" i="11"/>
  <c r="H55" i="11"/>
  <c r="K41" i="11" l="1"/>
  <c r="K21" i="11"/>
  <c r="K35" i="11"/>
  <c r="K30" i="11"/>
  <c r="K24" i="11"/>
  <c r="K53" i="11"/>
  <c r="K52" i="11"/>
  <c r="K28" i="11"/>
  <c r="K39" i="11"/>
  <c r="K40" i="11"/>
  <c r="K20" i="11"/>
  <c r="K23" i="11"/>
  <c r="K19" i="11"/>
  <c r="K32" i="11"/>
  <c r="K25" i="11"/>
  <c r="K37" i="11"/>
  <c r="K60" i="11"/>
  <c r="K26" i="11"/>
  <c r="K22" i="11"/>
  <c r="K38" i="11"/>
  <c r="K58" i="11"/>
  <c r="K54" i="11"/>
  <c r="K59" i="11"/>
  <c r="K55" i="11"/>
  <c r="K56" i="11"/>
  <c r="K57" i="11"/>
  <c r="G43" i="11"/>
  <c r="G44" i="11"/>
  <c r="G45" i="11"/>
  <c r="G46" i="11"/>
  <c r="G47" i="11"/>
  <c r="G48" i="11"/>
  <c r="D43" i="11"/>
  <c r="H43" i="11" s="1"/>
  <c r="E43" i="11"/>
  <c r="J44" i="11"/>
  <c r="E44" i="11"/>
  <c r="D45" i="11"/>
  <c r="I45" i="11" s="1"/>
  <c r="E45" i="11"/>
  <c r="E46" i="11"/>
  <c r="D47" i="11"/>
  <c r="E47" i="11"/>
  <c r="D48" i="11"/>
  <c r="E48" i="11"/>
  <c r="H47" i="11" l="1"/>
  <c r="J48" i="11"/>
  <c r="H46" i="11"/>
  <c r="I44" i="11"/>
  <c r="I48" i="11"/>
  <c r="H45" i="11"/>
  <c r="J43" i="11"/>
  <c r="J47" i="11"/>
  <c r="H48" i="11"/>
  <c r="I47" i="11"/>
  <c r="J46" i="11"/>
  <c r="H44" i="11"/>
  <c r="I43" i="11"/>
  <c r="I46" i="11"/>
  <c r="J45" i="11"/>
  <c r="K46" i="11" l="1"/>
  <c r="K45" i="11"/>
  <c r="K44" i="11"/>
  <c r="K43" i="11"/>
  <c r="K48" i="11"/>
  <c r="K47" i="11"/>
  <c r="D61" i="11" l="1"/>
  <c r="H61" i="11" s="1"/>
  <c r="E61" i="11"/>
  <c r="G61" i="11"/>
  <c r="I61" i="11" l="1"/>
  <c r="J61" i="11"/>
  <c r="C6" i="62"/>
  <c r="D15" i="11"/>
  <c r="J15" i="11" s="1"/>
  <c r="E15" i="11"/>
  <c r="G15" i="11"/>
  <c r="D17" i="11"/>
  <c r="H17" i="11" s="1"/>
  <c r="E17" i="11"/>
  <c r="G17" i="11"/>
  <c r="D18" i="11"/>
  <c r="J18" i="11" s="1"/>
  <c r="E18" i="11"/>
  <c r="G18" i="11"/>
  <c r="K61" i="11" l="1"/>
  <c r="I15" i="11"/>
  <c r="H15" i="11"/>
  <c r="J17" i="11"/>
  <c r="I17" i="11"/>
  <c r="I18" i="11"/>
  <c r="H18" i="11"/>
  <c r="K15" i="11" l="1"/>
  <c r="K17" i="11"/>
  <c r="K18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6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2" i="11"/>
  <c r="D63" i="11"/>
  <c r="H63" i="11" s="1"/>
  <c r="E6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3" i="11"/>
  <c r="I6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63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65" i="11"/>
  <c r="H66" i="11" s="1"/>
  <c r="I65" i="11"/>
  <c r="I66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00" i="29" l="1"/>
  <c r="F320" i="29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7" i="11"/>
  <c r="I67" i="11"/>
  <c r="F364" i="29"/>
  <c r="F69" i="39"/>
  <c r="F72" i="39"/>
  <c r="F367" i="29"/>
  <c r="J62" i="11"/>
  <c r="K62" i="11" s="1"/>
  <c r="K65" i="11" s="1"/>
  <c r="K6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5" i="11"/>
  <c r="J66" i="11" s="1"/>
  <c r="K67" i="11"/>
  <c r="B6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90" i="41" l="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<sst xmlns="http://schemas.openxmlformats.org/spreadsheetml/2006/main" count="4751" uniqueCount="1639">
  <si>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</si>
  <si>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</si>
  <si>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</si>
  <si>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</si>
  <si>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</si>
  <si>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</si>
  <si>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</si>
  <si>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</si>
  <si>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</si>
  <si>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</si>
  <si>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</si>
  <si>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</si>
  <si>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</si>
  <si>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</si>
  <si>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</si>
  <si>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</si>
  <si>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</si>
  <si>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</si>
  <si>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</si>
  <si>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</si>
  <si>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</si>
  <si>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</si>
  <si>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</si>
  <si>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</si>
  <si>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</si>
  <si>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</si>
  <si>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</si>
  <si>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</si>
  <si>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</si>
  <si>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</si>
  <si>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</si>
  <si>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</si>
  <si>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</si>
  <si>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</si>
  <si>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</si>
  <si>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</si>
  <si>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</si>
  <si>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</si>
  <si>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</si>
  <si>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</si>
  <si>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</si>
  <si>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</si>
  <si>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</si>
  <si>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</si>
  <si>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</si>
  <si>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</si>
  <si>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</si>
  <si>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</si>
  <si>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</si>
  <si>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</si>
  <si>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</si>
  <si>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</si>
  <si>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</si>
  <si>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</si>
  <si>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</si>
  <si>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</si>
  <si>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</si>
  <si>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</si>
  <si>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</si>
  <si>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</si>
  <si>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</si>
  <si>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</si>
  <si>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</si>
  <si>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</si>
  <si>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</si>
  <si>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</si>
  <si>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</si>
  <si>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</si>
  <si>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</si>
  <si>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</si>
  <si>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</si>
  <si>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</si>
  <si>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</si>
  <si>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</si>
  <si>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</si>
  <si>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</si>
  <si>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</si>
  <si>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</si>
  <si>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</si>
  <si>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</si>
  <si>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</si>
  <si>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</si>
  <si>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</si>
  <si>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</si>
  <si>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</si>
  <si>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</si>
  <si>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</si>
  <si>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</si>
  <si>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</si>
  <si>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</si>
  <si>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</si>
  <si>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</si>
  <si>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</si>
  <si>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</si>
  <si>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</si>
  <si>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</si>
  <si>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</si>
  <si>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</si>
  <si>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</si>
  <si>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</si>
  <si>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</si>
  <si>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</si>
  <si>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</si>
  <si>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</si>
  <si>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</si>
  <si>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</si>
  <si>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</si>
  <si>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</si>
  <si>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</si>
  <si>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</si>
  <si>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</si>
  <si>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</si>
  <si>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</si>
  <si>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</si>
  <si>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</si>
  <si>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</si>
  <si>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</si>
  <si>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</si>
  <si>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</si>
  <si>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</si>
  <si>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</si>
  <si>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</si>
  <si>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</si>
  <si>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</si>
  <si>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</si>
  <si>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</si>
  <si>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</si>
  <si>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</si>
  <si>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</si>
  <si>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</si>
  <si>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</si>
  <si>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</si>
  <si>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</si>
  <si>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</si>
  <si>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</si>
  <si>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</si>
  <si>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</si>
  <si>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</si>
  <si>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</si>
  <si>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</si>
  <si>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</si>
  <si>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</si>
  <si>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</si>
  <si>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</si>
  <si>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</si>
  <si>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</si>
  <si>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</si>
  <si>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</si>
  <si>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</si>
  <si>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</si>
  <si>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</si>
  <si>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</si>
  <si>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</si>
  <si>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</si>
  <si>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</si>
  <si>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</si>
  <si>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</si>
  <si>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</si>
  <si>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</si>
  <si>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</si>
  <si>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</si>
  <si>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</si>
  <si>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</si>
  <si>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</si>
  <si>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</si>
  <si>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</si>
  <si>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</si>
  <si>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</si>
  <si>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</si>
  <si>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</si>
  <si>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</si>
  <si>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</si>
  <si>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</si>
  <si>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</si>
  <si>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</si>
  <si>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</si>
  <si>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</si>
  <si>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</si>
  <si>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</si>
  <si>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</si>
  <si>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</si>
  <si>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</si>
  <si>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</si>
  <si>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</si>
  <si>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</si>
  <si>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</si>
  <si>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</si>
  <si>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</si>
  <si>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</si>
  <si>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</si>
  <si>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</si>
  <si>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</si>
  <si>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</si>
  <si>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</si>
  <si>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</si>
  <si>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</si>
  <si>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</si>
  <si>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</si>
  <si>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</si>
  <si>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</si>
  <si>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</si>
  <si>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</si>
  <si>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</si>
  <si>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</si>
  <si>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</si>
  <si>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</si>
  <si>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</si>
  <si>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</si>
  <si>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</si>
  <si>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</si>
  <si>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</si>
  <si>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</si>
  <si>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</si>
  <si>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</si>
  <si>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</si>
  <si>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</si>
  <si>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</si>
  <si>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</si>
  <si>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</si>
  <si>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</si>
  <si>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</si>
  <si>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</si>
  <si>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</si>
  <si>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</si>
  <si>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</si>
  <si>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</si>
  <si>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</si>
  <si>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</si>
  <si>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</si>
  <si>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</si>
  <si>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</si>
  <si>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</si>
  <si>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</si>
  <si>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</si>
  <si>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</si>
  <si>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</si>
  <si>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</si>
  <si>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</si>
  <si>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</si>
  <si>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</si>
  <si>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</si>
  <si>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</si>
  <si>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</si>
  <si>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</si>
  <si>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</si>
  <si>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</si>
  <si>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</si>
  <si>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</si>
  <si>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</si>
  <si>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</si>
  <si>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</si>
  <si>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</si>
  <si>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</si>
  <si>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</si>
  <si>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</si>
  <si>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</si>
  <si>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</si>
  <si>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</si>
  <si>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</si>
  <si>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</si>
  <si>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</si>
  <si>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</si>
  <si>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</si>
  <si>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</si>
  <si>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</si>
  <si>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</si>
  <si>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</si>
  <si>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</si>
  <si>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</si>
  <si>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</si>
  <si>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</si>
  <si>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</si>
  <si>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</si>
  <si>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</si>
  <si>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</si>
  <si>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</si>
  <si>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</si>
  <si>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</si>
  <si>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</si>
  <si>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</si>
  <si>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</si>
  <si>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</si>
  <si>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</si>
  <si>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</si>
  <si>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</si>
  <si>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</si>
  <si>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</si>
  <si>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</si>
  <si>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</si>
  <si>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</si>
  <si>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</si>
  <si>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</si>
  <si>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</si>
  <si>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</si>
  <si>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</si>
  <si>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</si>
  <si>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</si>
  <si>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</si>
  <si>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</si>
  <si>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</si>
  <si>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</si>
  <si>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</si>
  <si>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</si>
  <si>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</si>
  <si>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</si>
  <si>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</si>
  <si>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</si>
  <si>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</si>
  <si>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</si>
  <si>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</si>
  <si>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</si>
  <si>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</si>
  <si>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</si>
  <si>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</si>
  <si>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</si>
  <si>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</si>
  <si>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</si>
  <si>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</si>
  <si>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</si>
  <si>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</si>
  <si>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</si>
  <si>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</si>
  <si>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</si>
  <si>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</si>
  <si>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</si>
  <si>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</si>
  <si>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</si>
  <si>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</si>
  <si>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</si>
  <si>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</si>
  <si>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</si>
  <si>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</si>
  <si>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</si>
  <si>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</si>
  <si>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</si>
  <si>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</si>
  <si>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</si>
  <si>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</si>
  <si>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</si>
  <si>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</si>
  <si>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</si>
  <si>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</si>
  <si>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</si>
  <si>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</si>
  <si>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</si>
  <si>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</si>
  <si>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</si>
  <si>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</si>
  <si>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</si>
  <si>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</si>
  <si>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</si>
  <si>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</si>
  <si>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</si>
  <si>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</si>
  <si>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</si>
  <si>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</si>
  <si>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</si>
  <si>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</si>
  <si>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</si>
  <si>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</si>
  <si>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</si>
  <si>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</si>
  <si>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</si>
  <si>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</si>
  <si>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</si>
  <si>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</si>
  <si>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</si>
  <si>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</si>
  <si>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</si>
  <si>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</si>
  <si>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</si>
  <si>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</si>
  <si>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</si>
  <si>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</si>
  <si>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</si>
  <si>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</si>
  <si>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</si>
  <si>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</si>
  <si>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</si>
  <si>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</si>
  <si>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</si>
  <si>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</si>
  <si>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</si>
  <si>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</si>
  <si>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</si>
  <si>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</si>
  <si>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</si>
  <si>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</si>
  <si>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</si>
  <si>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</si>
  <si>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</si>
  <si>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</si>
  <si>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</si>
  <si>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</si>
  <si>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</si>
  <si>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</si>
  <si>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</si>
  <si>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</si>
  <si>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</si>
  <si>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</si>
  <si>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</si>
  <si>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</si>
  <si>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</si>
  <si>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</si>
  <si>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</si>
  <si>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</si>
  <si>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</si>
  <si>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</si>
  <si>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</si>
  <si>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</si>
  <si>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</si>
  <si>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</si>
  <si>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</si>
  <si>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</si>
  <si>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</si>
  <si>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</si>
  <si>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</si>
  <si>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</si>
  <si>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</si>
  <si>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</si>
  <si>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</si>
  <si>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</si>
  <si>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</si>
  <si>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</si>
  <si>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</si>
  <si>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</si>
  <si>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</si>
  <si>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</si>
  <si>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</si>
  <si>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</si>
  <si>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</si>
  <si>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</si>
  <si>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</si>
  <si>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</si>
  <si>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</si>
  <si>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</si>
  <si>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</si>
  <si>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</si>
  <si>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</si>
  <si>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</si>
  <si>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</si>
  <si>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</si>
  <si>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</si>
  <si>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</si>
  <si>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</si>
  <si>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</si>
  <si>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</si>
  <si>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</si>
  <si>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</si>
  <si>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</si>
  <si>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</si>
  <si>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</si>
  <si>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</si>
  <si>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</si>
  <si>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</si>
  <si>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</si>
  <si>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</si>
  <si>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</si>
  <si>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</si>
  <si>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</si>
  <si>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</si>
  <si>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</si>
  <si>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</si>
  <si>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</si>
  <si>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</si>
  <si>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</si>
  <si>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</si>
  <si>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</si>
  <si>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</si>
  <si>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</si>
  <si>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</si>
  <si>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</si>
  <si>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</si>
  <si>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</si>
  <si>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</si>
  <si>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</si>
  <si>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</si>
  <si>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</si>
  <si>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</si>
  <si>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</si>
  <si>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</si>
  <si>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</si>
  <si>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</si>
  <si>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</si>
  <si>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</si>
  <si>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</si>
  <si>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</si>
  <si>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</si>
  <si>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</si>
  <si>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</si>
  <si>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</si>
  <si>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</si>
  <si>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</si>
  <si>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</si>
  <si>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</si>
  <si>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</si>
  <si>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</si>
  <si>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</si>
  <si>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</si>
  <si>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</si>
  <si>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</si>
  <si>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</si>
  <si>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</si>
  <si>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</si>
  <si>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</si>
  <si>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</si>
  <si>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</si>
  <si>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</si>
  <si>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</si>
  <si>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</si>
  <si>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</si>
  <si>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</si>
  <si>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</si>
  <si>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</si>
  <si>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</si>
  <si>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</si>
  <si>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</si>
  <si>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</si>
  <si>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</si>
  <si>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</si>
  <si>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</si>
  <si>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</si>
  <si>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</si>
  <si>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</si>
  <si>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</si>
  <si>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</si>
  <si>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</si>
  <si>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</si>
  <si>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</si>
  <si>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</si>
  <si>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</si>
  <si>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</si>
  <si>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</si>
  <si>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</si>
  <si>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</si>
  <si>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</si>
  <si>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</si>
  <si>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</si>
  <si>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</si>
  <si>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</si>
  <si>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</si>
  <si>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</si>
  <si>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</si>
  <si>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</si>
  <si>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</si>
  <si>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</si>
  <si>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</si>
  <si>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</si>
  <si>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</si>
  <si>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</si>
  <si>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</si>
  <si>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</si>
  <si>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</si>
  <si>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</si>
  <si>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</si>
  <si>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</si>
  <si>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</si>
  <si>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</si>
  <si>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</si>
  <si>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</si>
  <si>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</si>
  <si>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</si>
  <si>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</si>
  <si>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</si>
  <si>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</si>
  <si>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</si>
  <si>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</si>
  <si>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</si>
  <si>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</si>
  <si>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</si>
  <si>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</si>
  <si>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</si>
  <si>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</si>
  <si>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</si>
  <si>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</si>
  <si>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</si>
  <si>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</si>
  <si>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</si>
  <si>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</si>
  <si>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</si>
  <si>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</si>
  <si>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</si>
  <si>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</si>
  <si>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</si>
  <si>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</si>
  <si>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</si>
  <si>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</si>
  <si>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</si>
  <si>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</si>
  <si>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</si>
  <si>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</si>
  <si>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</si>
  <si>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</si>
  <si>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</si>
  <si>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</si>
  <si>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</si>
  <si>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</si>
  <si>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</si>
  <si>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</si>
  <si>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</si>
  <si>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</si>
  <si>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</si>
  <si>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</si>
  <si>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</si>
  <si>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</si>
  <si>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</si>
  <si>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</si>
  <si>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</si>
  <si>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</si>
  <si>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</si>
  <si>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</si>
  <si>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</si>
  <si>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</si>
  <si>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</si>
  <si>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</si>
  <si>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</si>
  <si>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</si>
  <si>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</si>
  <si>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</si>
  <si>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</si>
  <si>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</si>
  <si>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</si>
  <si>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</si>
  <si>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</si>
  <si>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</si>
  <si>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</si>
  <si>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</si>
  <si>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</si>
  <si>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</si>
  <si>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</si>
  <si>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</si>
  <si>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</si>
  <si>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</si>
  <si>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</si>
  <si>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</si>
  <si>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</si>
  <si>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</si>
  <si>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</si>
  <si>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</si>
  <si>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</si>
  <si>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</si>
  <si>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</si>
  <si>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</si>
  <si>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</si>
  <si>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</si>
  <si>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</si>
  <si>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</si>
  <si>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</si>
  <si>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</si>
  <si>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</si>
  <si>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</si>
  <si>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</si>
  <si>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</si>
  <si>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</si>
  <si>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</si>
  <si>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</si>
  <si>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</si>
  <si>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</si>
  <si>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</si>
  <si>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</si>
  <si>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</si>
  <si>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</si>
  <si>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</si>
  <si>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</si>
  <si>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</si>
  <si>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</si>
  <si>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</si>
  <si>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</si>
  <si>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</si>
  <si>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</si>
  <si>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</si>
  <si>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</si>
  <si>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</si>
  <si>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</si>
  <si>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</si>
  <si>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</si>
  <si>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</si>
  <si>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</si>
  <si>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</si>
  <si>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</si>
  <si>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</si>
  <si>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</si>
  <si>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</si>
  <si>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</si>
  <si>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</si>
  <si>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</si>
  <si>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</si>
  <si>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</si>
  <si>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</si>
  <si>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</si>
  <si>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</si>
  <si>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</si>
  <si>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</si>
  <si>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</si>
  <si>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</si>
  <si>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</si>
  <si>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</si>
  <si>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</si>
  <si>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</si>
  <si>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</si>
  <si>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</si>
  <si>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</si>
  <si>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</si>
  <si>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</si>
  <si>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</si>
  <si>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</si>
  <si>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</si>
  <si>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</si>
  <si>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</si>
  <si>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</si>
  <si>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</si>
  <si>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</si>
  <si>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</si>
  <si>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</si>
  <si>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</si>
  <si>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</si>
  <si>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</si>
  <si>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</si>
  <si>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</si>
  <si>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</si>
  <si>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</si>
  <si>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</si>
  <si>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</si>
  <si>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</si>
  <si>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</si>
  <si>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</si>
  <si>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</si>
  <si>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</si>
  <si>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</si>
  <si>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</si>
  <si>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</si>
  <si>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</si>
  <si>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</si>
  <si>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</si>
  <si>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</si>
  <si>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</si>
  <si>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</si>
  <si>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</si>
  <si>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</si>
  <si>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</si>
  <si>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</si>
  <si>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</si>
  <si>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</si>
  <si>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</si>
  <si>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</si>
  <si>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</si>
  <si>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</si>
  <si>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</si>
  <si>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</si>
  <si>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</si>
  <si>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</si>
  <si>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</si>
  <si>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</si>
  <si>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</si>
  <si>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</si>
  <si>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</si>
  <si>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</si>
  <si>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</si>
  <si>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</si>
  <si>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</si>
  <si>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</si>
  <si>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</si>
  <si>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</si>
  <si>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</si>
  <si>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</si>
  <si>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</si>
  <si>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</si>
  <si>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</si>
  <si>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</si>
  <si>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</si>
  <si>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</si>
  <si>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</si>
  <si>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</si>
  <si>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</si>
  <si>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</si>
  <si>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</si>
  <si>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</si>
  <si>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</si>
  <si>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</si>
  <si>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</si>
  <si>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</si>
  <si>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</si>
  <si>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</si>
  <si>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</si>
  <si>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</si>
  <si>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</si>
  <si>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</si>
  <si>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</si>
  <si>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</si>
  <si>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</si>
  <si>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</si>
  <si>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</si>
  <si>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</si>
  <si>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</si>
  <si>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</si>
  <si>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</si>
  <si>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</si>
  <si>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</si>
  <si>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</si>
  <si>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</si>
  <si>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</si>
  <si>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</si>
  <si>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</si>
  <si>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</si>
  <si>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</si>
  <si>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</si>
  <si>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</si>
  <si>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</si>
  <si>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</si>
  <si>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</si>
  <si>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</si>
  <si>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</si>
  <si>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</si>
  <si>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</si>
  <si>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</si>
  <si>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</si>
  <si>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</si>
  <si>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</si>
  <si>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</si>
  <si>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</si>
  <si>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</si>
  <si>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</si>
  <si>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</si>
  <si>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</si>
  <si>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</si>
  <si>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</si>
  <si>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</si>
  <si>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</si>
  <si>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</si>
  <si>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</si>
  <si>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</si>
  <si>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</si>
  <si>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</si>
  <si>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</si>
  <si>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</si>
  <si>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</si>
  <si>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</si>
  <si>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</si>
  <si>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</si>
  <si>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</si>
  <si>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</si>
  <si>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</si>
  <si>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</si>
  <si>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</si>
  <si>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</si>
  <si>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</si>
  <si>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</si>
  <si>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</si>
  <si>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</si>
  <si>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</si>
  <si>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</si>
  <si>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</si>
  <si>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</si>
  <si>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</si>
  <si>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</si>
  <si>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</si>
  <si>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</si>
  <si>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</si>
  <si>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</si>
  <si>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</si>
  <si>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</si>
  <si>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</si>
  <si>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</si>
  <si>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</si>
  <si>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</si>
  <si>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</si>
  <si>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</si>
  <si>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</si>
  <si>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</si>
  <si>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</si>
  <si>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</si>
  <si>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</si>
  <si>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</si>
  <si>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</si>
  <si>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</si>
  <si>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</si>
  <si>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</si>
  <si>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</si>
  <si>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</si>
  <si>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</si>
  <si>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</si>
  <si>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</si>
  <si>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</si>
  <si>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</si>
  <si>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</si>
  <si>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</si>
  <si>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</si>
  <si>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</si>
  <si>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</si>
  <si>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</si>
  <si>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</si>
  <si>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</si>
  <si>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</si>
  <si>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</si>
  <si>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</si>
  <si>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</si>
  <si>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</si>
  <si>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</si>
  <si>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</si>
  <si>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</si>
  <si>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</si>
  <si>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</si>
  <si>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</si>
  <si>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</si>
  <si>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</si>
  <si>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</si>
  <si>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</si>
  <si>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</si>
  <si>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</si>
  <si>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</si>
  <si>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</si>
  <si>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</si>
  <si>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</si>
  <si>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</si>
  <si>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</si>
  <si>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</si>
  <si>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</si>
  <si>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</si>
  <si>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</si>
  <si>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</si>
  <si>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</si>
  <si>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</si>
  <si>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</si>
  <si>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</si>
  <si>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</si>
  <si>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</si>
  <si>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</si>
  <si>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</si>
  <si>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</si>
  <si>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</si>
  <si>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</si>
  <si>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</si>
  <si>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</si>
  <si>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</si>
  <si>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</si>
  <si>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</si>
  <si>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</si>
  <si>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</si>
  <si>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</si>
  <si>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</si>
  <si>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</si>
  <si>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</si>
  <si>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</si>
  <si>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</si>
  <si>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</si>
  <si>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</si>
  <si>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</si>
  <si>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</si>
  <si>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</si>
  <si>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</si>
  <si>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</si>
  <si>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</si>
  <si>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</si>
  <si>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</si>
  <si>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</si>
  <si>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</si>
  <si>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</si>
  <si>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</si>
  <si>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</si>
  <si>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</si>
  <si>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</si>
  <si>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</si>
  <si>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</si>
  <si>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</si>
  <si>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</si>
  <si>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</si>
  <si>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</si>
  <si>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</si>
  <si>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</si>
  <si>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</si>
  <si>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</si>
  <si>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</si>
  <si>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</si>
  <si>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</si>
  <si>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</si>
  <si>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</si>
  <si>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</si>
  <si>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</si>
  <si>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</si>
  <si>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</si>
  <si>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</si>
  <si>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</si>
  <si>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</si>
  <si>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</si>
  <si>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</si>
  <si>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</si>
  <si>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</si>
  <si>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</si>
  <si>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</si>
  <si>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</si>
  <si>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</si>
  <si>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</si>
  <si>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</si>
  <si>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</si>
  <si>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</si>
  <si>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</si>
  <si>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</si>
  <si>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</si>
  <si>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</si>
  <si>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</si>
  <si>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</si>
  <si>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</si>
  <si>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</si>
  <si>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</si>
  <si>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</si>
  <si>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</si>
  <si>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</si>
  <si>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</si>
  <si>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</si>
  <si>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</si>
  <si>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</si>
  <si>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</si>
  <si>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</si>
  <si>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</si>
  <si>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</si>
  <si>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</si>
  <si>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</si>
  <si>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</si>
  <si>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</si>
  <si>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</si>
  <si>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</si>
  <si>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</si>
  <si>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</si>
  <si>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</si>
  <si>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</si>
  <si>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</si>
  <si>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</si>
  <si>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</si>
  <si>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</si>
  <si>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</si>
  <si>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</si>
  <si>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</si>
  <si>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</si>
  <si>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</si>
  <si>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</si>
  <si>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</si>
  <si>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</si>
  <si>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</si>
  <si>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</si>
  <si>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</si>
  <si>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</si>
  <si>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</si>
  <si>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</si>
  <si>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</si>
  <si>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</si>
  <si>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</si>
  <si>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</si>
  <si>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</si>
  <si>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</si>
  <si>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</si>
  <si>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</si>
  <si>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</si>
  <si>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</si>
  <si>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</si>
  <si>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</si>
  <si>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</si>
  <si>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</si>
  <si>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</si>
  <si>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</si>
  <si>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</si>
  <si>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</si>
  <si>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</si>
  <si>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</si>
  <si>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</si>
  <si>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</si>
  <si>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</si>
  <si>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</si>
  <si>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</si>
  <si>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</si>
  <si>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</si>
  <si>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</si>
  <si>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</si>
  <si>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</si>
  <si>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</si>
  <si>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</si>
  <si>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</si>
  <si>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</si>
  <si>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</si>
  <si>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</si>
  <si>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</si>
  <si>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</si>
  <si>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</si>
  <si>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</si>
  <si>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</si>
  <si>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</si>
  <si>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</si>
  <si>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</si>
  <si>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</si>
  <si>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</si>
  <si>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</si>
  <si>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</si>
  <si>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</si>
  <si>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</si>
  <si>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</si>
  <si>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</si>
  <si>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</si>
  <si>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</si>
  <si>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</si>
  <si>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</si>
  <si>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</si>
  <si>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</si>
  <si>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</si>
  <si>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</si>
  <si>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</si>
  <si>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</si>
  <si>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</si>
  <si>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</si>
  <si>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</si>
  <si>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</si>
  <si>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</si>
  <si>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</si>
  <si>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</si>
  <si>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</si>
  <si>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</si>
  <si>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</si>
  <si>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</si>
  <si>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</si>
  <si>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</si>
  <si>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</si>
  <si>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</si>
  <si>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</si>
  <si>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</si>
  <si>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</si>
  <si>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</si>
  <si>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</si>
  <si>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</si>
  <si>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</si>
  <si>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</si>
  <si>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</si>
  <si>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</si>
  <si>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</si>
  <si>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</si>
  <si>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</si>
  <si>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</si>
  <si>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</si>
  <si>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</si>
  <si>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</si>
  <si>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</si>
  <si>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</si>
  <si>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</si>
  <si>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</si>
  <si>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</si>
  <si>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</si>
  <si>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</si>
  <si>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</si>
  <si>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</si>
  <si>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</si>
  <si>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</si>
  <si>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</si>
  <si>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</si>
  <si>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</si>
  <si>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</si>
  <si>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</si>
  <si>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</si>
  <si>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</si>
  <si>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</si>
  <si>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</si>
  <si>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</si>
  <si>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</si>
  <si>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</si>
  <si>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</si>
  <si>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</si>
  <si>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</si>
  <si>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</si>
  <si>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</si>
  <si>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</si>
  <si>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</si>
  <si>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</si>
  <si>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</si>
  <si>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</si>
  <si>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</si>
  <si>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</si>
  <si>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</si>
  <si>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</si>
  <si>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</si>
  <si>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</si>
  <si>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</si>
  <si>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</si>
  <si>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</si>
  <si>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</si>
  <si>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</si>
  <si>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</si>
  <si>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</si>
  <si>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</si>
  <si>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</si>
  <si>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</si>
  <si>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</si>
  <si>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</si>
  <si>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</si>
  <si>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</si>
  <si>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</si>
  <si>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</si>
  <si>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</si>
  <si>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</si>
  <si>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</si>
  <si>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</si>
  <si>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</si>
  <si>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</si>
  <si>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</si>
  <si>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</si>
  <si>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</si>
  <si>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</si>
  <si>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</si>
  <si>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</si>
  <si>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</si>
  <si>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</si>
  <si>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</si>
  <si>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</si>
  <si>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</si>
  <si>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</si>
  <si>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</si>
  <si>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</si>
  <si>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</si>
  <si>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</si>
  <si>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</si>
  <si>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</si>
  <si>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</si>
  <si>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</si>
  <si>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</si>
  <si>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</si>
  <si>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</si>
  <si>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</si>
  <si>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</si>
  <si>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</si>
  <si>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</si>
  <si>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</si>
  <si>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</si>
  <si>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</si>
  <si>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</si>
  <si>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</si>
  <si>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</si>
  <si>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</si>
  <si>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</si>
  <si>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</si>
  <si>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</si>
  <si>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</si>
  <si>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</si>
  <si>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</si>
  <si>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</si>
  <si>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</si>
  <si>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</si>
  <si>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</si>
  <si>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</si>
  <si>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</si>
  <si>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</si>
  <si>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</si>
  <si>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</si>
  <si>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</si>
  <si>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</si>
  <si>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</si>
  <si>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</si>
  <si>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</si>
  <si>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</si>
  <si>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</si>
  <si>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</si>
  <si>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</si>
  <si>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</si>
  <si>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</si>
  <si>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</si>
  <si>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</si>
  <si>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</si>
  <si>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</si>
  <si>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</si>
  <si>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</si>
  <si>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</si>
  <si>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</si>
  <si>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</si>
  <si>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</si>
  <si>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</si>
  <si>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</si>
  <si>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</si>
  <si>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</si>
  <si>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</si>
  <si>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</si>
  <si>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</si>
  <si>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</si>
  <si>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</si>
  <si>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</si>
  <si>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</si>
  <si>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</si>
  <si>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</si>
  <si>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</si>
  <si>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</si>
  <si>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</si>
  <si>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</si>
  <si>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</si>
  <si>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</si>
  <si>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</si>
  <si>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</si>
  <si>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</si>
  <si>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</si>
  <si>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</si>
  <si>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</si>
  <si>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</si>
  <si>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</si>
  <si>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</si>
  <si>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</si>
  <si>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</si>
  <si>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</si>
  <si>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</si>
  <si>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</si>
  <si>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</si>
  <si>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</si>
  <si>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</si>
  <si>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</si>
  <si>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</si>
  <si>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</si>
  <si>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</si>
  <si>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</si>
  <si>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</si>
  <si>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</si>
  <si>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</si>
  <si>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</si>
  <si>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</si>
  <si>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</si>
  <si>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</si>
  <si>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</si>
  <si>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</si>
  <si>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</si>
  <si>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</si>
  <si>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</si>
  <si>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</si>
  <si>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</si>
  <si>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</si>
  <si>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</si>
  <si>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</si>
  <si>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</si>
  <si>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</si>
  <si>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</si>
  <si>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</si>
  <si>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</si>
  <si>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</si>
  <si>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</si>
  <si>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</si>
  <si>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</si>
  <si>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</si>
  <si>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</si>
  <si>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</si>
  <si>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</si>
  <si>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</si>
  <si>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</si>
  <si>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</si>
  <si>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</si>
  <si>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</si>
  <si>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</si>
  <si>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</si>
  <si>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</si>
  <si>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</si>
  <si>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</si>
  <si>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</si>
  <si>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</si>
  <si>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</si>
  <si>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</si>
  <si>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</si>
  <si>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</si>
  <si>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</si>
  <si>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</si>
  <si>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</si>
  <si>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</si>
  <si>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</si>
  <si>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</si>
  <si>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</si>
  <si>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</si>
  <si>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</si>
  <si>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</si>
  <si>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</si>
  <si>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</si>
  <si>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</si>
  <si>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</si>
  <si>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</si>
  <si>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</si>
  <si>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</si>
  <si>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</si>
  <si>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</si>
  <si>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</si>
  <si>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</si>
  <si>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</si>
  <si>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</si>
  <si>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</si>
  <si>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</si>
  <si>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</si>
  <si>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</si>
  <si>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</si>
  <si>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</si>
  <si>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</si>
  <si>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</si>
  <si>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</si>
  <si>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</si>
  <si>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</si>
  <si>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</si>
  <si>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</si>
  <si>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</si>
  <si>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</si>
  <si>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</si>
  <si>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</si>
  <si>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</si>
  <si>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</si>
  <si>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</si>
  <si>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</si>
  <si>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</si>
  <si>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</si>
  <si>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</si>
  <si>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</si>
  <si>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</si>
  <si>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</si>
  <si>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</si>
  <si>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</si>
  <si>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</si>
  <si>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</si>
  <si>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</si>
  <si>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</si>
  <si>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</si>
  <si>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</si>
  <si>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</si>
  <si>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</si>
  <si>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</si>
  <si>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</si>
  <si>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</si>
  <si>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</si>
  <si>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</si>
  <si>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</si>
  <si>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</si>
  <si>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</si>
  <si>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</si>
  <si>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</si>
  <si>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</si>
  <si>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</si>
  <si>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</si>
  <si>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</si>
  <si>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</si>
  <si>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</si>
  <si>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</si>
  <si>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</si>
  <si>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</si>
  <si>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</si>
  <si>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</si>
  <si>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</si>
  <si>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</si>
  <si>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</si>
  <si>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</si>
  <si>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</si>
  <si>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</si>
  <si>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</si>
  <si>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</si>
  <si>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</si>
  <si>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</si>
  <si>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</si>
  <si>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</si>
  <si>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</si>
  <si>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</si>
  <si>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</si>
  <si>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</si>
  <si>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</si>
  <si>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</si>
  <si>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</si>
  <si>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</si>
  <si>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</si>
  <si>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</si>
  <si>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</si>
  <si>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</si>
  <si>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</si>
  <si>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</si>
  <si>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</si>
  <si>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</si>
  <si>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</si>
  <si>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</si>
  <si>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</si>
  <si>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</si>
  <si>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</si>
  <si>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</si>
  <si>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</si>
  <si>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</si>
  <si>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</si>
  <si>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</si>
  <si>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</si>
  <si>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</si>
  <si>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</si>
  <si>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</si>
  <si>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</si>
  <si>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</si>
  <si>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</si>
  <si>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</si>
  <si>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</si>
  <si>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</si>
  <si>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</si>
  <si>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</si>
  <si>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</si>
  <si>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</si>
  <si>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</si>
  <si>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</si>
  <si>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</si>
  <si>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</si>
  <si>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</si>
  <si>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</si>
  <si>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</si>
  <si>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</si>
  <si>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</si>
  <si>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</si>
  <si>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</si>
  <si>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</si>
  <si>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</si>
  <si>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</si>
  <si>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</si>
  <si>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</si>
  <si>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</si>
  <si>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</si>
  <si>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</si>
  <si>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</si>
  <si>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</si>
  <si>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</si>
  <si>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</si>
  <si>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</si>
  <si>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</si>
  <si>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</si>
  <si>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</si>
  <si>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</si>
  <si>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</si>
  <si>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</si>
  <si>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</si>
  <si>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</si>
  <si>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</si>
  <si>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</si>
  <si>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</si>
  <si>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</si>
  <si>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</si>
  <si>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</si>
  <si>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</si>
  <si>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</si>
  <si>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</si>
  <si>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</si>
  <si>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</si>
  <si>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</si>
  <si>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</si>
  <si>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</si>
  <si>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</si>
  <si>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</si>
  <si>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</si>
  <si>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</si>
  <si>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</si>
  <si>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</si>
  <si>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</si>
  <si>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</si>
  <si>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</si>
  <si>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</si>
  <si>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</si>
  <si>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</si>
  <si>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</si>
  <si>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</si>
  <si>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</si>
  <si>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</si>
  <si>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</si>
  <si>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</si>
  <si>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</si>
  <si>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</si>
  <si>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</si>
  <si>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</si>
  <si>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</si>
  <si>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</si>
  <si>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</si>
  <si>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</si>
  <si>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</si>
  <si>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</si>
  <si>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</si>
  <si>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</si>
  <si>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</si>
  <si>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</si>
  <si>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</si>
  <si>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</si>
  <si>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</si>
  <si>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</si>
  <si>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</si>
  <si>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</si>
  <si>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</si>
  <si>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</si>
  <si>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</si>
  <si>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</si>
  <si>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</si>
  <si>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</si>
  <si>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</si>
  <si>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</si>
  <si>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</si>
  <si>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</si>
  <si>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</si>
  <si>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</si>
  <si>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</si>
  <si>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</si>
  <si>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</si>
  <si>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</si>
  <si>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</si>
  <si>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</si>
  <si>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</si>
  <si>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</si>
  <si>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</si>
  <si>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</si>
  <si>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</si>
  <si>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</si>
  <si>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</si>
  <si>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</si>
  <si>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</si>
  <si>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</si>
  <si>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</si>
  <si>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</si>
  <si>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</si>
  <si>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</si>
  <si>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</si>
  <si>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</si>
  <si>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</si>
  <si>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</si>
  <si>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</si>
  <si>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</si>
  <si>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</si>
  <si>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</si>
  <si>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</si>
  <si>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PLN</t>
  </si>
  <si>
    <t>UPGRADING TRAFO</t>
  </si>
  <si>
    <t>Trafo 3 Fasa 200 KVA 2 Tiang (G313)</t>
  </si>
  <si>
    <t xml:space="preserve">Jumper Wire : </t>
  </si>
  <si>
    <t>NFA2X-T 3 x 70 + N 50 mm²</t>
  </si>
  <si>
    <t>Sepatu Kabel AL/CU Ring-70 mm²</t>
  </si>
  <si>
    <t>ATTB</t>
  </si>
  <si>
    <t>Upah Bongkar Trafo 3ph (50/100/160/200 kVA) - hanya pasang trafo tanpa set konstruksi</t>
  </si>
  <si>
    <t>Upah Pasang Trafo 3ph (50/100/160/200 kVA) - hanya pasang trafo tanpa set konstruksi</t>
  </si>
  <si>
    <t>Pemasangan APP Di Tiang</t>
  </si>
  <si>
    <t>ANEKA JAYA JL SUTAN HADI WIJAYA</t>
  </si>
  <si>
    <t>JL SULTAN HADI WIJAYA MANGUNIWAN</t>
  </si>
  <si>
    <t>KOORDINAT : -6.891263, 110.629430</t>
  </si>
  <si>
    <t>Daya 105.000 VA</t>
  </si>
  <si>
    <t>DATA PELANGGAN ANEKA JAYA</t>
  </si>
  <si>
    <t>ANEKA JAYA : 164 KVA</t>
  </si>
  <si>
    <t>CFC : 23 KVA</t>
  </si>
  <si>
    <t>MR GAMES : 6.6 KVA</t>
  </si>
  <si>
    <t>Demak, 31 Januari 2024</t>
  </si>
  <si>
    <t>MANAGER ULP</t>
  </si>
  <si>
    <t>ACHMAD SUHENDRO</t>
  </si>
  <si>
    <t>Staf teknik</t>
  </si>
  <si>
    <t>TL Teknik</t>
  </si>
  <si>
    <t>Manager ULP</t>
  </si>
  <si>
    <t>Manager Perencanaan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</si>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</sst>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1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21" fillId="0" borderId="21" xfId="1451" applyBorder="1" applyAlignment="1">
      <alignment horizontal="center" wrapText="1"/>
    </xf>
    <xf numFmtId="0" fontId="21" fillId="0" borderId="21" xfId="1451" applyBorder="1" applyAlignment="1">
      <alignment horizontal="center" vertical="center" wrapText="1"/>
    </xf>
    <xf numFmtId="3" fontId="114" fillId="0" borderId="21" xfId="1451" applyNumberFormat="1" applyFont="1" applyBorder="1" applyAlignment="1">
      <alignment horizontal="center" vertical="center" wrapText="1"/>
    </xf>
    <xf numFmtId="0" fontId="115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21" fillId="0" borderId="21" xfId="1451" applyBorder="1" applyAlignment="1">
      <alignment horizontal="left" wrapText="1"/>
    </xf>
    <xf numFmtId="0" fontId="21" fillId="0" borderId="21" xfId="145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0.42000000000000004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1.0284051669940208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5841" y="815378"/>
          <a:ext cx="1487508" cy="1812713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27787</xdr:colOff>
      <xdr:row>26</xdr:row>
      <xdr:rowOff>46461</xdr:rowOff>
    </xdr:from>
    <xdr:to>
      <xdr:col>11</xdr:col>
      <xdr:colOff>321701</xdr:colOff>
      <xdr:row>30</xdr:row>
      <xdr:rowOff>14471</xdr:rowOff>
    </xdr:to>
    <xdr:sp macro="" textlink="">
      <xdr:nvSpPr>
        <xdr:cNvPr id="88" name="Freeform: Shape 87">
          <a:extLst>
            <a:ext uri="{FF2B5EF4-FFF2-40B4-BE49-F238E27FC236}">
              <a16:creationId xmlns:a16="http://schemas.microsoft.com/office/drawing/2014/main" id="{B14A3761-B200-44C2-A04F-0D302276E89A}"/>
            </a:ext>
          </a:extLst>
        </xdr:cNvPr>
        <xdr:cNvSpPr/>
      </xdr:nvSpPr>
      <xdr:spPr>
        <a:xfrm>
          <a:off x="3771526" y="3972418"/>
          <a:ext cx="293914" cy="556075"/>
        </a:xfrm>
        <a:custGeom>
          <a:avLst/>
          <a:gdLst>
            <a:gd name="connsiteX0" fmla="*/ 141514 w 293914"/>
            <a:gd name="connsiteY0" fmla="*/ 0 h 527958"/>
            <a:gd name="connsiteX1" fmla="*/ 5443 w 293914"/>
            <a:gd name="connsiteY1" fmla="*/ 0 h 527958"/>
            <a:gd name="connsiteX2" fmla="*/ 0 w 293914"/>
            <a:gd name="connsiteY2" fmla="*/ 527958 h 527958"/>
            <a:gd name="connsiteX3" fmla="*/ 293914 w 293914"/>
            <a:gd name="connsiteY3" fmla="*/ 522515 h 527958"/>
            <a:gd name="connsiteX4" fmla="*/ 293914 w 293914"/>
            <a:gd name="connsiteY4" fmla="*/ 342900 h 5279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93914" h="527958">
              <a:moveTo>
                <a:pt x="141514" y="0"/>
              </a:moveTo>
              <a:lnTo>
                <a:pt x="5443" y="0"/>
              </a:lnTo>
              <a:cubicBezTo>
                <a:pt x="3629" y="175986"/>
                <a:pt x="1814" y="351972"/>
                <a:pt x="0" y="527958"/>
              </a:cubicBezTo>
              <a:lnTo>
                <a:pt x="293914" y="522515"/>
              </a:lnTo>
              <a:lnTo>
                <a:pt x="293914" y="342900"/>
              </a:lnTo>
            </a:path>
          </a:pathLst>
        </a:cu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331246</xdr:colOff>
      <xdr:row>26</xdr:row>
      <xdr:rowOff>86429</xdr:rowOff>
    </xdr:from>
    <xdr:to>
      <xdr:col>16</xdr:col>
      <xdr:colOff>60114</xdr:colOff>
      <xdr:row>27</xdr:row>
      <xdr:rowOff>56772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A8322A55-1FBC-451C-80B9-12C726A59D17}"/>
            </a:ext>
          </a:extLst>
        </xdr:cNvPr>
        <xdr:cNvSpPr/>
      </xdr:nvSpPr>
      <xdr:spPr>
        <a:xfrm>
          <a:off x="5598985" y="4012386"/>
          <a:ext cx="109868" cy="11942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326575</xdr:colOff>
      <xdr:row>26</xdr:row>
      <xdr:rowOff>58179</xdr:rowOff>
    </xdr:from>
    <xdr:to>
      <xdr:col>11</xdr:col>
      <xdr:colOff>88568</xdr:colOff>
      <xdr:row>27</xdr:row>
      <xdr:rowOff>68270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12984552-B9FE-4076-878C-5C8CF4F4FB7D}"/>
            </a:ext>
          </a:extLst>
        </xdr:cNvPr>
        <xdr:cNvSpPr/>
      </xdr:nvSpPr>
      <xdr:spPr>
        <a:xfrm>
          <a:off x="3689314" y="3984136"/>
          <a:ext cx="142993" cy="15917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165652</xdr:colOff>
      <xdr:row>31</xdr:row>
      <xdr:rowOff>42359</xdr:rowOff>
    </xdr:from>
    <xdr:to>
      <xdr:col>17</xdr:col>
      <xdr:colOff>250730</xdr:colOff>
      <xdr:row>33</xdr:row>
      <xdr:rowOff>75075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89DD0F2A-2A57-44A3-B5BA-F918EB0D0CE4}"/>
            </a:ext>
          </a:extLst>
        </xdr:cNvPr>
        <xdr:cNvGrpSpPr/>
      </xdr:nvGrpSpPr>
      <xdr:grpSpPr>
        <a:xfrm>
          <a:off x="1618895" y="4788530"/>
          <a:ext cx="4657078" cy="337516"/>
          <a:chOff x="1140095" y="1166098"/>
          <a:chExt cx="2200820" cy="60292"/>
        </a:xfrm>
      </xdr:grpSpPr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371E9117-423B-CE6D-7F72-545A15EEB6C3}"/>
              </a:ext>
            </a:extLst>
          </xdr:cNvPr>
          <xdr:cNvCxnSpPr/>
        </xdr:nvCxnSpPr>
        <xdr:spPr>
          <a:xfrm flipV="1">
            <a:off x="1140095" y="1192884"/>
            <a:ext cx="2200820" cy="6399"/>
          </a:xfrm>
          <a:prstGeom prst="line">
            <a:avLst/>
          </a:prstGeom>
          <a:ln w="190500">
            <a:solidFill>
              <a:schemeClr val="bg1">
                <a:lumMod val="6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" name="Rectangle 92">
            <a:extLst>
              <a:ext uri="{FF2B5EF4-FFF2-40B4-BE49-F238E27FC236}">
                <a16:creationId xmlns:a16="http://schemas.microsoft.com/office/drawing/2014/main" id="{967F39EB-9063-8A8C-E49C-613B4D3BD690}"/>
              </a:ext>
            </a:extLst>
          </xdr:cNvPr>
          <xdr:cNvSpPr/>
        </xdr:nvSpPr>
        <xdr:spPr>
          <a:xfrm>
            <a:off x="1740700" y="1166098"/>
            <a:ext cx="883566" cy="60292"/>
          </a:xfrm>
          <a:prstGeom prst="rect">
            <a:avLst/>
          </a:prstGeom>
          <a:noFill/>
          <a:ln w="6350">
            <a:noFill/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700" b="1" u="sng">
                <a:solidFill>
                  <a:schemeClr val="tx1"/>
                </a:solidFill>
              </a:rPr>
              <a:t>JL. SULTAN HADI WIJAYA</a:t>
            </a:r>
            <a:endParaRPr lang="en-US" sz="700" b="1" u="sng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376001</xdr:colOff>
      <xdr:row>27</xdr:row>
      <xdr:rowOff>108712</xdr:rowOff>
    </xdr:from>
    <xdr:to>
      <xdr:col>15</xdr:col>
      <xdr:colOff>360988</xdr:colOff>
      <xdr:row>27</xdr:row>
      <xdr:rowOff>120898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C7CB83D3-5DDC-47B0-AE7B-316660981E16}"/>
            </a:ext>
          </a:extLst>
        </xdr:cNvPr>
        <xdr:cNvCxnSpPr>
          <a:stCxn id="96" idx="1"/>
          <a:endCxn id="178" idx="7"/>
        </xdr:cNvCxnSpPr>
      </xdr:nvCxnSpPr>
      <xdr:spPr>
        <a:xfrm flipH="1" flipV="1">
          <a:off x="2214740" y="4183755"/>
          <a:ext cx="3413987" cy="1218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342445</xdr:colOff>
      <xdr:row>27</xdr:row>
      <xdr:rowOff>98080</xdr:rowOff>
    </xdr:from>
    <xdr:to>
      <xdr:col>16</xdr:col>
      <xdr:colOff>88062</xdr:colOff>
      <xdr:row>28</xdr:row>
      <xdr:rowOff>74646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A2470A2B-3A25-42E1-ABFA-7A1008B73D73}"/>
            </a:ext>
          </a:extLst>
        </xdr:cNvPr>
        <xdr:cNvGrpSpPr/>
      </xdr:nvGrpSpPr>
      <xdr:grpSpPr>
        <a:xfrm>
          <a:off x="5605688" y="4245537"/>
          <a:ext cx="126617" cy="12896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DCA995B1-50BB-4657-5CF4-85EE050EEE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C4E74934-09BF-7003-D3B1-959F9511EF42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A1BC760A-66C6-CF12-F54F-C58D427A1069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234485</xdr:colOff>
      <xdr:row>19</xdr:row>
      <xdr:rowOff>146957</xdr:rowOff>
    </xdr:from>
    <xdr:to>
      <xdr:col>10</xdr:col>
      <xdr:colOff>352716</xdr:colOff>
      <xdr:row>26</xdr:row>
      <xdr:rowOff>140734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922FB0C-B457-4DF9-A0B3-D5F4CE4C2E12}"/>
            </a:ext>
          </a:extLst>
        </xdr:cNvPr>
        <xdr:cNvSpPr txBox="1"/>
      </xdr:nvSpPr>
      <xdr:spPr>
        <a:xfrm>
          <a:off x="3211728" y="3075214"/>
          <a:ext cx="499231" cy="106057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SYG-14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SYG-15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K3-314A</a:t>
          </a:r>
        </a:p>
        <a:p>
          <a:pPr algn="l"/>
          <a:b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C6 313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TRF 160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TRF 250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CC1A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120627</xdr:colOff>
      <xdr:row>27</xdr:row>
      <xdr:rowOff>729</xdr:rowOff>
    </xdr:from>
    <xdr:to>
      <xdr:col>11</xdr:col>
      <xdr:colOff>230673</xdr:colOff>
      <xdr:row>27</xdr:row>
      <xdr:rowOff>129914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1FB3E5CA-D5EB-466A-8F53-0C3C737207DA}"/>
            </a:ext>
          </a:extLst>
        </xdr:cNvPr>
        <xdr:cNvGrpSpPr/>
      </xdr:nvGrpSpPr>
      <xdr:grpSpPr>
        <a:xfrm>
          <a:off x="3859870" y="4148186"/>
          <a:ext cx="110046" cy="12918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80E96D46-D5DA-3069-B0A6-A7DB4D2A0AC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7B407F38-31BD-BFCE-3167-49FA5308441B}"/>
              </a:ext>
            </a:extLst>
          </xdr:cNvPr>
          <xdr:cNvCxnSpPr>
            <a:stCxn id="101" idx="1"/>
            <a:endCxn id="10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25E4D398-C765-8943-B96E-EEE3B0078325}"/>
              </a:ext>
            </a:extLst>
          </xdr:cNvPr>
          <xdr:cNvCxnSpPr>
            <a:stCxn id="101" idx="3"/>
            <a:endCxn id="10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178518</xdr:colOff>
      <xdr:row>28</xdr:row>
      <xdr:rowOff>74646</xdr:rowOff>
    </xdr:from>
    <xdr:to>
      <xdr:col>16</xdr:col>
      <xdr:colOff>24754</xdr:colOff>
      <xdr:row>28</xdr:row>
      <xdr:rowOff>103846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6494B1B5-795B-4E25-8C0C-7FF6935E473E}"/>
            </a:ext>
          </a:extLst>
        </xdr:cNvPr>
        <xdr:cNvCxnSpPr>
          <a:stCxn id="96" idx="4"/>
          <a:endCxn id="106" idx="4"/>
        </xdr:cNvCxnSpPr>
      </xdr:nvCxnSpPr>
      <xdr:spPr>
        <a:xfrm flipH="1">
          <a:off x="3922257" y="4298776"/>
          <a:ext cx="1751236" cy="2920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123495</xdr:colOff>
      <xdr:row>27</xdr:row>
      <xdr:rowOff>130526</xdr:rowOff>
    </xdr:from>
    <xdr:to>
      <xdr:col>11</xdr:col>
      <xdr:colOff>233541</xdr:colOff>
      <xdr:row>28</xdr:row>
      <xdr:rowOff>103846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2A500CE5-6D52-4D39-943A-EB1FE2141CF0}"/>
            </a:ext>
          </a:extLst>
        </xdr:cNvPr>
        <xdr:cNvGrpSpPr/>
      </xdr:nvGrpSpPr>
      <xdr:grpSpPr>
        <a:xfrm>
          <a:off x="3862738" y="4277983"/>
          <a:ext cx="110046" cy="1257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182268AA-77CC-51AC-40BC-8E09AFC3FC3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16071065-001B-A019-D606-C71B744B05BF}"/>
              </a:ext>
            </a:extLst>
          </xdr:cNvPr>
          <xdr:cNvCxnSpPr>
            <a:stCxn id="106" idx="1"/>
            <a:endCxn id="1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E152087C-C73F-4402-52E9-6EB1092471BC}"/>
              </a:ext>
            </a:extLst>
          </xdr:cNvPr>
          <xdr:cNvCxnSpPr>
            <a:stCxn id="106" idx="3"/>
            <a:endCxn id="1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180463</xdr:colOff>
      <xdr:row>28</xdr:row>
      <xdr:rowOff>44535</xdr:rowOff>
    </xdr:from>
    <xdr:to>
      <xdr:col>13</xdr:col>
      <xdr:colOff>306228</xdr:colOff>
      <xdr:row>28</xdr:row>
      <xdr:rowOff>125281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2306F945-1667-4514-9056-3AEA96F97374}"/>
            </a:ext>
          </a:extLst>
        </xdr:cNvPr>
        <xdr:cNvGrpSpPr/>
      </xdr:nvGrpSpPr>
      <xdr:grpSpPr>
        <a:xfrm>
          <a:off x="4681706" y="4344392"/>
          <a:ext cx="125765" cy="80746"/>
          <a:chOff x="4056342" y="3053161"/>
          <a:chExt cx="125765" cy="76264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D33DDFBB-6814-EE00-0DC0-495EF0FC0ED0}"/>
              </a:ext>
            </a:extLst>
          </xdr:cNvPr>
          <xdr:cNvCxnSpPr/>
        </xdr:nvCxnSpPr>
        <xdr:spPr>
          <a:xfrm flipH="1" flipV="1">
            <a:off x="4056342" y="3065330"/>
            <a:ext cx="4515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584069C3-A5C0-10A6-B599-0258B1B1A02F}"/>
              </a:ext>
            </a:extLst>
          </xdr:cNvPr>
          <xdr:cNvCxnSpPr/>
        </xdr:nvCxnSpPr>
        <xdr:spPr>
          <a:xfrm flipH="1" flipV="1">
            <a:off x="4087316" y="3065960"/>
            <a:ext cx="3768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60E0627E-5933-045E-2B7C-984AE226AD84}"/>
              </a:ext>
            </a:extLst>
          </xdr:cNvPr>
          <xdr:cNvCxnSpPr/>
        </xdr:nvCxnSpPr>
        <xdr:spPr>
          <a:xfrm flipH="1" flipV="1">
            <a:off x="4114486" y="3058978"/>
            <a:ext cx="3768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1A3CF2E6-D95D-F485-7D97-F9E0FC053D13}"/>
              </a:ext>
            </a:extLst>
          </xdr:cNvPr>
          <xdr:cNvCxnSpPr/>
        </xdr:nvCxnSpPr>
        <xdr:spPr>
          <a:xfrm flipH="1" flipV="1">
            <a:off x="4136952" y="3053161"/>
            <a:ext cx="4515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273733</xdr:colOff>
      <xdr:row>27</xdr:row>
      <xdr:rowOff>85228</xdr:rowOff>
    </xdr:from>
    <xdr:to>
      <xdr:col>7</xdr:col>
      <xdr:colOff>12548</xdr:colOff>
      <xdr:row>28</xdr:row>
      <xdr:rowOff>66344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6AC03625-14AF-4B07-8406-7D22A03AF28A}"/>
            </a:ext>
          </a:extLst>
        </xdr:cNvPr>
        <xdr:cNvGrpSpPr/>
      </xdr:nvGrpSpPr>
      <xdr:grpSpPr>
        <a:xfrm>
          <a:off x="2107976" y="4232685"/>
          <a:ext cx="119815" cy="1335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8" name="Oval 177">
            <a:extLst>
              <a:ext uri="{FF2B5EF4-FFF2-40B4-BE49-F238E27FC236}">
                <a16:creationId xmlns:a16="http://schemas.microsoft.com/office/drawing/2014/main" id="{91871EE5-3E8B-EF81-44F5-B96C3B589B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F042FE7-6146-C147-6BA0-191EC1D7BE77}"/>
              </a:ext>
            </a:extLst>
          </xdr:cNvPr>
          <xdr:cNvCxnSpPr>
            <a:stCxn id="178" idx="1"/>
            <a:endCxn id="1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0BEEC42A-F691-D11F-8B3D-4F96D5B74B99}"/>
              </a:ext>
            </a:extLst>
          </xdr:cNvPr>
          <xdr:cNvCxnSpPr>
            <a:stCxn id="178" idx="3"/>
            <a:endCxn id="1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260716</xdr:colOff>
      <xdr:row>15</xdr:row>
      <xdr:rowOff>119661</xdr:rowOff>
    </xdr:from>
    <xdr:to>
      <xdr:col>14</xdr:col>
      <xdr:colOff>279653</xdr:colOff>
      <xdr:row>22</xdr:row>
      <xdr:rowOff>18447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C9219C40-53DB-4B0D-8FED-EB38EF5C6236}"/>
            </a:ext>
          </a:extLst>
        </xdr:cNvPr>
        <xdr:cNvSpPr txBox="1"/>
      </xdr:nvSpPr>
      <xdr:spPr>
        <a:xfrm>
          <a:off x="4004455" y="2405661"/>
          <a:ext cx="1161937" cy="94239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ANEKA JAYA</a:t>
          </a:r>
        </a:p>
      </xdr:txBody>
    </xdr:sp>
    <xdr:clientData/>
  </xdr:twoCellAnchor>
  <xdr:twoCellAnchor>
    <xdr:from>
      <xdr:col>15</xdr:col>
      <xdr:colOff>55002</xdr:colOff>
      <xdr:row>18</xdr:row>
      <xdr:rowOff>135225</xdr:rowOff>
    </xdr:from>
    <xdr:to>
      <xdr:col>16</xdr:col>
      <xdr:colOff>203708</xdr:colOff>
      <xdr:row>25</xdr:row>
      <xdr:rowOff>2543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CBCF94F-E994-4688-B850-5AAACA3C80CA}"/>
            </a:ext>
          </a:extLst>
        </xdr:cNvPr>
        <xdr:cNvSpPr txBox="1"/>
      </xdr:nvSpPr>
      <xdr:spPr>
        <a:xfrm>
          <a:off x="5322741" y="2868486"/>
          <a:ext cx="529706" cy="91092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SYG-14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SYG-15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K3-315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C6 312-a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CC1A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237815</xdr:colOff>
      <xdr:row>27</xdr:row>
      <xdr:rowOff>63586</xdr:rowOff>
    </xdr:from>
    <xdr:to>
      <xdr:col>12</xdr:col>
      <xdr:colOff>104060</xdr:colOff>
      <xdr:row>28</xdr:row>
      <xdr:rowOff>41396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EDA0BF7A-FD64-45F5-BE49-537B16F082E2}"/>
            </a:ext>
          </a:extLst>
        </xdr:cNvPr>
        <xdr:cNvSpPr txBox="1"/>
      </xdr:nvSpPr>
      <xdr:spPr>
        <a:xfrm>
          <a:off x="3981554" y="4138629"/>
          <a:ext cx="247245" cy="12689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3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</a:p>
      </xdr:txBody>
    </xdr:sp>
    <xdr:clientData/>
  </xdr:twoCellAnchor>
  <xdr:twoCellAnchor>
    <xdr:from>
      <xdr:col>11</xdr:col>
      <xdr:colOff>174376</xdr:colOff>
      <xdr:row>22</xdr:row>
      <xdr:rowOff>18447</xdr:rowOff>
    </xdr:from>
    <xdr:to>
      <xdr:col>11</xdr:col>
      <xdr:colOff>175650</xdr:colOff>
      <xdr:row>27</xdr:row>
      <xdr:rowOff>729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CA9BCCB1-E8F3-4C46-A659-13620B6DD509}"/>
            </a:ext>
          </a:extLst>
        </xdr:cNvPr>
        <xdr:cNvCxnSpPr>
          <a:endCxn id="101" idx="0"/>
        </xdr:cNvCxnSpPr>
      </xdr:nvCxnSpPr>
      <xdr:spPr>
        <a:xfrm>
          <a:off x="3918115" y="3348056"/>
          <a:ext cx="1274" cy="72771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149998</xdr:colOff>
      <xdr:row>23</xdr:row>
      <xdr:rowOff>109276</xdr:rowOff>
    </xdr:from>
    <xdr:to>
      <xdr:col>11</xdr:col>
      <xdr:colOff>224257</xdr:colOff>
      <xdr:row>24</xdr:row>
      <xdr:rowOff>92442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8BC74B05-F4CC-41BE-89C5-97ED0A98AD03}"/>
            </a:ext>
          </a:extLst>
        </xdr:cNvPr>
        <xdr:cNvGrpSpPr/>
      </xdr:nvGrpSpPr>
      <xdr:grpSpPr>
        <a:xfrm rot="5918630">
          <a:off x="3858588" y="3677786"/>
          <a:ext cx="135566" cy="74259"/>
          <a:chOff x="4056342" y="3053161"/>
          <a:chExt cx="125765" cy="76264"/>
        </a:xfrm>
      </xdr:grpSpPr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BF24D9C5-0486-384C-C409-A1E0C21A1898}"/>
              </a:ext>
            </a:extLst>
          </xdr:cNvPr>
          <xdr:cNvCxnSpPr/>
        </xdr:nvCxnSpPr>
        <xdr:spPr>
          <a:xfrm flipH="1" flipV="1">
            <a:off x="4056342" y="3065330"/>
            <a:ext cx="4515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94B048C0-453B-C521-0F06-C0FEBA288115}"/>
              </a:ext>
            </a:extLst>
          </xdr:cNvPr>
          <xdr:cNvCxnSpPr/>
        </xdr:nvCxnSpPr>
        <xdr:spPr>
          <a:xfrm flipH="1" flipV="1">
            <a:off x="4087316" y="3065960"/>
            <a:ext cx="3768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925544A9-15AA-C8E4-4B54-C711B54CABC7}"/>
              </a:ext>
            </a:extLst>
          </xdr:cNvPr>
          <xdr:cNvCxnSpPr/>
        </xdr:nvCxnSpPr>
        <xdr:spPr>
          <a:xfrm flipH="1" flipV="1">
            <a:off x="4114486" y="3058978"/>
            <a:ext cx="3768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95C21A86-A5A8-BB06-6898-B8832D6E75AD}"/>
              </a:ext>
            </a:extLst>
          </xdr:cNvPr>
          <xdr:cNvCxnSpPr/>
        </xdr:nvCxnSpPr>
        <xdr:spPr>
          <a:xfrm flipH="1" flipV="1">
            <a:off x="4136952" y="3053161"/>
            <a:ext cx="45155" cy="63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128014</xdr:colOff>
      <xdr:row>20</xdr:row>
      <xdr:rowOff>68708</xdr:rowOff>
    </xdr:from>
    <xdr:to>
      <xdr:col>11</xdr:col>
      <xdr:colOff>247405</xdr:colOff>
      <xdr:row>22</xdr:row>
      <xdr:rowOff>16278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BAA77A51-CE3E-4D27-9313-D974FD80CA31}"/>
            </a:ext>
          </a:extLst>
        </xdr:cNvPr>
        <xdr:cNvSpPr txBox="1"/>
      </xdr:nvSpPr>
      <xdr:spPr>
        <a:xfrm rot="5400000">
          <a:off x="3808577" y="3163319"/>
          <a:ext cx="245744" cy="11939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3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</a:t>
          </a:r>
        </a:p>
      </xdr:txBody>
    </xdr:sp>
    <xdr:clientData/>
  </xdr:twoCellAnchor>
  <xdr:twoCellAnchor>
    <xdr:from>
      <xdr:col>11</xdr:col>
      <xdr:colOff>230838</xdr:colOff>
      <xdr:row>26</xdr:row>
      <xdr:rowOff>63195</xdr:rowOff>
    </xdr:from>
    <xdr:to>
      <xdr:col>12</xdr:col>
      <xdr:colOff>99283</xdr:colOff>
      <xdr:row>27</xdr:row>
      <xdr:rowOff>38073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E723992B-B523-4207-BEAA-A2E104850766}"/>
            </a:ext>
          </a:extLst>
        </xdr:cNvPr>
        <xdr:cNvSpPr txBox="1"/>
      </xdr:nvSpPr>
      <xdr:spPr>
        <a:xfrm>
          <a:off x="3974577" y="3989152"/>
          <a:ext cx="249445" cy="1239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3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</a:t>
          </a:r>
        </a:p>
      </xdr:txBody>
    </xdr:sp>
    <xdr:clientData/>
  </xdr:twoCellAnchor>
  <xdr:twoCellAnchor>
    <xdr:from>
      <xdr:col>11</xdr:col>
      <xdr:colOff>356902</xdr:colOff>
      <xdr:row>25</xdr:row>
      <xdr:rowOff>103789</xdr:rowOff>
    </xdr:from>
    <xdr:to>
      <xdr:col>12</xdr:col>
      <xdr:colOff>209697</xdr:colOff>
      <xdr:row>28</xdr:row>
      <xdr:rowOff>98907</xdr:rowOff>
    </xdr:to>
    <xdr:sp macro="" textlink="">
      <xdr:nvSpPr>
        <xdr:cNvPr id="192" name="Freeform: Shape 191">
          <a:extLst>
            <a:ext uri="{FF2B5EF4-FFF2-40B4-BE49-F238E27FC236}">
              <a16:creationId xmlns:a16="http://schemas.microsoft.com/office/drawing/2014/main" id="{C023C0B0-879B-410D-8CDF-26822F213104}"/>
            </a:ext>
          </a:extLst>
        </xdr:cNvPr>
        <xdr:cNvSpPr/>
      </xdr:nvSpPr>
      <xdr:spPr>
        <a:xfrm>
          <a:off x="4100641" y="3880659"/>
          <a:ext cx="233795" cy="442378"/>
        </a:xfrm>
        <a:custGeom>
          <a:avLst/>
          <a:gdLst>
            <a:gd name="connsiteX0" fmla="*/ 4329 w 233795"/>
            <a:gd name="connsiteY0" fmla="*/ 108239 h 428625"/>
            <a:gd name="connsiteX1" fmla="*/ 0 w 233795"/>
            <a:gd name="connsiteY1" fmla="*/ 4330 h 428625"/>
            <a:gd name="connsiteX2" fmla="*/ 216477 w 233795"/>
            <a:gd name="connsiteY2" fmla="*/ 0 h 428625"/>
            <a:gd name="connsiteX3" fmla="*/ 233795 w 233795"/>
            <a:gd name="connsiteY3" fmla="*/ 428625 h 428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33795" h="428625">
              <a:moveTo>
                <a:pt x="4329" y="108239"/>
              </a:moveTo>
              <a:lnTo>
                <a:pt x="0" y="4330"/>
              </a:lnTo>
              <a:lnTo>
                <a:pt x="216477" y="0"/>
              </a:lnTo>
              <a:lnTo>
                <a:pt x="233795" y="428625"/>
              </a:lnTo>
            </a:path>
          </a:pathLst>
        </a:cu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49504</xdr:colOff>
      <xdr:row>25</xdr:row>
      <xdr:rowOff>68133</xdr:rowOff>
    </xdr:from>
    <xdr:to>
      <xdr:col>12</xdr:col>
      <xdr:colOff>175269</xdr:colOff>
      <xdr:row>26</xdr:row>
      <xdr:rowOff>810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4E650389-78DC-49AA-9745-76840E8F0A79}"/>
            </a:ext>
          </a:extLst>
        </xdr:cNvPr>
        <xdr:cNvGrpSpPr/>
      </xdr:nvGrpSpPr>
      <xdr:grpSpPr>
        <a:xfrm>
          <a:off x="4169747" y="3910790"/>
          <a:ext cx="125765" cy="85077"/>
          <a:chOff x="4056342" y="3053161"/>
          <a:chExt cx="125765" cy="76264"/>
        </a:xfrm>
      </xdr:grpSpPr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F10451DD-BB99-0755-7AF6-43AE550FBE0A}"/>
              </a:ext>
            </a:extLst>
          </xdr:cNvPr>
          <xdr:cNvCxnSpPr/>
        </xdr:nvCxnSpPr>
        <xdr:spPr>
          <a:xfrm flipH="1" flipV="1">
            <a:off x="4056342" y="3065330"/>
            <a:ext cx="4515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00B9590C-1F00-DABF-3822-16F567476A56}"/>
              </a:ext>
            </a:extLst>
          </xdr:cNvPr>
          <xdr:cNvCxnSpPr/>
        </xdr:nvCxnSpPr>
        <xdr:spPr>
          <a:xfrm flipH="1" flipV="1">
            <a:off x="4087316" y="3065960"/>
            <a:ext cx="3768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595200CC-6228-74BE-5A70-B38262D7395B}"/>
              </a:ext>
            </a:extLst>
          </xdr:cNvPr>
          <xdr:cNvCxnSpPr/>
        </xdr:nvCxnSpPr>
        <xdr:spPr>
          <a:xfrm flipH="1" flipV="1">
            <a:off x="4114486" y="3058978"/>
            <a:ext cx="3768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4FB6A8C1-0793-7CBB-FC14-0BD13B45544E}"/>
              </a:ext>
            </a:extLst>
          </xdr:cNvPr>
          <xdr:cNvCxnSpPr/>
        </xdr:nvCxnSpPr>
        <xdr:spPr>
          <a:xfrm flipH="1" flipV="1">
            <a:off x="4136952" y="3053161"/>
            <a:ext cx="4515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377756</xdr:colOff>
      <xdr:row>28</xdr:row>
      <xdr:rowOff>126694</xdr:rowOff>
    </xdr:from>
    <xdr:to>
      <xdr:col>11</xdr:col>
      <xdr:colOff>72154</xdr:colOff>
      <xdr:row>29</xdr:row>
      <xdr:rowOff>104391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317E0DE4-E4A6-4CE7-B388-B0DCC7264756}"/>
            </a:ext>
          </a:extLst>
        </xdr:cNvPr>
        <xdr:cNvGrpSpPr/>
      </xdr:nvGrpSpPr>
      <xdr:grpSpPr>
        <a:xfrm rot="17392456">
          <a:off x="3708649" y="4453901"/>
          <a:ext cx="130097" cy="75398"/>
          <a:chOff x="4056342" y="3053161"/>
          <a:chExt cx="125765" cy="76264"/>
        </a:xfrm>
      </xdr:grpSpPr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1EB99B58-049E-875E-ABF4-65317778BD9F}"/>
              </a:ext>
            </a:extLst>
          </xdr:cNvPr>
          <xdr:cNvCxnSpPr/>
        </xdr:nvCxnSpPr>
        <xdr:spPr>
          <a:xfrm flipH="1" flipV="1">
            <a:off x="4056342" y="3065330"/>
            <a:ext cx="4515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334AEF30-2BEF-C48A-968F-D7C0F5AADA76}"/>
              </a:ext>
            </a:extLst>
          </xdr:cNvPr>
          <xdr:cNvCxnSpPr/>
        </xdr:nvCxnSpPr>
        <xdr:spPr>
          <a:xfrm flipH="1" flipV="1">
            <a:off x="4087316" y="3065960"/>
            <a:ext cx="3768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ED32F817-7AAD-601F-9FBA-C8A0F4485361}"/>
              </a:ext>
            </a:extLst>
          </xdr:cNvPr>
          <xdr:cNvCxnSpPr/>
        </xdr:nvCxnSpPr>
        <xdr:spPr>
          <a:xfrm flipH="1" flipV="1">
            <a:off x="4114486" y="3058978"/>
            <a:ext cx="3768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3FBAC380-3DFB-0159-2DC9-E899EA161DAE}"/>
              </a:ext>
            </a:extLst>
          </xdr:cNvPr>
          <xdr:cNvCxnSpPr/>
        </xdr:nvCxnSpPr>
        <xdr:spPr>
          <a:xfrm flipH="1" flipV="1">
            <a:off x="4136952" y="3053161"/>
            <a:ext cx="45155" cy="6346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306659</xdr:colOff>
      <xdr:row>27</xdr:row>
      <xdr:rowOff>88280</xdr:rowOff>
    </xdr:from>
    <xdr:to>
      <xdr:col>11</xdr:col>
      <xdr:colOff>68652</xdr:colOff>
      <xdr:row>28</xdr:row>
      <xdr:rowOff>98370</xdr:rowOff>
    </xdr:to>
    <xdr:sp macro="" textlink="">
      <xdr:nvSpPr>
        <xdr:cNvPr id="203" name="Isosceles Triangle 202">
          <a:extLst>
            <a:ext uri="{FF2B5EF4-FFF2-40B4-BE49-F238E27FC236}">
              <a16:creationId xmlns:a16="http://schemas.microsoft.com/office/drawing/2014/main" id="{7D9DFCCE-A3F4-4D54-B4E7-F1CED899AC93}"/>
            </a:ext>
          </a:extLst>
        </xdr:cNvPr>
        <xdr:cNvSpPr/>
      </xdr:nvSpPr>
      <xdr:spPr>
        <a:xfrm>
          <a:off x="3665964" y="4256048"/>
          <a:ext cx="142993" cy="163420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1</xdr:col>
      <xdr:colOff>588818</xdr:colOff>
      <xdr:row>7</xdr:row>
      <xdr:rowOff>138546</xdr:rowOff>
    </xdr:from>
    <xdr:to>
      <xdr:col>21</xdr:col>
      <xdr:colOff>135564</xdr:colOff>
      <xdr:row>51</xdr:row>
      <xdr:rowOff>138547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780946-0082-473D-8DB5-38F4D1B45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045" y="1385455"/>
          <a:ext cx="11704110" cy="685800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1134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1135</v>
      </c>
      <c r="G7" s="529" t="s">
        <v>41</v>
      </c>
      <c r="H7" s="525" t="s">
        <v>1042</v>
      </c>
      <c r="I7" s="525" t="s">
        <v>1137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Kabel NYY 1 x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44</v>
      </c>
      <c r="G18" s="41">
        <f ca="1">IF(ISERROR(OFFSET('HARGA SATUAN'!$I$6,MATCH(C18,'HARGA SATUAN'!$C$7:$C$1492,0),0)),"",OFFSET('HARGA SATUAN'!$I$6,MATCH(C18,'HARGA SATUAN'!$C$7:$C$1492,0),0))</f>
        <v>94700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SUMIFS(RAB!$F$14:$F$61,RAB!$C$14:$C$61,C714)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SUMIFS(RAB!$F$14:$F$61,RAB!$C$14:$C$61,C715)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SUMIFS(RAB!$F$14:$F$61,RAB!$C$14:$C$61,C716)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SUMIFS(RAB!$F$14:$F$61,RAB!$C$14:$C$61,C717)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SUMIFS(RAB!$F$14:$F$61,RAB!$C$14:$C$61,C718)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SUMIFS(RAB!$F$14:$F$61,RAB!$C$14:$C$61,C719)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SUMIFS(RAB!$F$14:$F$61,RAB!$C$14:$C$61,C720)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SUMIFS(RAB!$F$14:$F$61,RAB!$C$14:$C$61,C721)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SUMIFS(RAB!$F$14:$F$61,RAB!$C$14:$C$61,C722)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SUMIFS(RAB!$F$14:$F$61,RAB!$C$14:$C$61,C723)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SUMIFS(RAB!$F$14:$F$61,RAB!$C$14:$C$61,C724)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SUMIFS(RAB!$F$14:$F$61,RAB!$C$14:$C$61,C725)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SUMIFS(RAB!$F$14:$F$61,RAB!$C$14:$C$61,C726)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SUMIFS(RAB!$F$14:$F$61,RAB!$C$14:$C$61,C727)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SUMIFS(RAB!$F$14:$F$61,RAB!$C$14:$C$61,C728)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SUMIFS(RAB!$F$14:$F$61,RAB!$C$14:$C$61,C729)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SUMIFS(RAB!$F$14:$F$61,RAB!$C$14:$C$61,C730)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SUMIFS(RAB!$F$14:$F$61,RAB!$C$14:$C$61,C731)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SUMIFS(RAB!$F$14:$F$61,RAB!$C$14:$C$61,C732)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SUMIFS(RAB!$F$14:$F$61,RAB!$C$14:$C$61,C733)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SUMIFS(RAB!$F$14:$F$61,RAB!$C$14:$C$61,C734)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SUMIFS(RAB!$F$14:$F$61,RAB!$C$14:$C$61,C735)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SUMIFS(RAB!$F$14:$F$61,RAB!$C$14:$C$61,C736)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SUMIFS(RAB!$F$14:$F$61,RAB!$C$14:$C$61,C737)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SUMIFS(RAB!$F$14:$F$61,RAB!$C$14:$C$61,C738)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SUMIFS(RAB!$F$14:$F$61,RAB!$C$14:$C$61,C739)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SUMIFS(RAB!$F$14:$F$61,RAB!$C$14:$C$61,C740)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SUMIFS(RAB!$F$14:$F$61,RAB!$C$14:$C$61,C741)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SUMIFS(RAB!$F$14:$F$61,RAB!$C$14:$C$61,C742)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SUMIFS(RAB!$F$14:$F$61,RAB!$C$14:$C$61,C743)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SUMIFS(RAB!$F$14:$F$61,RAB!$C$14:$C$61,C744)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SUMIFS(RAB!$F$14:$F$61,RAB!$C$14:$C$61,C745)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SUMIFS(RAB!$F$14:$F$61,RAB!$C$14:$C$61,C746)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SUMIFS(RAB!$F$14:$F$61,RAB!$C$14:$C$61,C747)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SUMIFS(RAB!$F$14:$F$61,RAB!$C$14:$C$61,C748)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SUMIFS(RAB!$F$14:$F$61,RAB!$C$14:$C$61,C749)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SUMIFS(RAB!$F$14:$F$61,RAB!$C$14:$C$61,C750)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SUMIFS(RAB!$F$14:$F$61,RAB!$C$14:$C$61,C751)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SUMIFS(RAB!$F$14:$F$61,RAB!$C$14:$C$61,C752)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SUMIFS(RAB!$F$14:$F$61,RAB!$C$14:$C$61,C753)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SUMIFS(RAB!$F$14:$F$61,RAB!$C$14:$C$61,C754)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SUMIFS(RAB!$F$14:$F$61,RAB!$C$14:$C$61,C755)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SUMIFS(RAB!$F$14:$F$61,RAB!$C$14:$C$61,C756)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SUMIFS(RAB!$F$14:$F$61,RAB!$C$14:$C$61,C757)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SUMIFS(RAB!$F$14:$F$61,RAB!$C$14:$C$61,C758)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SUMIFS(RAB!$F$14:$F$61,RAB!$C$14:$C$61,C759)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SUMIFS(RAB!$F$14:$F$61,RAB!$C$14:$C$61,C760)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SUMIFS(RAB!$F$14:$F$61,RAB!$C$14:$C$61,C761)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SUMIFS(RAB!$F$14:$F$61,RAB!$C$14:$C$61,C762)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SUMIFS(RAB!$F$14:$F$61,RAB!$C$14:$C$61,C763)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SUMIFS(RAB!$F$14:$F$61,RAB!$C$14:$C$61,C764)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SUMIFS(RAB!$F$14:$F$61,RAB!$C$14:$C$61,C765)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SUMIFS(RAB!$F$14:$F$61,RAB!$C$14:$C$61,C766)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SUMIFS(RAB!$F$14:$F$61,RAB!$C$14:$C$61,C767)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SUMIFS(RAB!$F$14:$F$61,RAB!$C$14:$C$61,C768)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SUMIFS(RAB!$F$14:$F$61,RAB!$C$14:$C$61,C769)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SUMIFS(RAB!$F$14:$F$61,RAB!$C$14:$C$61,C770)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SUMIFS(RAB!$F$14:$F$61,RAB!$C$14:$C$61,C771)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SUMIFS(RAB!$F$14:$F$61,RAB!$C$14:$C$61,C772)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SUMIFS(RAB!$F$14:$F$61,RAB!$C$14:$C$61,C773)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SUMIFS(RAB!$F$14:$F$61,RAB!$C$14:$C$61,C774)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SUMIFS(RAB!$F$14:$F$61,RAB!$C$14:$C$61,C775)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SUMIFS(RAB!$F$14:$F$61,RAB!$C$14:$C$61,C776)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SUMIFS(RAB!$F$14:$F$61,RAB!$C$14:$C$61,C777)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SUMIFS(RAB!$F$14:$F$61,RAB!$C$14:$C$61,C778)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SUMIFS(RAB!$F$14:$F$61,RAB!$C$14:$C$61,C779)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SUMIFS(RAB!$F$14:$F$61,RAB!$C$14:$C$61,C780)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SUMIFS(RAB!$F$14:$F$61,RAB!$C$14:$C$61,C781)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SUMIFS(RAB!$F$14:$F$61,RAB!$C$14:$C$61,C782)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SUMIFS(RAB!$F$14:$F$61,RAB!$C$14:$C$61,C783)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SUMIFS(RAB!$F$14:$F$61,RAB!$C$14:$C$61,C784)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SUMIFS(RAB!$F$14:$F$61,RAB!$C$14:$C$61,C785)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SUMIFS(RAB!$F$14:$F$61,RAB!$C$14:$C$61,C786)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SUMIFS(RAB!$F$14:$F$61,RAB!$C$14:$C$61,C787)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SUMIFS(RAB!$F$14:$F$61,RAB!$C$14:$C$61,C788)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SUMIFS(RAB!$F$14:$F$61,RAB!$C$14:$C$61,C789)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SUMIFS(RAB!$F$14:$F$61,RAB!$C$14:$C$61,C790)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SUMIFS(RAB!$F$14:$F$61,RAB!$C$14:$C$61,C791)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SUMIFS(RAB!$F$14:$F$61,RAB!$C$14:$C$61,C792)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SUMIFS(RAB!$F$14:$F$61,RAB!$C$14:$C$61,C793)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SUMIFS(RAB!$F$14:$F$61,RAB!$C$14:$C$61,C794)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SUMIFS(RAB!$F$14:$F$61,RAB!$C$14:$C$61,C795)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SUMIFS(RAB!$F$14:$F$61,RAB!$C$14:$C$61,C796)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SUMIFS(RAB!$F$14:$F$61,RAB!$C$14:$C$61,C797)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SUMIFS(RAB!$F$14:$F$61,RAB!$C$14:$C$61,C798)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SUMIFS(RAB!$F$14:$F$61,RAB!$C$14:$C$61,C799)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SUMIFS(RAB!$F$14:$F$61,RAB!$C$14:$C$61,C800)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SUMIFS(RAB!$F$14:$F$61,RAB!$C$14:$C$61,C801)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SUMIFS(RAB!$F$14:$F$61,RAB!$C$14:$C$61,C802)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SUMIFS(RAB!$F$14:$F$61,RAB!$C$14:$C$61,C803)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SUMIFS(RAB!$F$14:$F$61,RAB!$C$14:$C$61,C804)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SUMIFS(RAB!$F$14:$F$61,RAB!$C$14:$C$61,C805)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SUMIFS(RAB!$F$14:$F$61,RAB!$C$14:$C$61,C806)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SUMIFS(RAB!$F$14:$F$61,RAB!$C$14:$C$61,C807)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SUMIFS(RAB!$F$14:$F$61,RAB!$C$14:$C$61,C808)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SUMIFS(RAB!$F$14:$F$61,RAB!$C$14:$C$61,C809)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SUMIFS(RAB!$F$14:$F$61,RAB!$C$14:$C$61,C810)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SUMIFS(RAB!$F$14:$F$61,RAB!$C$14:$C$61,C811)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SUMIFS(RAB!$F$14:$F$61,RAB!$C$14:$C$61,C812)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SUMIFS(RAB!$F$14:$F$61,RAB!$C$14:$C$61,C813)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SUMIFS(RAB!$F$14:$F$61,RAB!$C$14:$C$61,C814)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SUMIFS(RAB!$F$14:$F$61,RAB!$C$14:$C$61,C815)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SUMIFS(RAB!$F$14:$F$61,RAB!$C$14:$C$61,C816)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SUMIFS(RAB!$F$14:$F$61,RAB!$C$14:$C$61,C817)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SUMIFS(RAB!$F$14:$F$61,RAB!$C$14:$C$61,C818)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SUMIFS(RAB!$F$14:$F$61,RAB!$C$14:$C$61,C819)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SUMIFS(RAB!$F$14:$F$61,RAB!$C$14:$C$61,C820)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SUMIFS(RAB!$F$14:$F$61,RAB!$C$14:$C$61,C821)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SUMIFS(RAB!$F$14:$F$61,RAB!$C$14:$C$61,C822)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SUMIFS(RAB!$F$14:$F$61,RAB!$C$14:$C$61,C823)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SUMIFS(RAB!$F$14:$F$61,RAB!$C$14:$C$61,C824)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SUMIFS(RAB!$F$14:$F$61,RAB!$C$14:$C$61,C825)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SUMIFS(RAB!$F$14:$F$61,RAB!$C$14:$C$61,C826)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SUMIFS(RAB!$F$14:$F$61,RAB!$C$14:$C$61,C827)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SUMIFS(RAB!$F$14:$F$61,RAB!$C$14:$C$61,C828)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SUMIFS(RAB!$F$14:$F$61,RAB!$C$14:$C$61,C829)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SUMIFS(RAB!$F$14:$F$61,RAB!$C$14:$C$61,C830)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SUMIFS(RAB!$F$14:$F$61,RAB!$C$14:$C$61,C831)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SUMIFS(RAB!$F$14:$F$61,RAB!$C$14:$C$61,C832)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SUMIFS(RAB!$F$14:$F$61,RAB!$C$14:$C$61,C833)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SUMIFS(RAB!$F$14:$F$61,RAB!$C$14:$C$61,C834)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SUMIFS(RAB!$F$14:$F$61,RAB!$C$14:$C$61,C835)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SUMIFS(RAB!$F$14:$F$61,RAB!$C$14:$C$61,C836)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SUMIFS(RAB!$F$14:$F$61,RAB!$C$14:$C$61,C837)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SUMIFS(RAB!$F$14:$F$61,RAB!$C$14:$C$61,C838)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SUMIFS(RAB!$F$14:$F$61,RAB!$C$14:$C$61,C839)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SUMIFS(RAB!$F$14:$F$61,RAB!$C$14:$C$61,C840)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SUMIFS(RAB!$F$14:$F$61,RAB!$C$14:$C$61,C841)</f>
        <v>44</v>
      </c>
      <c r="E841" s="26">
        <f t="shared" ca="1" si="34"/>
        <v>1</v>
      </c>
      <c r="F841" s="26">
        <f ca="1">IF(D841=0,0,SUM($E$713:E841))</f>
        <v>7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SUMIFS(RAB!$F$14:$F$61,RAB!$C$14:$C$61,C842)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SUMIFS(RAB!$F$14:$F$61,RAB!$C$14:$C$61,C843)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SUMIFS(RAB!$F$14:$F$61,RAB!$C$14:$C$61,C844)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SUMIFS(RAB!$F$14:$F$61,RAB!$C$14:$C$61,C845)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SUMIFS(RAB!$F$14:$F$61,RAB!$C$14:$C$61,C846)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SUMIFS(RAB!$F$14:$F$61,RAB!$C$14:$C$61,C847)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SUMIFS(RAB!$F$14:$F$61,RAB!$C$14:$C$61,C848)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SUMIFS(RAB!$F$14:$F$61,RAB!$C$14:$C$61,C849)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SUMIFS(RAB!$F$14:$F$61,RAB!$C$14:$C$61,C850)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SUMIFS(RAB!$F$14:$F$61,RAB!$C$14:$C$61,C851)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SUMIFS(RAB!$F$14:$F$61,RAB!$C$14:$C$61,C852)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SUMIFS(RAB!$F$14:$F$61,RAB!$C$14:$C$61,C853)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SUMIFS(RAB!$F$14:$F$61,RAB!$C$14:$C$61,C854)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SUMIFS(RAB!$F$14:$F$61,RAB!$C$14:$C$61,C855)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SUMIFS(RAB!$F$14:$F$61,RAB!$C$14:$C$61,C856)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SUMIFS(RAB!$F$14:$F$61,RAB!$C$14:$C$61,C857)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SUMIFS(RAB!$F$14:$F$61,RAB!$C$14:$C$61,C858)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SUMIFS(RAB!$F$14:$F$61,RAB!$C$14:$C$61,C859)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SUMIFS(RAB!$F$14:$F$61,RAB!$C$14:$C$61,C860)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SUMIFS(RAB!$F$14:$F$61,RAB!$C$14:$C$61,C861)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SUMIFS(RAB!$F$14:$F$61,RAB!$C$14:$C$61,C862)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SUMIFS(RAB!$F$14:$F$61,RAB!$C$14:$C$61,C863)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SUMIFS(RAB!$F$14:$F$61,RAB!$C$14:$C$61,C864)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SUMIFS(RAB!$F$14:$F$61,RAB!$C$14:$C$61,C865)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SUMIFS(RAB!$F$14:$F$61,RAB!$C$14:$C$61,C866)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SUMIFS(RAB!$F$14:$F$61,RAB!$C$14:$C$61,C867)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SUMIFS(RAB!$F$14:$F$61,RAB!$C$14:$C$61,C868)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SUMIFS(RAB!$F$14:$F$61,RAB!$C$14:$C$61,C869)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SUMIFS(RAB!$F$14:$F$61,RAB!$C$14:$C$61,C870)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SUMIFS(RAB!$F$14:$F$61,RAB!$C$14:$C$61,C871)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SUMIFS(RAB!$F$14:$F$61,RAB!$C$14:$C$61,C872)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SUMIFS(RAB!$F$14:$F$61,RAB!$C$14:$C$61,C873)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SUMIFS(RAB!$F$14:$F$61,RAB!$C$14:$C$61,C874)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SUMIFS(RAB!$F$14:$F$61,RAB!$C$14:$C$61,C875)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SUMIFS(RAB!$F$14:$F$61,RAB!$C$14:$C$61,C876)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SUMIFS(RAB!$F$14:$F$61,RAB!$C$14:$C$61,C877)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SUMIFS(RAB!$F$14:$F$61,RAB!$C$14:$C$61,C878)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SUMIFS(RAB!$F$14:$F$61,RAB!$C$14:$C$61,C879)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SUMIFS(RAB!$F$14:$F$61,RAB!$C$14:$C$61,C880)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SUMIFS(RAB!$F$14:$F$61,RAB!$C$14:$C$61,C881)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SUMIFS(RAB!$F$14:$F$61,RAB!$C$14:$C$61,C882)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SUMIFS(RAB!$F$14:$F$61,RAB!$C$14:$C$61,C883)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SUMIFS(RAB!$F$14:$F$61,RAB!$C$14:$C$61,C884)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SUMIFS(RAB!$F$14:$F$61,RAB!$C$14:$C$61,C885)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SUMIFS(RAB!$F$14:$F$61,RAB!$C$14:$C$61,C886)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SUMIFS(RAB!$F$14:$F$61,RAB!$C$14:$C$61,C887)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SUMIFS(RAB!$F$14:$F$61,RAB!$C$14:$C$61,C888)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SUMIFS(RAB!$F$14:$F$61,RAB!$C$14:$C$61,C889)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SUMIFS(RAB!$F$14:$F$61,RAB!$C$14:$C$61,C890)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SUMIFS(RAB!$F$14:$F$61,RAB!$C$14:$C$61,C891)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SUMIFS(RAB!$F$14:$F$61,RAB!$C$14:$C$61,C892)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SUMIFS(RAB!$F$14:$F$61,RAB!$C$14:$C$61,C893)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SUMIFS(RAB!$F$14:$F$61,RAB!$C$14:$C$61,C894)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SUMIFS(RAB!$F$14:$F$61,RAB!$C$14:$C$61,C895)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SUMIFS(RAB!$F$14:$F$61,RAB!$C$14:$C$61,C896)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SUMIFS(RAB!$F$14:$F$61,RAB!$C$14:$C$61,C897)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SUMIFS(RAB!$F$14:$F$61,RAB!$C$14:$C$61,C898)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SUMIFS(RAB!$F$14:$F$61,RAB!$C$14:$C$61,C899)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SUMIFS(RAB!$F$14:$F$61,RAB!$C$14:$C$61,C900)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SUMIFS(RAB!$F$14:$F$61,RAB!$C$14:$C$61,C901)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SUMIFS(RAB!$F$14:$F$61,RAB!$C$14:$C$61,C902)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SUMIFS(RAB!$F$14:$F$61,RAB!$C$14:$C$61,C903)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SUMIFS(RAB!$F$14:$F$61,RAB!$C$14:$C$61,C904)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SUMIFS(RAB!$F$14:$F$61,RAB!$C$14:$C$61,C905)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SUMIFS(RAB!$F$14:$F$61,RAB!$C$14:$C$61,C906)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SUMIFS(RAB!$F$14:$F$61,RAB!$C$14:$C$61,C907)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SUMIFS(RAB!$F$14:$F$61,RAB!$C$14:$C$61,C908)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SUMIFS(RAB!$F$14:$F$61,RAB!$C$14:$C$61,C909)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SUMIFS(RAB!$F$14:$F$61,RAB!$C$14:$C$61,C910)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SUMIFS(RAB!$F$14:$F$61,RAB!$C$14:$C$61,C911)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SUMIFS(RAB!$F$14:$F$61,RAB!$C$14:$C$61,C912)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SUMIFS(RAB!$F$14:$F$61,RAB!$C$14:$C$61,C913)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SUMIFS(RAB!$F$14:$F$61,RAB!$C$14:$C$61,C914)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SUMIFS(RAB!$F$14:$F$61,RAB!$C$14:$C$61,C915)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SUMIFS(RAB!$F$14:$F$61,RAB!$C$14:$C$61,C916)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SUMIFS(RAB!$F$14:$F$61,RAB!$C$14:$C$61,C917)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SUMIFS(RAB!$F$14:$F$61,RAB!$C$14:$C$61,C918)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SUMIFS(RAB!$F$14:$F$61,RAB!$C$14:$C$61,C919)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SUMIFS(RAB!$F$14:$F$61,RAB!$C$14:$C$61,C920)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SUMIFS(RAB!$F$14:$F$61,RAB!$C$14:$C$61,C921)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SUMIFS(RAB!$F$14:$F$61,RAB!$C$14:$C$61,C922)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SUMIFS(RAB!$F$14:$F$61,RAB!$C$14:$C$61,C923)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SUMIFS(RAB!$F$14:$F$61,RAB!$C$14:$C$61,C924)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SUMIFS(RAB!$F$14:$F$61,RAB!$C$14:$C$61,C925)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SUMIFS(RAB!$F$14:$F$61,RAB!$C$14:$C$61,C926)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SUMIFS(RAB!$F$14:$F$61,RAB!$C$14:$C$61,C927)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SUMIFS(RAB!$F$14:$F$61,RAB!$C$14:$C$61,C928)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SUMIFS(RAB!$F$14:$F$61,RAB!$C$14:$C$61,C929)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SUMIFS(RAB!$F$14:$F$61,RAB!$C$14:$C$61,C930)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SUMIFS(RAB!$F$14:$F$61,RAB!$C$14:$C$61,C931)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SUMIFS(RAB!$F$14:$F$61,RAB!$C$14:$C$61,C932)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SUMIFS(RAB!$F$14:$F$61,RAB!$C$14:$C$61,C933)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SUMIFS(RAB!$F$14:$F$61,RAB!$C$14:$C$61,C934)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SUMIFS(RAB!$F$14:$F$61,RAB!$C$14:$C$61,C935)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SUMIFS(RAB!$F$14:$F$61,RAB!$C$14:$C$61,C936)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SUMIFS(RAB!$F$14:$F$61,RAB!$C$14:$C$61,C937)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SUMIFS(RAB!$F$14:$F$61,RAB!$C$14:$C$61,C938)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SUMIFS(RAB!$F$14:$F$61,RAB!$C$14:$C$61,C939)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SUMIFS(RAB!$F$14:$F$61,RAB!$C$14:$C$61,C940)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SUMIFS(RAB!$F$14:$F$61,RAB!$C$14:$C$61,C941)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SUMIFS(RAB!$F$14:$F$61,RAB!$C$14:$C$61,C942)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SUMIFS(RAB!$F$14:$F$61,RAB!$C$14:$C$61,C943)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SUMIFS(RAB!$F$14:$F$61,RAB!$C$14:$C$61,C944)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SUMIFS(RAB!$F$14:$F$61,RAB!$C$14:$C$61,C945)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SUMIFS(RAB!$F$14:$F$61,RAB!$C$14:$C$61,C946)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SUMIFS(RAB!$F$14:$F$61,RAB!$C$14:$C$61,C947)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SUMIFS(RAB!$F$14:$F$61,RAB!$C$14:$C$61,C948)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SUMIFS(RAB!$F$14:$F$61,RAB!$C$14:$C$61,C949)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SUMIFS(RAB!$F$14:$F$61,RAB!$C$14:$C$61,C950)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SUMIFS(RAB!$F$14:$F$61,RAB!$C$14:$C$61,C951)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SUMIFS(RAB!$F$14:$F$61,RAB!$C$14:$C$61,C952)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SUMIFS(RAB!$F$14:$F$61,RAB!$C$14:$C$61,C953)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SUMIFS(RAB!$F$14:$F$61,RAB!$C$14:$C$61,C954)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SUMIFS(RAB!$F$14:$F$61,RAB!$C$14:$C$61,C955)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SUMIFS(RAB!$F$14:$F$61,RAB!$C$14:$C$61,C956)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SUMIFS(RAB!$F$14:$F$61,RAB!$C$14:$C$61,C957)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SUMIFS(RAB!$F$14:$F$61,RAB!$C$14:$C$61,C958)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SUMIFS(RAB!$F$14:$F$61,RAB!$C$14:$C$61,C959)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SUMIFS(RAB!$F$14:$F$61,RAB!$C$14:$C$61,C960)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SUMIFS(RAB!$F$14:$F$61,RAB!$C$14:$C$61,C961)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SUMIFS(RAB!$F$14:$F$61,RAB!$C$14:$C$61,C962)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SUMIFS(RAB!$F$14:$F$61,RAB!$C$14:$C$61,C963)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SUMIFS(RAB!$F$14:$F$61,RAB!$C$14:$C$61,C964)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SUMIFS(RAB!$F$14:$F$61,RAB!$C$14:$C$61,C965)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SUMIFS(RAB!$F$14:$F$61,RAB!$C$14:$C$61,C966)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SUMIFS(RAB!$F$14:$F$61,RAB!$C$14:$C$61,C967)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SUMIFS(RAB!$F$14:$F$61,RAB!$C$14:$C$61,C968)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SUMIFS(RAB!$F$14:$F$61,RAB!$C$14:$C$61,C969)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SUMIFS(RAB!$F$14:$F$61,RAB!$C$14:$C$61,C970)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SUMIFS(RAB!$F$14:$F$61,RAB!$C$14:$C$61,C971)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SUMIFS(RAB!$F$14:$F$61,RAB!$C$14:$C$61,C972)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SUMIFS(RAB!$F$14:$F$61,RAB!$C$14:$C$61,C973)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SUMIFS(RAB!$F$14:$F$61,RAB!$C$14:$C$61,C974)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SUMIFS(RAB!$F$14:$F$61,RAB!$C$14:$C$61,C975)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SUMIFS(RAB!$F$14:$F$61,RAB!$C$14:$C$61,C976)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SUMIFS(RAB!$F$14:$F$61,RAB!$C$14:$C$61,C977)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SUMIFS(RAB!$F$14:$F$61,RAB!$C$14:$C$61,C978)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SUMIFS(RAB!$F$14:$F$61,RAB!$C$14:$C$61,C979)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SUMIFS(RAB!$F$14:$F$61,RAB!$C$14:$C$61,C980)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SUMIFS(RAB!$F$14:$F$61,RAB!$C$14:$C$61,C981)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SUMIFS(RAB!$F$14:$F$61,RAB!$C$14:$C$61,C982)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SUMIFS(RAB!$F$14:$F$61,RAB!$C$14:$C$61,C983)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SUMIFS(RAB!$F$14:$F$61,RAB!$C$14:$C$61,C984)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SUMIFS(RAB!$F$14:$F$61,RAB!$C$14:$C$61,C985)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SUMIFS(RAB!$F$14:$F$61,RAB!$C$14:$C$61,C986)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SUMIFS(RAB!$F$14:$F$61,RAB!$C$14:$C$61,C987)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SUMIFS(RAB!$F$14:$F$61,RAB!$C$14:$C$61,C988)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SUMIFS(RAB!$F$14:$F$61,RAB!$C$14:$C$61,C989)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SUMIFS(RAB!$F$14:$F$61,RAB!$C$14:$C$61,C990)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SUMIFS(RAB!$F$14:$F$61,RAB!$C$14:$C$61,C991)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SUMIFS(RAB!$F$14:$F$61,RAB!$C$14:$C$61,C992)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SUMIFS(RAB!$F$14:$F$61,RAB!$C$14:$C$61,C993)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SUMIFS(RAB!$F$14:$F$61,RAB!$C$14:$C$61,C994)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SUMIFS(RAB!$F$14:$F$61,RAB!$C$14:$C$61,C995)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SUMIFS(RAB!$F$14:$F$61,RAB!$C$14:$C$61,C996)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SUMIFS(RAB!$F$14:$F$61,RAB!$C$14:$C$61,C997)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SUMIFS(RAB!$F$14:$F$61,RAB!$C$14:$C$61,C998)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SUMIFS(RAB!$F$14:$F$61,RAB!$C$14:$C$61,C999)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SUMIFS(RAB!$F$14:$F$61,RAB!$C$14:$C$61,C1000)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SUMIFS(RAB!$F$14:$F$61,RAB!$C$14:$C$61,C1001)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SUMIFS(RAB!$F$14:$F$61,RAB!$C$14:$C$61,C1002)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SUMIFS(RAB!$F$14:$F$61,RAB!$C$14:$C$61,C1003)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SUMIFS(RAB!$F$14:$F$61,RAB!$C$14:$C$61,C1004)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SUMIFS(RAB!$F$14:$F$61,RAB!$C$14:$C$61,C1005)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SUMIFS(RAB!$F$14:$F$61,RAB!$C$14:$C$61,C1006)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SUMIFS(RAB!$F$14:$F$61,RAB!$C$14:$C$61,C1007)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SUMIFS(RAB!$F$14:$F$61,RAB!$C$14:$C$61,C1008)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SUMIFS(RAB!$F$14:$F$61,RAB!$C$14:$C$61,C1009)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SUMIFS(RAB!$F$14:$F$61,RAB!$C$14:$C$61,C1010)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SUMIFS(RAB!$F$14:$F$61,RAB!$C$14:$C$61,C1011)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SUMIFS(RAB!$F$14:$F$61,RAB!$C$14:$C$61,C1012)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SUMIFS(RAB!$F$14:$F$61,RAB!$C$14:$C$61,C1013)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SUMIFS(RAB!$F$14:$F$61,RAB!$C$14:$C$61,C1014)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SUMIFS(RAB!$F$14:$F$61,RAB!$C$14:$C$61,C1015)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SUMIFS(RAB!$F$14:$F$61,RAB!$C$14:$C$61,C1016)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SUMIFS(RAB!$F$14:$F$61,RAB!$C$14:$C$61,C1017)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SUMIFS(RAB!$F$14:$F$61,RAB!$C$14:$C$61,C1018)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SUMIFS(RAB!$F$14:$F$61,RAB!$C$14:$C$61,C1019)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SUMIFS(RAB!$F$14:$F$61,RAB!$C$14:$C$61,C1020)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SUMIFS(RAB!$F$14:$F$61,RAB!$C$14:$C$61,C1021)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SUMIFS(RAB!$F$14:$F$61,RAB!$C$14:$C$61,C1022)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SUMIFS(RAB!$F$14:$F$61,RAB!$C$14:$C$61,C1023)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SUMIFS(RAB!$F$14:$F$61,RAB!$C$14:$C$61,C1024)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SUMIFS(RAB!$F$14:$F$61,RAB!$C$14:$C$61,C1025)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SUMIFS(RAB!$F$14:$F$61,RAB!$C$14:$C$61,C1026)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SUMIFS(RAB!$F$14:$F$61,RAB!$C$14:$C$61,C1027)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SUMIFS(RAB!$F$14:$F$61,RAB!$C$14:$C$61,C1028)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SUMIFS(RAB!$F$14:$F$61,RAB!$C$14:$C$61,C1029)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SUMIFS(RAB!$F$14:$F$61,RAB!$C$14:$C$61,C1030)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SUMIFS(RAB!$F$14:$F$61,RAB!$C$14:$C$61,C1031)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SUMIFS(RAB!$F$14:$F$61,RAB!$C$14:$C$61,C1032)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SUMIFS(RAB!$F$14:$F$61,RAB!$C$14:$C$61,C1033)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SUMIFS(RAB!$F$14:$F$61,RAB!$C$14:$C$61,C1034)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SUMIFS(RAB!$F$14:$F$61,RAB!$C$14:$C$61,C1035)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SUMIFS(RAB!$F$14:$F$61,RAB!$C$14:$C$61,C1036)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SUMIFS(RAB!$F$14:$F$61,RAB!$C$14:$C$61,C1037)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SUMIFS(RAB!$F$14:$F$61,RAB!$C$14:$C$61,C1038)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SUMIFS(RAB!$F$14:$F$61,RAB!$C$14:$C$61,C1039)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SUMIFS(RAB!$F$14:$F$61,RAB!$C$14:$C$61,C1040)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SUMIFS(RAB!$F$14:$F$61,RAB!$C$14:$C$61,C1041)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SUMIFS(RAB!$F$14:$F$61,RAB!$C$14:$C$61,C1042)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SUMIFS(RAB!$F$14:$F$61,RAB!$C$14:$C$61,C1043)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SUMIFS(RAB!$F$14:$F$61,RAB!$C$14:$C$61,C1044)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SUMIFS(RAB!$F$14:$F$61,RAB!$C$14:$C$61,C1045)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SUMIFS(RAB!$F$14:$F$61,RAB!$C$14:$C$61,C1046)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SUMIFS(RAB!$F$14:$F$61,RAB!$C$14:$C$61,C1047)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SUMIFS(RAB!$F$14:$F$61,RAB!$C$14:$C$61,C1048)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SUMIFS(RAB!$F$14:$F$61,RAB!$C$14:$C$61,C1049)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SUMIFS(RAB!$F$14:$F$61,RAB!$C$14:$C$61,C1050)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SUMIFS(RAB!$F$14:$F$61,RAB!$C$14:$C$61,C1051)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SUMIFS(RAB!$F$14:$F$61,RAB!$C$14:$C$61,C1052)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SUMIFS(RAB!$F$14:$F$61,RAB!$C$14:$C$61,C1053)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SUMIFS(RAB!$F$14:$F$61,RAB!$C$14:$C$61,C1054)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SUMIFS(RAB!$F$14:$F$61,RAB!$C$14:$C$61,C1055)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SUMIFS(RAB!$F$14:$F$61,RAB!$C$14:$C$61,C1056)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SUMIFS(RAB!$F$14:$F$61,RAB!$C$14:$C$61,C1057)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SUMIFS(RAB!$F$14:$F$61,RAB!$C$14:$C$61,C1058)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SUMIFS(RAB!$F$14:$F$61,RAB!$C$14:$C$61,C1059)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SUMIFS(RAB!$F$14:$F$61,RAB!$C$14:$C$61,C1060)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SUMIFS(RAB!$F$14:$F$61,RAB!$C$14:$C$61,C1061)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SUMIFS(RAB!$F$14:$F$61,RAB!$C$14:$C$61,C1062)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SUMIFS(RAB!$F$14:$F$61,RAB!$C$14:$C$61,C1063)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SUMIFS(RAB!$F$14:$F$61,RAB!$C$14:$C$61,C1064)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SUMIFS(RAB!$F$14:$F$61,RAB!$C$14:$C$61,C1065)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SUMIFS(RAB!$F$14:$F$61,RAB!$C$14:$C$61,C1066)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SUMIFS(RAB!$F$14:$F$61,RAB!$C$14:$C$61,C1067)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SUMIFS(RAB!$F$14:$F$61,RAB!$C$14:$C$61,C1068)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SUMIFS(RAB!$F$14:$F$61,RAB!$C$14:$C$61,C1069)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SUMIFS(RAB!$F$14:$F$61,RAB!$C$14:$C$61,C1070)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SUMIFS(RAB!$F$14:$F$61,RAB!$C$14:$C$61,C1071)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SUMIFS(RAB!$F$14:$F$61,RAB!$C$14:$C$61,C1072)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SUMIFS(RAB!$F$14:$F$61,RAB!$C$14:$C$61,C1073)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SUMIFS(RAB!$F$14:$F$61,RAB!$C$14:$C$61,C1074)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SUMIFS(RAB!$F$14:$F$61,RAB!$C$14:$C$61,C1075)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SUMIFS(RAB!$F$14:$F$61,RAB!$C$14:$C$61,C1076)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SUMIFS(RAB!$F$14:$F$61,RAB!$C$14:$C$61,C1077)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SUMIFS(RAB!$F$14:$F$61,RAB!$C$14:$C$61,C1078)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SUMIFS(RAB!$F$14:$F$61,RAB!$C$14:$C$61,C1079)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SUMIFS(RAB!$F$14:$F$61,RAB!$C$14:$C$61,C1080)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SUMIFS(RAB!$F$14:$F$61,RAB!$C$14:$C$61,C1081)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SUMIFS(RAB!$F$14:$F$61,RAB!$C$14:$C$61,C1082)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SUMIFS(RAB!$F$14:$F$61,RAB!$C$14:$C$61,C1083)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SUMIFS(RAB!$F$14:$F$61,RAB!$C$14:$C$61,C1084)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SUMIFS(RAB!$F$14:$F$61,RAB!$C$14:$C$61,C1085)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SUMIFS(RAB!$F$14:$F$61,RAB!$C$14:$C$61,C1086)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SUMIFS(RAB!$F$14:$F$61,RAB!$C$14:$C$61,C1087)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SUMIFS(RAB!$F$14:$F$61,RAB!$C$14:$C$61,C1088)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SUMIFS(RAB!$F$14:$F$61,RAB!$C$14:$C$61,C1089)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SUMIFS(RAB!$F$14:$F$61,RAB!$C$14:$C$61,C1090)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SUMIFS(RAB!$F$14:$F$61,RAB!$C$14:$C$61,C1091)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SUMIFS(RAB!$F$14:$F$61,RAB!$C$14:$C$61,C1092)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SUMIFS(RAB!$F$14:$F$61,RAB!$C$14:$C$61,C1093)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SUMIFS(RAB!$F$14:$F$61,RAB!$C$14:$C$61,C1094)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SUMIFS(RAB!$F$14:$F$61,RAB!$C$14:$C$61,C1095)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SUMIFS(RAB!$F$14:$F$61,RAB!$C$14:$C$61,C1096)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SUMIFS(RAB!$F$14:$F$61,RAB!$C$14:$C$61,C1097)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SUMIFS(RAB!$F$14:$F$61,RAB!$C$14:$C$61,C1098)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SUMIFS(RAB!$F$14:$F$61,RAB!$C$14:$C$61,C1099)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SUMIFS(RAB!$F$14:$F$61,RAB!$C$14:$C$61,C1100)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SUMIFS(RAB!$F$14:$F$61,RAB!$C$14:$C$61,C1101)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SUMIFS(RAB!$F$14:$F$61,RAB!$C$14:$C$61,C1102)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SUMIFS(RAB!$F$14:$F$61,RAB!$C$14:$C$61,C1103)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SUMIFS(RAB!$F$14:$F$61,RAB!$C$14:$C$61,C1104)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SUMIFS(RAB!$F$14:$F$61,RAB!$C$14:$C$61,C1105)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SUMIFS(RAB!$F$14:$F$61,RAB!$C$14:$C$61,C1106)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SUMIFS(RAB!$F$14:$F$61,RAB!$C$14:$C$61,C1107)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SUMIFS(RAB!$F$14:$F$61,RAB!$C$14:$C$61,C1108)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SUMIFS(RAB!$F$14:$F$61,RAB!$C$14:$C$61,C1109)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SUMIFS(RAB!$F$14:$F$61,RAB!$C$14:$C$61,C1110)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SUMIFS(RAB!$F$14:$F$61,RAB!$C$14:$C$61,C1111)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SUMIFS(RAB!$F$14:$F$61,RAB!$C$14:$C$61,C1112)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SUMIFS(RAB!$F$14:$F$61,RAB!$C$14:$C$61,C1113)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SUMIFS(RAB!$F$14:$F$61,RAB!$C$14:$C$61,C1114)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SUMIFS(RAB!$F$14:$F$61,RAB!$C$14:$C$61,C1115)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SUMIFS(RAB!$F$14:$F$61,RAB!$C$14:$C$61,C1116)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SUMIFS(RAB!$F$14:$F$61,RAB!$C$14:$C$61,C1117)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SUMIFS(RAB!$F$14:$F$61,RAB!$C$14:$C$61,C1118)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SUMIFS(RAB!$F$14:$F$61,RAB!$C$14:$C$61,C1119)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SUMIFS(RAB!$F$14:$F$61,RAB!$C$14:$C$61,C1120)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SUMIFS(RAB!$F$14:$F$61,RAB!$C$14:$C$61,C1121)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SUMIFS(RAB!$F$14:$F$61,RAB!$C$14:$C$61,C1122)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SUMIFS(RAB!$F$14:$F$61,RAB!$C$14:$C$61,C1123)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SUMIFS(RAB!$F$14:$F$61,RAB!$C$14:$C$61,C1124)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SUMIFS(RAB!$F$14:$F$61,RAB!$C$14:$C$61,C1125)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SUMIFS(RAB!$F$14:$F$61,RAB!$C$14:$C$61,C1126)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SUMIFS(RAB!$F$14:$F$61,RAB!$C$14:$C$61,C1127)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SUMIFS(RAB!$F$14:$F$61,RAB!$C$14:$C$61,C1128)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SUMIFS(RAB!$F$14:$F$61,RAB!$C$14:$C$61,C1129)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SUMIFS(RAB!$F$14:$F$61,RAB!$C$14:$C$61,C1130)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SUMIFS(RAB!$F$14:$F$61,RAB!$C$14:$C$61,C1131)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SUMIFS(RAB!$F$14:$F$61,RAB!$C$14:$C$61,C1132)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SUMIFS(RAB!$F$14:$F$61,RAB!$C$14:$C$61,C1133)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SUMIFS(RAB!$F$14:$F$61,RAB!$C$14:$C$61,C1134)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SUMIFS(RAB!$F$14:$F$61,RAB!$C$14:$C$61,C1135)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SUMIFS(RAB!$F$14:$F$61,RAB!$C$14:$C$61,C1136)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SUMIFS(RAB!$F$14:$F$61,RAB!$C$14:$C$61,C1137)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SUMIFS(RAB!$F$14:$F$61,RAB!$C$14:$C$61,C1138)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SUMIFS(RAB!$F$14:$F$61,RAB!$C$14:$C$61,C1139)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SUMIFS(RAB!$F$14:$F$61,RAB!$C$14:$C$61,C1140)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SUMIFS(RAB!$F$14:$F$61,RAB!$C$14:$C$61,C1141)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SUMIFS(RAB!$F$14:$F$61,RAB!$C$14:$C$61,C1142)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SUMIFS(RAB!$F$14:$F$61,RAB!$C$14:$C$61,C1143)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SUMIFS(RAB!$F$14:$F$61,RAB!$C$14:$C$61,C1144)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SUMIFS(RAB!$F$14:$F$61,RAB!$C$14:$C$61,C1145)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SUMIFS(RAB!$F$14:$F$61,RAB!$C$14:$C$61,C1146)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SUMIFS(RAB!$F$14:$F$61,RAB!$C$14:$C$61,C1147)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SUMIFS(RAB!$F$14:$F$61,RAB!$C$14:$C$61,C1148)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SUMIFS(RAB!$F$14:$F$61,RAB!$C$14:$C$61,C1149)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SUMIFS(RAB!$F$14:$F$61,RAB!$C$14:$C$61,C1150)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SUMIFS(RAB!$F$14:$F$61,RAB!$C$14:$C$61,C1151)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SUMIFS(RAB!$F$14:$F$61,RAB!$C$14:$C$61,C1152)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SUMIFS(RAB!$F$14:$F$61,RAB!$C$14:$C$61,C1153)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SUMIFS(RAB!$F$14:$F$61,RAB!$C$14:$C$61,C1154)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SUMIFS(RAB!$F$14:$F$61,RAB!$C$14:$C$61,C1155)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SUMIFS(RAB!$F$14:$F$61,RAB!$C$14:$C$61,C1156)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SUMIFS(RAB!$F$14:$F$61,RAB!$C$14:$C$61,C1157)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SUMIFS(RAB!$F$14:$F$61,RAB!$C$14:$C$61,C1158)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SUMIFS(RAB!$F$14:$F$61,RAB!$C$14:$C$61,C1159)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SUMIFS(RAB!$F$14:$F$61,RAB!$C$14:$C$61,C1160)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SUMIFS(RAB!$F$14:$F$61,RAB!$C$14:$C$61,C1161)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SUMIFS(RAB!$F$14:$F$61,RAB!$C$14:$C$61,C1162)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SUMIFS(RAB!$F$14:$F$61,RAB!$C$14:$C$61,C1163)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SUMIFS(RAB!$F$14:$F$61,RAB!$C$14:$C$61,C1164)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SUMIFS(RAB!$F$14:$F$61,RAB!$C$14:$C$61,C1165)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SUMIFS(RAB!$F$14:$F$61,RAB!$C$14:$C$61,C1166)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SUMIFS(RAB!$F$14:$F$61,RAB!$C$14:$C$61,C1167)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SUMIFS(RAB!$F$14:$F$61,RAB!$C$14:$C$61,C1168)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SUMIFS(RAB!$F$14:$F$61,RAB!$C$14:$C$61,C1169)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SUMIFS(RAB!$F$14:$F$61,RAB!$C$14:$C$61,C1170)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SUMIFS(RAB!$F$14:$F$61,RAB!$C$14:$C$61,C1171)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SUMIFS(RAB!$F$14:$F$61,RAB!$C$14:$C$61,C1172)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SUMIFS(RAB!$F$14:$F$61,RAB!$C$14:$C$61,C1173)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SUMIFS(RAB!$F$14:$F$61,RAB!$C$14:$C$61,C1174)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SUMIFS(RAB!$F$14:$F$61,RAB!$C$14:$C$61,C1175)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SUMIFS(RAB!$F$14:$F$61,RAB!$C$14:$C$61,C1176)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SUMIFS(RAB!$F$14:$F$61,RAB!$C$14:$C$61,C1177)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SUMIFS(RAB!$F$14:$F$61,RAB!$C$14:$C$61,C1178)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SUMIFS(RAB!$F$14:$F$61,RAB!$C$14:$C$61,C1179)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SUMIFS(RAB!$F$14:$F$61,RAB!$C$14:$C$61,C1180)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SUMIFS(RAB!$F$14:$F$61,RAB!$C$14:$C$61,C1181)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SUMIFS(RAB!$F$14:$F$61,RAB!$C$14:$C$61,C1182)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SUMIFS(RAB!$F$14:$F$61,RAB!$C$14:$C$61,C1183)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SUMIFS(RAB!$F$14:$F$61,RAB!$C$14:$C$61,C1184)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SUMIFS(RAB!$F$14:$F$61,RAB!$C$14:$C$61,C1185)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SUMIFS(RAB!$F$14:$F$61,RAB!$C$14:$C$61,C1186)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SUMIFS(RAB!$F$14:$F$61,RAB!$C$14:$C$61,C1187)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SUMIFS(RAB!$F$14:$F$61,RAB!$C$14:$C$61,C1188)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SUMIFS(RAB!$F$14:$F$61,RAB!$C$14:$C$61,C1189)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SUMIFS(RAB!$F$14:$F$61,RAB!$C$14:$C$61,C1190)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SUMIFS(RAB!$F$14:$F$61,RAB!$C$14:$C$61,C1191)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SUMIFS(RAB!$F$14:$F$61,RAB!$C$14:$C$61,C1192)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SUMIFS(RAB!$F$14:$F$61,RAB!$C$14:$C$61,C1193)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SUMIFS(RAB!$F$14:$F$61,RAB!$C$14:$C$61,C1194)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SUMIFS(RAB!$F$14:$F$61,RAB!$C$14:$C$61,C1195)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SUMIFS(RAB!$F$14:$F$61,RAB!$C$14:$C$61,C1196)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SUMIFS(RAB!$F$14:$F$61,RAB!$C$14:$C$61,C1197)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SUMIFS(RAB!$F$14:$F$61,RAB!$C$14:$C$61,C1198)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SUMIFS(RAB!$F$14:$F$61,RAB!$C$14:$C$61,C1199)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SUMIFS(RAB!$F$14:$F$61,RAB!$C$14:$C$61,C1200)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SUMIFS(RAB!$F$14:$F$61,RAB!$C$14:$C$61,C1201)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SUMIFS(RAB!$F$14:$F$61,RAB!$C$14:$C$61,C1202)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SUMIFS(RAB!$F$14:$F$61,RAB!$C$14:$C$61,C1203)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SUMIFS(RAB!$F$14:$F$61,RAB!$C$14:$C$61,C1204)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SUMIFS(RAB!$F$14:$F$61,RAB!$C$14:$C$61,C1205)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SUMIFS(RAB!$F$14:$F$61,RAB!$C$14:$C$61,C1206)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SUMIFS(RAB!$F$14:$F$61,RAB!$C$14:$C$61,C1207)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SUMIFS(RAB!$F$14:$F$61,RAB!$C$14:$C$61,C1208)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SUMIFS(RAB!$F$14:$F$61,RAB!$C$14:$C$61,C1209)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SUMIFS(RAB!$F$14:$F$61,RAB!$C$14:$C$61,C1210)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SUMIFS(RAB!$F$14:$F$61,RAB!$C$14:$C$61,C1211)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SUMIFS(RAB!$F$14:$F$61,RAB!$C$14:$C$61,C1212)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SUMIFS(RAB!$F$14:$F$61,RAB!$C$14:$C$61,C1213)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SUMIFS(RAB!$F$14:$F$61,RAB!$C$14:$C$61,C1214)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SUMIFS(RAB!$F$14:$F$61,RAB!$C$14:$C$61,C1215)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SUMIFS(RAB!$F$14:$F$61,RAB!$C$14:$C$61,C1216)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SUMIFS(RAB!$F$14:$F$61,RAB!$C$14:$C$61,C1217)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SUMIFS(RAB!$F$14:$F$61,RAB!$C$14:$C$61,C1218)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SUMIFS(RAB!$F$14:$F$61,RAB!$C$14:$C$61,C1219)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SUMIFS(RAB!$F$14:$F$61,RAB!$C$14:$C$61,C1220)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SUMIFS(RAB!$F$14:$F$61,RAB!$C$14:$C$61,C1221)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SUMIFS(RAB!$F$14:$F$61,RAB!$C$14:$C$61,C1222)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SUMIFS(RAB!$F$14:$F$61,RAB!$C$14:$C$61,C1223)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SUMIFS(RAB!$F$14:$F$61,RAB!$C$14:$C$61,C1224)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SUMIFS(RAB!$F$14:$F$61,RAB!$C$14:$C$61,C1225)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SUMIFS(RAB!$F$14:$F$61,RAB!$C$14:$C$61,C1226)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SUMIFS(RAB!$F$14:$F$61,RAB!$C$14:$C$61,C1227)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SUMIFS(RAB!$F$14:$F$61,RAB!$C$14:$C$61,C1228)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SUMIFS(RAB!$F$14:$F$61,RAB!$C$14:$C$61,C1229)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SUMIFS(RAB!$F$14:$F$61,RAB!$C$14:$C$61,C1230)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SUMIFS(RAB!$F$14:$F$61,RAB!$C$14:$C$61,C1231)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SUMIFS(RAB!$F$14:$F$61,RAB!$C$14:$C$61,C1232)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SUMIFS(RAB!$F$14:$F$61,RAB!$C$14:$C$61,C1233)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SUMIFS(RAB!$F$14:$F$61,RAB!$C$14:$C$61,C1234)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SUMIFS(RAB!$F$14:$F$61,RAB!$C$14:$C$61,C1235)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SUMIFS(RAB!$F$14:$F$61,RAB!$C$14:$C$61,C1236)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SUMIFS(RAB!$F$14:$F$61,RAB!$C$14:$C$61,C1237)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SUMIFS(RAB!$F$14:$F$61,RAB!$C$14:$C$61,C1238)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SUMIFS(RAB!$F$14:$F$61,RAB!$C$14:$C$61,C1239)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SUMIFS(RAB!$F$14:$F$61,RAB!$C$14:$C$61,C1240)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SUMIFS(RAB!$F$14:$F$61,RAB!$C$14:$C$61,C1241)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SUMIFS(RAB!$F$14:$F$61,RAB!$C$14:$C$61,C1242)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SUMIFS(RAB!$F$14:$F$61,RAB!$C$14:$C$61,C1243)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SUMIFS(RAB!$F$14:$F$61,RAB!$C$14:$C$61,C1244)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SUMIFS(RAB!$F$14:$F$61,RAB!$C$14:$C$61,C1245)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SUMIFS(RAB!$F$14:$F$61,RAB!$C$14:$C$61,C1246)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SUMIFS(RAB!$F$14:$F$61,RAB!$C$14:$C$61,C1247)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SUMIFS(RAB!$F$14:$F$61,RAB!$C$14:$C$61,C1248)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SUMIFS(RAB!$F$14:$F$61,RAB!$C$14:$C$61,C1249)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SUMIFS(RAB!$F$14:$F$61,RAB!$C$14:$C$61,C1250)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SUMIFS(RAB!$F$14:$F$61,RAB!$C$14:$C$61,C1251)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SUMIFS(RAB!$F$14:$F$61,RAB!$C$14:$C$61,C1252)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SUMIFS(RAB!$F$14:$F$61,RAB!$C$14:$C$61,C1253)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SUMIFS(RAB!$F$14:$F$61,RAB!$C$14:$C$61,C1254)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SUMIFS(RAB!$F$14:$F$61,RAB!$C$14:$C$61,C1255)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SUMIFS(RAB!$F$14:$F$61,RAB!$C$14:$C$61,C1256)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SUMIFS(RAB!$F$14:$F$61,RAB!$C$14:$C$61,C1257)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SUMIFS(RAB!$F$14:$F$61,RAB!$C$14:$C$61,C1258)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SUMIFS(RAB!$F$14:$F$61,RAB!$C$14:$C$61,C1259)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SUMIFS(RAB!$F$14:$F$61,RAB!$C$14:$C$61,C1260)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SUMIFS(RAB!$F$14:$F$61,RAB!$C$14:$C$61,C1261)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SUMIFS(RAB!$F$14:$F$61,RAB!$C$14:$C$61,C1262)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SUMIFS(RAB!$F$14:$F$61,RAB!$C$14:$C$61,C1263)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SUMIFS(RAB!$F$14:$F$61,RAB!$C$14:$C$61,C1264)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SUMIFS(RAB!$F$14:$F$61,RAB!$C$14:$C$61,C1265)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SUMIFS(RAB!$F$14:$F$61,RAB!$C$14:$C$61,C1266)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SUMIFS(RAB!$F$14:$F$61,RAB!$C$14:$C$61,C1267)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SUMIFS(RAB!$F$14:$F$61,RAB!$C$14:$C$61,C1268)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SUMIFS(RAB!$F$14:$F$61,RAB!$C$14:$C$61,C1269)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SUMIFS(RAB!$F$14:$F$61,RAB!$C$14:$C$61,C1270)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SUMIFS(RAB!$F$14:$F$61,RAB!$C$14:$C$61,C1271)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SUMIFS(RAB!$F$14:$F$61,RAB!$C$14:$C$61,C1272)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SUMIFS(RAB!$F$14:$F$61,RAB!$C$14:$C$61,C1273)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SUMIFS(RAB!$F$14:$F$61,RAB!$C$14:$C$61,C1274)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SUMIFS(RAB!$F$14:$F$61,RAB!$C$14:$C$61,C1275)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SUMIFS(RAB!$F$14:$F$61,RAB!$C$14:$C$61,C1276)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SUMIFS(RAB!$F$14:$F$61,RAB!$C$14:$C$61,C1277)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SUMIFS(RAB!$F$14:$F$61,RAB!$C$14:$C$61,C1278)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SUMIFS(RAB!$F$14:$F$61,RAB!$C$14:$C$61,C1279)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SUMIFS(RAB!$F$14:$F$61,RAB!$C$14:$C$61,C1280)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SUMIFS(RAB!$F$14:$F$61,RAB!$C$14:$C$61,C1281)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SUMIFS(RAB!$F$14:$F$61,RAB!$C$14:$C$61,C1282)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SUMIFS(RAB!$F$14:$F$61,RAB!$C$14:$C$61,C1283)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SUMIFS(RAB!$F$14:$F$61,RAB!$C$14:$C$61,C1284)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SUMIFS(RAB!$F$14:$F$61,RAB!$C$14:$C$61,C1285)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SUMIFS(RAB!$F$14:$F$61,RAB!$C$14:$C$61,C1286)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SUMIFS(RAB!$F$14:$F$61,RAB!$C$14:$C$61,C1287)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SUMIFS(RAB!$F$14:$F$61,RAB!$C$14:$C$61,C1288)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SUMIFS(RAB!$F$14:$F$61,RAB!$C$14:$C$61,C1289)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SUMIFS(RAB!$F$14:$F$61,RAB!$C$14:$C$61,C1290)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SUMIFS(RAB!$F$14:$F$61,RAB!$C$14:$C$61,C1291)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SUMIFS(RAB!$F$14:$F$61,RAB!$C$14:$C$61,C1292)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SUMIFS(RAB!$F$14:$F$61,RAB!$C$14:$C$61,C1293)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SUMIFS(RAB!$F$14:$F$61,RAB!$C$14:$C$61,C1294)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SUMIFS(RAB!$F$14:$F$61,RAB!$C$14:$C$61,C1295)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SUMIFS(RAB!$F$14:$F$61,RAB!$C$14:$C$61,C1296)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SUMIFS(RAB!$F$14:$F$61,RAB!$C$14:$C$61,C1297)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SUMIFS(RAB!$F$14:$F$61,RAB!$C$14:$C$61,C1298)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SUMIFS(RAB!$F$14:$F$61,RAB!$C$14:$C$61,C1299)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SUMIFS(RAB!$F$14:$F$61,RAB!$C$14:$C$61,C1300)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SUMIFS(RAB!$F$14:$F$61,RAB!$C$14:$C$61,C1301)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SUMIFS(RAB!$F$14:$F$61,RAB!$C$14:$C$61,C1302)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SUMIFS(RAB!$F$14:$F$61,RAB!$C$14:$C$61,C1303)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SUMIFS(RAB!$F$14:$F$61,RAB!$C$14:$C$61,C1304)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SUMIFS(RAB!$F$14:$F$61,RAB!$C$14:$C$61,C1305)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SUMIFS(RAB!$F$14:$F$61,RAB!$C$14:$C$61,C1306)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SUMIFS(RAB!$F$14:$F$61,RAB!$C$14:$C$61,C1307)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SUMIFS(RAB!$F$14:$F$61,RAB!$C$14:$C$61,C1308)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SUMIFS(RAB!$F$14:$F$61,RAB!$C$14:$C$61,C1309)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SUMIFS(RAB!$F$14:$F$61,RAB!$C$14:$C$61,C1310)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SUMIFS(RAB!$F$14:$F$61,RAB!$C$14:$C$61,C1311)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SUMIFS(RAB!$F$14:$F$61,RAB!$C$14:$C$61,C1312)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SUMIFS(RAB!$F$14:$F$61,RAB!$C$14:$C$61,C1313)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SUMIFS(RAB!$F$14:$F$61,RAB!$C$14:$C$61,C1314)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SUMIFS(RAB!$F$14:$F$61,RAB!$C$14:$C$61,C1315)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SUMIFS(RAB!$F$14:$F$61,RAB!$C$14:$C$61,C1316)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SUMIFS(RAB!$F$14:$F$61,RAB!$C$14:$C$61,C1317)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SUMIFS(RAB!$F$14:$F$61,RAB!$C$14:$C$61,C1318)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SUMIFS(RAB!$F$14:$F$61,RAB!$C$14:$C$61,C1319)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SUMIFS(RAB!$F$14:$F$61,RAB!$C$14:$C$61,C1320)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1127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ANEKA JAYA JL SUTAN HADI WIJAYA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HADI WIJAYA MANGUNIWAN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5" t="s">
        <v>1008</v>
      </c>
      <c r="D38" s="555"/>
      <c r="E38" s="555"/>
      <c r="F38" s="55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6" t="s">
        <v>462</v>
      </c>
      <c r="D39" s="556"/>
      <c r="E39" s="556"/>
      <c r="F39" s="55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7" t="s">
        <v>463</v>
      </c>
      <c r="D40" s="547"/>
      <c r="E40" s="547"/>
      <c r="F40" s="54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8" t="e">
        <f ca="1">"Terbilang : ( "&amp;L42&amp;" Rupiah )"</f>
        <v>#NAME?</v>
      </c>
      <c r="C41" s="549"/>
      <c r="D41" s="549"/>
      <c r="E41" s="549"/>
      <c r="F41" s="549"/>
      <c r="G41" s="549"/>
      <c r="H41" s="549"/>
      <c r="I41" s="549"/>
      <c r="J41" s="549"/>
      <c r="K41" s="550"/>
      <c r="L41" s="44"/>
      <c r="R41" s="58"/>
      <c r="S41" s="58"/>
      <c r="T41" s="58"/>
    </row>
    <row r="42" spans="1:20" s="36" customFormat="1">
      <c r="A42" s="30"/>
      <c r="B42" s="551"/>
      <c r="C42" s="552"/>
      <c r="D42" s="552"/>
      <c r="E42" s="552"/>
      <c r="F42" s="552"/>
      <c r="G42" s="552"/>
      <c r="H42" s="552"/>
      <c r="I42" s="552"/>
      <c r="J42" s="552"/>
      <c r="K42" s="55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2"/>
      <c r="I45" s="542"/>
      <c r="J45" s="543"/>
      <c r="K45" s="54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2"/>
      <c r="I46" s="542"/>
      <c r="J46" s="543"/>
      <c r="K46" s="54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2"/>
      <c r="I47" s="542"/>
      <c r="J47" s="543"/>
      <c r="K47" s="54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2"/>
      <c r="I52" s="542"/>
      <c r="J52" s="543"/>
      <c r="K52" s="54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SUMIFS(RAB!$F$14:$F$61,RAB!$C$14:$C$61,'REKAP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SUMIFS(RAB!$F$14:$F$61,RAB!$C$14:$C$61,'REKAP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SUMIFS(RAB!$F$14:$F$61,RAB!$C$14:$C$61,'REKAP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SUMIFS(RAB!$F$14:$F$61,RAB!$C$14:$C$61,'REKAP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SUMIFS(RAB!$F$14:$F$61,RAB!$C$14:$C$61,'REKAP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SUMIFS(RAB!$F$14:$F$61,RAB!$C$14:$C$61,'REKAP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SUMIFS(RAB!$F$14:$F$61,RAB!$C$14:$C$61,'REKAP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SUMIFS(RAB!$F$14:$F$61,RAB!$C$14:$C$61,'REKAP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SUMIFS(RAB!$F$14:$F$61,RAB!$C$14:$C$61,'REKAP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SUMIFS(RAB!$F$14:$F$61,RAB!$C$14:$C$61,'REKAP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SUMIFS(RAB!$F$14:$F$61,RAB!$C$14:$C$61,'REKAP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SUMIFS(RAB!$F$14:$F$61,RAB!$C$14:$C$61,'REKAP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SUMIFS(RAB!$F$14:$F$61,RAB!$C$14:$C$61,'REKAP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SUMIFS(RAB!$F$14:$F$61,RAB!$C$14:$C$61,'REKAP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SUMIFS(RAB!$F$14:$F$61,RAB!$C$14:$C$61,'REKAP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SUMIFS(RAB!$F$14:$F$61,RAB!$C$14:$C$61,'REKAP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SUMIFS(RAB!$F$14:$F$61,RAB!$C$14:$C$61,'REKAP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SUMIFS(RAB!$F$14:$F$61,RAB!$C$14:$C$61,'REKAP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SUMIFS(RAB!$F$14:$F$61,RAB!$C$14:$C$61,'REKAP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SUMIFS(RAB!$F$14:$F$61,RAB!$C$14:$C$61,'REKAP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1034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4" t="str">
        <f>RAB!G6</f>
        <v>ANEKA JAYA JL SUTAN HADI WIJAYA</v>
      </c>
      <c r="H6" s="554"/>
      <c r="I6" s="554"/>
      <c r="J6" s="554"/>
      <c r="K6" s="55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HADI WIJAYA MANGUNIWAN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8" t="s">
        <v>41</v>
      </c>
      <c r="H11" s="536" t="s">
        <v>3</v>
      </c>
      <c r="I11" s="536"/>
      <c r="J11" s="536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37"/>
      <c r="E12" s="537"/>
      <c r="F12" s="537"/>
      <c r="G12" s="539"/>
      <c r="H12" s="545" t="s">
        <v>46</v>
      </c>
      <c r="I12" s="545" t="s">
        <v>5</v>
      </c>
      <c r="J12" s="537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37"/>
      <c r="E13" s="537"/>
      <c r="F13" s="537"/>
      <c r="G13" s="540"/>
      <c r="H13" s="546"/>
      <c r="I13" s="546"/>
      <c r="J13" s="537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Kabel NYY 1 x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44</v>
      </c>
      <c r="G22" s="41">
        <f ca="1">IF(ISERROR(OFFSET('HARGA SATUAN'!$I$6,MATCH(C22,'HARGA SATUAN'!$C$7:$C$1492,0),0)),"",OFFSET('HARGA SATUAN'!$I$6,MATCH(C22,'HARGA SATUAN'!$C$7:$C$1492,0),0))</f>
        <v>94700</v>
      </c>
      <c r="H22" s="42">
        <f t="shared" ca="1" si="1"/>
        <v>4166800</v>
      </c>
      <c r="I22" s="42">
        <f t="shared" ca="1" si="2"/>
        <v>0</v>
      </c>
      <c r="J22" s="42">
        <f t="shared" ca="1" si="3"/>
        <v>0</v>
      </c>
      <c r="K22" s="43">
        <f t="shared" ca="1" si="0"/>
        <v>4166800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5" t="s">
        <v>1008</v>
      </c>
      <c r="D168" s="555"/>
      <c r="E168" s="555"/>
      <c r="F168" s="555"/>
      <c r="G168" s="77" t="s">
        <v>9</v>
      </c>
      <c r="H168" s="55">
        <f ca="1">SUM(H14:H167)</f>
        <v>87796550</v>
      </c>
      <c r="I168" s="55">
        <f ca="1">SUM(I14:I167)</f>
        <v>0</v>
      </c>
      <c r="J168" s="55">
        <f ca="1">SUM(J14:J167)</f>
        <v>0</v>
      </c>
      <c r="K168" s="55">
        <f ca="1">SUM(K14:K167)</f>
        <v>87796550</v>
      </c>
      <c r="L168" s="44"/>
      <c r="R168" s="99"/>
      <c r="S168" s="99"/>
      <c r="T168" s="99"/>
    </row>
    <row r="169" spans="1:20" s="36" customFormat="1">
      <c r="A169" s="30"/>
      <c r="B169" s="56"/>
      <c r="C169" s="556" t="s">
        <v>462</v>
      </c>
      <c r="D169" s="556"/>
      <c r="E169" s="556"/>
      <c r="F169" s="556"/>
      <c r="G169" s="59" t="s">
        <v>9</v>
      </c>
      <c r="H169" s="60">
        <f ca="1">H168*0.1</f>
        <v>8779655</v>
      </c>
      <c r="I169" s="60">
        <f ca="1">I168*0.1</f>
        <v>0</v>
      </c>
      <c r="J169" s="60">
        <f ca="1">J168*0.1</f>
        <v>0</v>
      </c>
      <c r="K169" s="60">
        <f ca="1">K168*0.1</f>
        <v>8779655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7" t="s">
        <v>463</v>
      </c>
      <c r="D170" s="547"/>
      <c r="E170" s="547"/>
      <c r="F170" s="547"/>
      <c r="G170" s="61" t="s">
        <v>9</v>
      </c>
      <c r="H170" s="78">
        <f ca="1">SUM(H168:H169)</f>
        <v>96576205</v>
      </c>
      <c r="I170" s="78">
        <f ca="1">SUM(I168:I169)</f>
        <v>0</v>
      </c>
      <c r="J170" s="61">
        <f ca="1">SUM(J168:J169)</f>
        <v>0</v>
      </c>
      <c r="K170" s="61">
        <f ca="1">SUM(K168:K169)</f>
        <v>96576205</v>
      </c>
      <c r="L170" s="44"/>
      <c r="R170" s="99"/>
      <c r="S170" s="99"/>
      <c r="T170" s="99"/>
    </row>
    <row r="171" spans="1:20" s="36" customFormat="1">
      <c r="A171" s="30"/>
      <c r="B171" s="548" t="e">
        <f ca="1">"Terbilang : ( "&amp;L172&amp;" Rupiah )"</f>
        <v>#NAME?</v>
      </c>
      <c r="C171" s="549"/>
      <c r="D171" s="549"/>
      <c r="E171" s="549"/>
      <c r="F171" s="549"/>
      <c r="G171" s="549"/>
      <c r="H171" s="549"/>
      <c r="I171" s="549"/>
      <c r="J171" s="549"/>
      <c r="K171" s="550"/>
      <c r="L171" s="44"/>
      <c r="R171" s="58"/>
      <c r="S171" s="58"/>
      <c r="T171" s="58"/>
    </row>
    <row r="172" spans="1:20" s="36" customFormat="1">
      <c r="A172" s="30"/>
      <c r="B172" s="551"/>
      <c r="C172" s="552"/>
      <c r="D172" s="552"/>
      <c r="E172" s="552"/>
      <c r="F172" s="552"/>
      <c r="G172" s="552"/>
      <c r="H172" s="552"/>
      <c r="I172" s="552"/>
      <c r="J172" s="552"/>
      <c r="K172" s="55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2"/>
      <c r="I175" s="542"/>
      <c r="J175" s="543"/>
      <c r="K175" s="54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2"/>
      <c r="I176" s="542"/>
      <c r="J176" s="543"/>
      <c r="K176" s="54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2"/>
      <c r="I177" s="542"/>
      <c r="J177" s="543"/>
      <c r="K177" s="54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2"/>
      <c r="I182" s="542"/>
      <c r="J182" s="543"/>
      <c r="K182" s="54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SUMIFS(RAB!$F$14:$F$61,RAB!$C$14:$C$61,C224)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SUMIFS(RAB!$F$14:$F$61,RAB!$C$14:$C$61,C225)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SUMIFS(RAB!$F$14:$F$61,RAB!$C$14:$C$61,C226)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SUMIFS(RAB!$F$14:$F$61,RAB!$C$14:$C$61,C227)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SUMIFS(RAB!$F$14:$F$61,RAB!$C$14:$C$61,C228)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SUMIFS(RAB!$F$14:$F$61,RAB!$C$14:$C$61,C229)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SUMIFS(RAB!$F$14:$F$61,RAB!$C$14:$C$61,C230)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SUMIFS(RAB!$F$14:$F$61,RAB!$C$14:$C$61,C231)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SUMIFS(RAB!$F$14:$F$61,RAB!$C$14:$C$61,C232)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SUMIFS(RAB!$F$14:$F$61,RAB!$C$14:$C$61,C233)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SUMIFS(RAB!$F$14:$F$61,RAB!$C$14:$C$61,C234)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SUMIFS(RAB!$F$14:$F$61,RAB!$C$14:$C$61,C235)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SUMIFS(RAB!$F$14:$F$61,RAB!$C$14:$C$61,C236)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SUMIFS(RAB!$F$14:$F$61,RAB!$C$14:$C$61,C237)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SUMIFS(RAB!$F$14:$F$61,RAB!$C$14:$C$61,C238)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SUMIFS(RAB!$F$14:$F$61,RAB!$C$14:$C$61,C239)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SUMIFS(RAB!$F$14:$F$61,RAB!$C$14:$C$61,C240)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SUMIFS(RAB!$F$14:$F$61,RAB!$C$14:$C$61,C241)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SUMIFS(RAB!$F$14:$F$61,RAB!$C$14:$C$61,C242)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SUMIFS(RAB!$F$14:$F$61,RAB!$C$14:$C$61,C243)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SUMIFS(RAB!$F$14:$F$61,RAB!$C$14:$C$61,C244)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SUMIFS(RAB!$F$14:$F$61,RAB!$C$14:$C$61,C245)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SUMIFS(RAB!$F$14:$F$61,RAB!$C$14:$C$61,C246)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SUMIFS(RAB!$F$14:$F$61,RAB!$C$14:$C$61,C247)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SUMIFS(RAB!$F$14:$F$61,RAB!$C$14:$C$61,C248)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SUMIFS(RAB!$F$14:$F$61,RAB!$C$14:$C$61,C249)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SUMIFS(RAB!$F$14:$F$61,RAB!$C$14:$C$61,C250)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SUMIFS(RAB!$F$14:$F$61,RAB!$C$14:$C$61,C251)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SUMIFS(RAB!$F$14:$F$61,RAB!$C$14:$C$61,C252)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SUMIFS(RAB!$F$14:$F$61,RAB!$C$14:$C$61,C253)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SUMIFS(RAB!$F$14:$F$61,RAB!$C$14:$C$61,C254)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SUMIFS(RAB!$F$14:$F$61,RAB!$C$14:$C$61,C255)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SUMIFS(RAB!$F$14:$F$61,RAB!$C$14:$C$61,C256)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SUMIFS(RAB!$F$14:$F$61,RAB!$C$14:$C$61,C257)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SUMIFS(RAB!$F$14:$F$61,RAB!$C$14:$C$61,C258)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SUMIFS(RAB!$F$14:$F$61,RAB!$C$14:$C$61,C259)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SUMIFS(RAB!$F$14:$F$61,RAB!$C$14:$C$61,C260)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SUMIFS(RAB!$F$14:$F$61,RAB!$C$14:$C$61,C261)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SUMIFS(RAB!$F$14:$F$61,RAB!$C$14:$C$61,C262)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SUMIFS(RAB!$F$14:$F$61,RAB!$C$14:$C$61,C263)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SUMIFS(RAB!$F$14:$F$61,RAB!$C$14:$C$61,C264)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SUMIFS(RAB!$F$14:$F$61,RAB!$C$14:$C$61,C265)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SUMIFS(RAB!$F$14:$F$61,RAB!$C$14:$C$61,C266)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SUMIFS(RAB!$F$14:$F$61,RAB!$C$14:$C$61,C267)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SUMIFS(RAB!$F$14:$F$61,RAB!$C$14:$C$61,C268)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SUMIFS(RAB!$F$14:$F$61,RAB!$C$14:$C$61,C269)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SUMIFS(RAB!$F$14:$F$61,RAB!$C$14:$C$61,C270)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SUMIFS(RAB!$F$14:$F$61,RAB!$C$14:$C$61,C271)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SUMIFS(RAB!$F$14:$F$61,RAB!$C$14:$C$61,C272)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SUMIFS(RAB!$F$14:$F$61,RAB!$C$14:$C$61,C273)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SUMIFS(RAB!$F$14:$F$61,RAB!$C$14:$C$61,C274)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SUMIFS(RAB!$F$14:$F$61,RAB!$C$14:$C$61,C275)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SUMIFS(RAB!$F$14:$F$61,RAB!$C$14:$C$61,C276)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SUMIFS(RAB!$F$14:$F$61,RAB!$C$14:$C$61,C277)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SUMIFS(RAB!$F$14:$F$61,RAB!$C$14:$C$61,C278)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SUMIFS(RAB!$F$14:$F$61,RAB!$C$14:$C$61,C279)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SUMIFS(RAB!$F$14:$F$61,RAB!$C$14:$C$61,C280)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SUMIFS(RAB!$F$14:$F$61,RAB!$C$14:$C$61,C281)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SUMIFS(RAB!$F$14:$F$61,RAB!$C$14:$C$61,C282)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SUMIFS(RAB!$F$14:$F$61,RAB!$C$14:$C$61,C283)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SUMIFS(RAB!$F$14:$F$61,RAB!$C$14:$C$61,C284)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SUMIFS(RAB!$F$14:$F$61,RAB!$C$14:$C$61,C285)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SUMIFS(RAB!$F$14:$F$61,RAB!$C$14:$C$61,C286)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SUMIFS(RAB!$F$14:$F$61,RAB!$C$14:$C$61,C287)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SUMIFS(RAB!$F$14:$F$61,RAB!$C$14:$C$61,C288)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SUMIFS(RAB!$F$14:$F$61,RAB!$C$14:$C$61,C289)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SUMIFS(RAB!$F$14:$F$61,RAB!$C$14:$C$61,C290)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SUMIFS(RAB!$F$14:$F$61,RAB!$C$14:$C$61,C291)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SUMIFS(RAB!$F$14:$F$61,RAB!$C$14:$C$61,C292)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SUMIFS(RAB!$F$14:$F$61,RAB!$C$14:$C$61,C293)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SUMIFS(RAB!$F$14:$F$61,RAB!$C$14:$C$61,C294)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SUMIFS(RAB!$F$14:$F$61,RAB!$C$14:$C$61,C295)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SUMIFS(RAB!$F$14:$F$61,RAB!$C$14:$C$61,C296)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SUMIFS(RAB!$F$14:$F$61,RAB!$C$14:$C$61,C297)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SUMIFS(RAB!$F$14:$F$61,RAB!$C$14:$C$61,C298)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SUMIFS(RAB!$F$14:$F$61,RAB!$C$14:$C$61,C299)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SUMIFS(RAB!$F$14:$F$61,RAB!$C$14:$C$61,C300)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SUMIFS(RAB!$F$14:$F$61,RAB!$C$14:$C$61,C301)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SUMIFS(RAB!$F$14:$F$61,RAB!$C$14:$C$61,C302)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SUMIFS(RAB!$F$14:$F$61,RAB!$C$14:$C$61,C303)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SUMIFS(RAB!$F$14:$F$61,RAB!$C$14:$C$61,C304)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SUMIFS(RAB!$F$14:$F$61,RAB!$C$14:$C$61,C305)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SUMIFS(RAB!$F$14:$F$61,RAB!$C$14:$C$61,C306)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SUMIFS(RAB!$F$14:$F$61,RAB!$C$14:$C$61,C307)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SUMIFS(RAB!$F$14:$F$61,RAB!$C$14:$C$61,C308)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SUMIFS(RAB!$F$14:$F$61,RAB!$C$14:$C$61,C309)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SUMIFS(RAB!$F$14:$F$61,RAB!$C$14:$C$61,C310)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SUMIFS(RAB!$F$14:$F$61,RAB!$C$14:$C$61,C311)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SUMIFS(RAB!$F$14:$F$61,RAB!$C$14:$C$61,C312)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SUMIFS(RAB!$F$14:$F$61,RAB!$C$14:$C$61,C313)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SUMIFS(RAB!$F$14:$F$61,RAB!$C$14:$C$61,C314)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SUMIFS(RAB!$F$14:$F$61,RAB!$C$14:$C$61,C315)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SUMIFS(RAB!$F$14:$F$61,RAB!$C$14:$C$61,C316)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SUMIFS(RAB!$F$14:$F$61,RAB!$C$14:$C$61,C317)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SUMIFS(RAB!$F$14:$F$61,RAB!$C$14:$C$61,C318)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SUMIFS(RAB!$F$14:$F$61,RAB!$C$14:$C$61,C319)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SUMIFS(RAB!$F$14:$F$61,RAB!$C$14:$C$61,C320)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SUMIFS(RAB!$F$14:$F$61,RAB!$C$14:$C$61,C321)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SUMIFS(RAB!$F$14:$F$61,RAB!$C$14:$C$61,C322)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SUMIFS(RAB!$F$14:$F$61,RAB!$C$14:$C$61,C323)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SUMIFS(RAB!$F$14:$F$61,RAB!$C$14:$C$61,C324)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SUMIFS(RAB!$F$14:$F$61,RAB!$C$14:$C$61,C325)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SUMIFS(RAB!$F$14:$F$61,RAB!$C$14:$C$61,C326)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SUMIFS(RAB!$F$14:$F$61,RAB!$C$14:$C$61,C327)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SUMIFS(RAB!$F$14:$F$61,RAB!$C$14:$C$61,C328)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SUMIFS(RAB!$F$14:$F$61,RAB!$C$14:$C$61,C329)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SUMIFS(RAB!$F$14:$F$61,RAB!$C$14:$C$61,C330)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SUMIFS(RAB!$F$14:$F$61,RAB!$C$14:$C$61,C331)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SUMIFS(RAB!$F$14:$F$61,RAB!$C$14:$C$61,C332)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SUMIFS(RAB!$F$14:$F$61,RAB!$C$14:$C$61,C333)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SUMIFS(RAB!$F$14:$F$61,RAB!$C$14:$C$61,C334)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SUMIFS(RAB!$F$14:$F$61,RAB!$C$14:$C$61,C335)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SUMIFS(RAB!$F$14:$F$61,RAB!$C$14:$C$61,C336)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SUMIFS(RAB!$F$14:$F$61,RAB!$C$14:$C$61,C337)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SUMIFS(RAB!$F$14:$F$61,RAB!$C$14:$C$61,C338)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SUMIFS(RAB!$F$14:$F$61,RAB!$C$14:$C$61,C339)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SUMIFS(RAB!$F$14:$F$61,RAB!$C$14:$C$61,C340)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SUMIFS(RAB!$F$14:$F$61,RAB!$C$14:$C$61,C341)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SUMIFS(RAB!$F$14:$F$61,RAB!$C$14:$C$61,C342)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SUMIFS(RAB!$F$14:$F$61,RAB!$C$14:$C$61,C343)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SUMIFS(RAB!$F$14:$F$61,RAB!$C$14:$C$61,C344)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SUMIFS(RAB!$F$14:$F$61,RAB!$C$14:$C$61,C345)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SUMIFS(RAB!$F$14:$F$61,RAB!$C$14:$C$61,C346)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SUMIFS(RAB!$F$14:$F$61,RAB!$C$14:$C$61,C347)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SUMIFS(RAB!$F$14:$F$61,RAB!$C$14:$C$61,C348)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SUMIFS(RAB!$F$14:$F$61,RAB!$C$14:$C$61,C349)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SUMIFS(RAB!$F$14:$F$61,RAB!$C$14:$C$61,C350)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SUMIFS(RAB!$F$14:$F$61,RAB!$C$14:$C$61,C351)</f>
        <v>44</v>
      </c>
      <c r="E351" s="24">
        <f t="shared" ca="1" si="22"/>
        <v>1</v>
      </c>
      <c r="F351" s="24">
        <f ca="1">IF(D351=0,0,SUM($E$223:E351))</f>
        <v>7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SUMIFS(RAB!$F$14:$F$61,RAB!$C$14:$C$61,C352)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SUMIFS(RAB!$F$14:$F$61,RAB!$C$14:$C$61,C353)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SUMIFS(RAB!$F$14:$F$61,RAB!$C$14:$C$61,C354)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SUMIFS(RAB!$F$14:$F$61,RAB!$C$14:$C$61,C355)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SUMIFS(RAB!$F$14:$F$61,RAB!$C$14:$C$61,C356)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SUMIFS(RAB!$F$14:$F$61,RAB!$C$14:$C$61,C357)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SUMIFS(RAB!$F$14:$F$61,RAB!$C$14:$C$61,C358)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SUMIFS(RAB!$F$14:$F$61,RAB!$C$14:$C$61,C359)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SUMIFS(RAB!$F$14:$F$61,RAB!$C$14:$C$61,C360)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SUMIFS(RAB!$F$14:$F$61,RAB!$C$14:$C$61,C361)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SUMIFS(RAB!$F$14:$F$61,RAB!$C$14:$C$61,C362)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SUMIFS(RAB!$F$14:$F$61,RAB!$C$14:$C$61,C363)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SUMIFS(RAB!$F$14:$F$61,RAB!$C$14:$C$61,C364)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SUMIFS(RAB!$F$14:$F$61,RAB!$C$14:$C$61,C365)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SUMIFS(RAB!$F$14:$F$61,RAB!$C$14:$C$61,C366)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SUMIFS(RAB!$F$14:$F$61,RAB!$C$14:$C$61,C367)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SUMIFS(RAB!$F$14:$F$61,RAB!$C$14:$C$61,C368)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SUMIFS(RAB!$F$14:$F$61,RAB!$C$14:$C$61,C369)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SUMIFS(RAB!$F$14:$F$61,RAB!$C$14:$C$61,C370)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SUMIFS(RAB!$F$14:$F$61,RAB!$C$14:$C$61,C371)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SUMIFS(RAB!$F$14:$F$61,RAB!$C$14:$C$61,C372)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SUMIFS(RAB!$F$14:$F$61,RAB!$C$14:$C$61,C373)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34" activePane="bottomRight" state="frozen"/>
      <selection activeCell="D209" sqref="D209"/>
      <selection pane="topRight" activeCell="D209" sqref="D209"/>
      <selection pane="bottomLeft" activeCell="D209" sqref="D209"/>
      <selection pane="bottomRight" activeCell="C243" sqref="C24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1604</v>
      </c>
      <c r="G4" s="108" t="s">
        <v>1603</v>
      </c>
      <c r="H4" s="55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P25" sqref="P2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2" t="s">
        <v>1454</v>
      </c>
      <c r="C2" s="592"/>
      <c r="D2" s="592"/>
      <c r="E2" s="59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7" t="s">
        <v>1532</v>
      </c>
      <c r="C4" s="598"/>
      <c r="D4" s="598"/>
      <c r="E4" s="599"/>
      <c r="F4" s="440"/>
      <c r="G4" s="440"/>
      <c r="H4" s="441"/>
      <c r="I4" s="561" t="s">
        <v>1533</v>
      </c>
      <c r="J4" s="562"/>
      <c r="K4" s="562"/>
      <c r="L4" s="563"/>
    </row>
    <row r="5" spans="1:12" ht="34.5" customHeight="1">
      <c r="A5" s="204"/>
      <c r="B5" s="443" t="s">
        <v>1379</v>
      </c>
      <c r="C5" s="277" t="s">
        <v>9</v>
      </c>
      <c r="D5" s="593" t="str">
        <f>DATA!D14</f>
        <v>ANEKA JAYA JL SUTAN HADI WIJAYA</v>
      </c>
      <c r="E5" s="594"/>
      <c r="F5" s="208"/>
      <c r="G5" s="208"/>
      <c r="I5" s="444" t="s">
        <v>1379</v>
      </c>
      <c r="J5" s="277" t="s">
        <v>9</v>
      </c>
      <c r="K5" s="564" t="str">
        <f>D5</f>
        <v>ANEKA JAYA JL SUTAN HADI WIJAYA</v>
      </c>
      <c r="L5" s="565"/>
    </row>
    <row r="6" spans="1:12" ht="31.5" customHeight="1">
      <c r="A6" s="204"/>
      <c r="B6" s="443" t="s">
        <v>1529</v>
      </c>
      <c r="C6" s="277" t="s">
        <v>9</v>
      </c>
      <c r="D6" s="602">
        <f>DATA!D17*1000</f>
        <v>0</v>
      </c>
      <c r="E6" s="603"/>
      <c r="F6" s="208"/>
      <c r="G6" s="208"/>
      <c r="I6" s="444" t="s">
        <v>1530</v>
      </c>
      <c r="J6" s="277" t="s">
        <v>9</v>
      </c>
      <c r="K6" s="566">
        <f>DATA!D20*1000</f>
        <v>105000</v>
      </c>
      <c r="L6" s="567"/>
    </row>
    <row r="7" spans="1:12" ht="30.75" customHeight="1">
      <c r="A7" s="204"/>
      <c r="B7" s="443" t="s">
        <v>1441</v>
      </c>
      <c r="C7" s="277" t="s">
        <v>9</v>
      </c>
      <c r="D7" s="600">
        <f>DATA!D18</f>
        <v>1</v>
      </c>
      <c r="E7" s="601"/>
      <c r="F7" s="442" t="s">
        <v>1453</v>
      </c>
      <c r="I7" s="444" t="s">
        <v>1441</v>
      </c>
      <c r="J7" s="277" t="s">
        <v>9</v>
      </c>
      <c r="K7" s="568">
        <f>DATA!D21</f>
        <v>3</v>
      </c>
      <c r="L7" s="569"/>
    </row>
    <row r="8" spans="1:12" ht="51" customHeight="1">
      <c r="A8" s="204"/>
      <c r="B8" s="443" t="s">
        <v>1442</v>
      </c>
      <c r="C8" s="277" t="s">
        <v>9</v>
      </c>
      <c r="D8" s="600">
        <f>DATA!D19</f>
        <v>220</v>
      </c>
      <c r="E8" s="601"/>
      <c r="F8" s="442" t="s">
        <v>1453</v>
      </c>
      <c r="G8" s="437">
        <v>220</v>
      </c>
      <c r="I8" s="444" t="s">
        <v>1442</v>
      </c>
      <c r="J8" s="277" t="s">
        <v>9</v>
      </c>
      <c r="K8" s="568">
        <f>DATA!D22</f>
        <v>380</v>
      </c>
      <c r="L8" s="569"/>
    </row>
    <row r="9" spans="1:12" ht="30" customHeight="1" thickBot="1">
      <c r="A9" s="204"/>
      <c r="B9" s="449" t="s">
        <v>1541</v>
      </c>
      <c r="C9" s="439" t="s">
        <v>9</v>
      </c>
      <c r="D9" s="595">
        <f>IF(D7=1,D6/(380/3^0.5),(D6/(380*3^0.5)))</f>
        <v>0</v>
      </c>
      <c r="E9" s="596"/>
      <c r="F9" s="207"/>
      <c r="G9" s="438">
        <v>380</v>
      </c>
      <c r="I9" s="450" t="s">
        <v>1541</v>
      </c>
      <c r="J9" s="439" t="s">
        <v>9</v>
      </c>
      <c r="K9" s="572">
        <f>IF(K7=1,K6/(380/3^0.5),(K6/(380*3^0.5)))</f>
        <v>159.53099543397556</v>
      </c>
      <c r="L9" s="573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604"/>
      <c r="E12" s="605"/>
      <c r="F12" s="208"/>
      <c r="G12" s="208"/>
      <c r="I12" s="466" t="s">
        <v>1534</v>
      </c>
      <c r="J12" s="467" t="s">
        <v>9</v>
      </c>
      <c r="K12" s="604"/>
      <c r="L12" s="605"/>
    </row>
    <row r="13" spans="1:12" ht="31.5" customHeight="1">
      <c r="A13" s="204"/>
      <c r="B13" s="474" t="s">
        <v>1380</v>
      </c>
      <c r="C13" s="454" t="s">
        <v>9</v>
      </c>
      <c r="D13" s="570"/>
      <c r="E13" s="571"/>
      <c r="F13" s="208"/>
      <c r="G13" s="208"/>
      <c r="I13" s="468" t="s">
        <v>1380</v>
      </c>
      <c r="J13" s="454" t="s">
        <v>9</v>
      </c>
      <c r="K13" s="570"/>
      <c r="L13" s="571"/>
    </row>
    <row r="14" spans="1:12" ht="30.75" customHeight="1">
      <c r="A14" s="204"/>
      <c r="B14" s="474" t="s">
        <v>1535</v>
      </c>
      <c r="C14" s="454" t="s">
        <v>9</v>
      </c>
      <c r="D14" s="574">
        <v>160</v>
      </c>
      <c r="E14" s="575"/>
      <c r="F14" s="442" t="s">
        <v>1453</v>
      </c>
      <c r="G14" s="446">
        <v>50</v>
      </c>
      <c r="I14" s="468" t="s">
        <v>1535</v>
      </c>
      <c r="J14" s="454" t="s">
        <v>9</v>
      </c>
      <c r="K14" s="576">
        <v>250</v>
      </c>
      <c r="L14" s="577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78">
        <v>250</v>
      </c>
      <c r="E16" s="579"/>
      <c r="F16" s="442"/>
      <c r="G16" s="446">
        <v>160</v>
      </c>
      <c r="I16" s="468" t="s">
        <v>1537</v>
      </c>
      <c r="J16" s="454" t="s">
        <v>9</v>
      </c>
      <c r="K16" s="582">
        <f>K9</f>
        <v>159.53099543397556</v>
      </c>
      <c r="L16" s="583"/>
    </row>
    <row r="17" spans="1:12" ht="34.5" customHeight="1">
      <c r="A17" s="204"/>
      <c r="B17" s="474" t="s">
        <v>1538</v>
      </c>
      <c r="C17" s="454" t="s">
        <v>9</v>
      </c>
      <c r="D17" s="580">
        <f>IF(D15=1,D14/(20/3^0.5),(D14/(20*3^0.5)))</f>
        <v>4.6188021535170067</v>
      </c>
      <c r="E17" s="581"/>
      <c r="F17" s="442" t="s">
        <v>1453</v>
      </c>
      <c r="G17" s="447">
        <v>200</v>
      </c>
      <c r="I17" s="468" t="s">
        <v>1538</v>
      </c>
      <c r="J17" s="454" t="s">
        <v>9</v>
      </c>
      <c r="K17" s="586">
        <f>IF(K15=1,K14/(20/3^0.5),(K14/(20*3^0.5)))</f>
        <v>7.2168783648703227</v>
      </c>
      <c r="L17" s="587"/>
    </row>
    <row r="18" spans="1:12" ht="34.5" customHeight="1">
      <c r="A18" s="204"/>
      <c r="B18" s="474" t="s">
        <v>1539</v>
      </c>
      <c r="C18" s="454" t="s">
        <v>9</v>
      </c>
      <c r="D18" s="580">
        <f>IF(D15=1,D14/(380/3^0.5),(D14/(380*3^0.5)))*1000</f>
        <v>243.0948501851056</v>
      </c>
      <c r="E18" s="581"/>
      <c r="F18" s="442" t="s">
        <v>1453</v>
      </c>
      <c r="G18" s="447">
        <v>250</v>
      </c>
      <c r="I18" s="468" t="s">
        <v>1539</v>
      </c>
      <c r="J18" s="454" t="s">
        <v>9</v>
      </c>
      <c r="K18" s="586">
        <f>IF(K15=1,K14/(380/3^0.5),(K14/(380*3^0.5)))*1000</f>
        <v>379.83570341422751</v>
      </c>
      <c r="L18" s="587"/>
    </row>
    <row r="19" spans="1:12" ht="30" customHeight="1">
      <c r="A19" s="204"/>
      <c r="B19" s="475" t="s">
        <v>1531</v>
      </c>
      <c r="C19" s="453" t="s">
        <v>9</v>
      </c>
      <c r="D19" s="580">
        <f>IF(D15=1,D14/(380/3^0.5),(D14/(380*3^0.5)))</f>
        <v>0.2430948501851056</v>
      </c>
      <c r="E19" s="581"/>
      <c r="F19" s="207"/>
      <c r="G19" s="438"/>
      <c r="I19" s="470" t="s">
        <v>1531</v>
      </c>
      <c r="J19" s="453" t="s">
        <v>9</v>
      </c>
      <c r="K19" s="586">
        <f>IF(K15=1,K14/(380/3^0.5),(K14/(380*3^0.5)))</f>
        <v>0.37983570341422751</v>
      </c>
      <c r="L19" s="587"/>
    </row>
    <row r="20" spans="1:12" ht="30" customHeight="1" thickBot="1">
      <c r="A20" s="204"/>
      <c r="B20" s="476" t="s">
        <v>1540</v>
      </c>
      <c r="C20" s="472" t="s">
        <v>9</v>
      </c>
      <c r="D20" s="606">
        <f>D16/D18</f>
        <v>1.0284051669940208</v>
      </c>
      <c r="E20" s="607"/>
      <c r="F20" s="207"/>
      <c r="G20" s="438"/>
      <c r="I20" s="471" t="s">
        <v>1531</v>
      </c>
      <c r="J20" s="472" t="s">
        <v>9</v>
      </c>
      <c r="K20" s="584">
        <f>K16/K18</f>
        <v>0.42000000000000004</v>
      </c>
      <c r="L20" s="585"/>
    </row>
    <row r="21" spans="1:12" ht="9.75" customHeight="1">
      <c r="A21" s="204"/>
      <c r="B21" s="461" t="s">
        <v>1540</v>
      </c>
      <c r="C21" s="462" t="s">
        <v>9</v>
      </c>
      <c r="D21" s="591">
        <v>1</v>
      </c>
      <c r="E21" s="591"/>
      <c r="F21" s="463"/>
      <c r="G21" s="464"/>
      <c r="H21" s="465"/>
      <c r="I21" s="461" t="s">
        <v>1531</v>
      </c>
      <c r="J21" s="462" t="s">
        <v>9</v>
      </c>
      <c r="K21" s="591">
        <v>1</v>
      </c>
      <c r="L21" s="591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88"/>
      <c r="C24" s="589"/>
      <c r="D24" s="589"/>
      <c r="E24" s="590"/>
      <c r="I24" s="588"/>
      <c r="J24" s="589"/>
      <c r="K24" s="589"/>
      <c r="L24" s="590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zoomScaleNormal="100" workbookViewId="0">
      <selection activeCell="L14" sqref="L1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8"/>
      <c r="C1" s="608"/>
      <c r="D1" s="60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RAB!K67</f>
        <v>92295361.140000001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1845907.2228000001</v>
      </c>
    </row>
    <row r="12" spans="2:11" ht="9" customHeight="1">
      <c r="B12" s="609"/>
      <c r="C12" s="609"/>
      <c r="D12" s="609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1623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1638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0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105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1458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972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775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19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6" t="s">
        <v>1357</v>
      </c>
      <c r="C3" s="616"/>
      <c r="D3" s="616"/>
      <c r="E3" s="616"/>
      <c r="F3" s="305" t="str">
        <f>DATA!D14</f>
        <v>ANEKA JAYA JL SUTAN HADI WIJAYA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0" t="s">
        <v>1349</v>
      </c>
      <c r="C5" s="610" t="s">
        <v>1358</v>
      </c>
      <c r="D5" s="615" t="s">
        <v>1359</v>
      </c>
      <c r="E5" s="615" t="s">
        <v>1360</v>
      </c>
      <c r="F5" s="610" t="s">
        <v>1361</v>
      </c>
      <c r="G5" s="610"/>
      <c r="H5" s="610"/>
      <c r="I5" s="610"/>
      <c r="J5" s="610"/>
      <c r="K5" s="610" t="s">
        <v>1362</v>
      </c>
      <c r="L5" s="610"/>
      <c r="M5" s="307"/>
      <c r="N5" s="613" t="s">
        <v>1363</v>
      </c>
      <c r="O5" s="615" t="s">
        <v>1364</v>
      </c>
      <c r="P5" s="615" t="s">
        <v>1365</v>
      </c>
      <c r="Q5" s="615" t="s">
        <v>1366</v>
      </c>
      <c r="R5" s="308"/>
      <c r="S5" s="309"/>
      <c r="T5" s="611" t="s">
        <v>1367</v>
      </c>
      <c r="U5" s="310"/>
    </row>
    <row r="6" spans="1:21" ht="20.100000000000001" customHeight="1">
      <c r="B6" s="610"/>
      <c r="C6" s="610"/>
      <c r="D6" s="610"/>
      <c r="E6" s="61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4"/>
      <c r="O6" s="610"/>
      <c r="P6" s="610"/>
      <c r="Q6" s="610"/>
      <c r="R6" s="308"/>
      <c r="S6" s="309"/>
      <c r="T6" s="610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4200</v>
      </c>
      <c r="D7" s="316">
        <f>C7*4/24</f>
        <v>700</v>
      </c>
      <c r="E7" s="316">
        <f>C7-D7</f>
        <v>3500</v>
      </c>
      <c r="F7" s="317">
        <f ca="1">DATA!D10/1000000</f>
        <v>92.295361139999997</v>
      </c>
      <c r="G7" s="318">
        <f ca="1">DATA!$D$11/1000000</f>
        <v>1.8459072228000002</v>
      </c>
      <c r="H7" s="318">
        <f>C7*DATA!$D$5/1000000</f>
        <v>4.5533251927236531</v>
      </c>
      <c r="I7" s="318">
        <f>(C7*DATA!$D$5*DATA!$D$7)/1000000</f>
        <v>0.1024498168362822</v>
      </c>
      <c r="J7" s="316">
        <f ca="1">SUM(F7:I7)</f>
        <v>98.797043372359923</v>
      </c>
      <c r="K7" s="319">
        <f>DATA!D9/1000000</f>
        <v>81.375</v>
      </c>
      <c r="L7" s="316">
        <f>((D7*DATA!$D$23)/1000000)+((E7*DATA!$D$24)/1000000)</f>
        <v>4.4226000000000001</v>
      </c>
      <c r="M7" s="316">
        <f>K7+L7</f>
        <v>85.797600000000003</v>
      </c>
      <c r="N7" s="316">
        <f ca="1">M7-J7</f>
        <v>-12.99944337235992</v>
      </c>
      <c r="O7" s="314">
        <v>1</v>
      </c>
      <c r="P7" s="316">
        <f ca="1">O7*N7</f>
        <v>-12.99944337235992</v>
      </c>
      <c r="Q7" s="316">
        <f ca="1">P7</f>
        <v>-12.99944337235992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1.8459072228000002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57.715207337519224</v>
      </c>
      <c r="K8" s="321"/>
      <c r="L8" s="316">
        <f>((D8*DATA!$D$23)/1000000)+((E8*DATA!$D$24)/1000000)</f>
        <v>53.071199999999997</v>
      </c>
      <c r="M8" s="316">
        <f t="shared" ref="M8:M32" si="2">K8+L8</f>
        <v>53.071199999999997</v>
      </c>
      <c r="N8" s="316">
        <f ca="1">M8-J8</f>
        <v>-4.644007337519227</v>
      </c>
      <c r="O8" s="315">
        <f>1/(1+'[93]Asumsi I'!$C$3)^(KKF!A8)</f>
        <v>0.89285714285714279</v>
      </c>
      <c r="P8" s="316">
        <f ca="1">O8*N8</f>
        <v>-4.1464351227850242</v>
      </c>
      <c r="Q8" s="316">
        <f ca="1">Q7+P8</f>
        <v>-17.145878495144945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1.8459072228000002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57.715207337519224</v>
      </c>
      <c r="K9" s="316"/>
      <c r="L9" s="316">
        <f>((D9*DATA!$D$23)/1000000)+((E9*DATA!$D$24)/1000000)</f>
        <v>53.071199999999997</v>
      </c>
      <c r="M9" s="316">
        <f t="shared" si="2"/>
        <v>53.071199999999997</v>
      </c>
      <c r="N9" s="316">
        <f t="shared" ref="N9:N32" ca="1" si="6">M9-J9</f>
        <v>-4.644007337519227</v>
      </c>
      <c r="O9" s="322">
        <f>1/(1+'[93]Asumsi I'!$C$3)^(KKF!A9)</f>
        <v>0.79719387755102034</v>
      </c>
      <c r="P9" s="316">
        <f t="shared" ref="P9:P32" ca="1" si="7">O9*N9</f>
        <v>-3.7021742167723426</v>
      </c>
      <c r="Q9" s="316">
        <f ca="1">Q8+P9</f>
        <v>-20.848052711917287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1.8459072228000002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57.715207337519224</v>
      </c>
      <c r="K10" s="314"/>
      <c r="L10" s="316">
        <f>((D10*DATA!$D$23)/1000000)+((E10*DATA!$D$24)/1000000)</f>
        <v>53.071199999999997</v>
      </c>
      <c r="M10" s="316">
        <f t="shared" si="2"/>
        <v>53.071199999999997</v>
      </c>
      <c r="N10" s="316">
        <f t="shared" ca="1" si="6"/>
        <v>-4.644007337519227</v>
      </c>
      <c r="O10" s="315">
        <f>1/(1+'[93]Asumsi I'!$C$3)^(KKF!A10)</f>
        <v>0.71178024781341087</v>
      </c>
      <c r="P10" s="316">
        <f t="shared" ca="1" si="7"/>
        <v>-3.3055126935467336</v>
      </c>
      <c r="Q10" s="316">
        <f t="shared" ref="Q10:Q30" ca="1" si="9">Q9+P10</f>
        <v>-24.153565405464022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1.8459072228000002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57.715207337519224</v>
      </c>
      <c r="K11" s="314"/>
      <c r="L11" s="316">
        <f>((D11*DATA!$D$23)/1000000)+((E11*DATA!$D$24)/1000000)</f>
        <v>53.071199999999997</v>
      </c>
      <c r="M11" s="316">
        <f t="shared" si="2"/>
        <v>53.071199999999997</v>
      </c>
      <c r="N11" s="316">
        <f t="shared" ca="1" si="6"/>
        <v>-4.644007337519227</v>
      </c>
      <c r="O11" s="315">
        <f>1/(1+'[93]Asumsi I'!$C$3)^(KKF!A11)</f>
        <v>0.63551807840483121</v>
      </c>
      <c r="P11" s="316">
        <f t="shared" ca="1" si="7"/>
        <v>-2.9513506192381556</v>
      </c>
      <c r="Q11" s="316">
        <f t="shared" ca="1" si="9"/>
        <v>-27.104916024702177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1.8459072228000002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57.715207337519224</v>
      </c>
      <c r="K12" s="314"/>
      <c r="L12" s="316">
        <f>((D12*DATA!$D$23)/1000000)+((E12*DATA!$D$24)/1000000)</f>
        <v>53.071199999999997</v>
      </c>
      <c r="M12" s="316">
        <f t="shared" si="2"/>
        <v>53.071199999999997</v>
      </c>
      <c r="N12" s="316">
        <f t="shared" ca="1" si="6"/>
        <v>-4.644007337519227</v>
      </c>
      <c r="O12" s="315">
        <f>1/(1+'[93]Asumsi I'!$C$3)^(KKF!A12)</f>
        <v>0.56742685571859919</v>
      </c>
      <c r="P12" s="316">
        <f t="shared" ca="1" si="7"/>
        <v>-2.6351344814626385</v>
      </c>
      <c r="Q12" s="316">
        <f t="shared" ca="1" si="9"/>
        <v>-29.740050506164817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1.8459072228000002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57.715207337519224</v>
      </c>
      <c r="K13" s="314"/>
      <c r="L13" s="316">
        <f>((D13*DATA!$D$23)/1000000)+((E13*DATA!$D$24)/1000000)</f>
        <v>53.071199999999997</v>
      </c>
      <c r="M13" s="316">
        <f t="shared" si="2"/>
        <v>53.071199999999997</v>
      </c>
      <c r="N13" s="316">
        <f t="shared" ca="1" si="6"/>
        <v>-4.644007337519227</v>
      </c>
      <c r="O13" s="315">
        <f>1/(1+'[93]Asumsi I'!$C$3)^(KKF!A13)</f>
        <v>0.50663112117732068</v>
      </c>
      <c r="P13" s="316">
        <f t="shared" ca="1" si="7"/>
        <v>-2.3527986441630699</v>
      </c>
      <c r="Q13" s="316">
        <f t="shared" ca="1" si="9"/>
        <v>-32.092849150327886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1.8459072228000002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57.715207337519224</v>
      </c>
      <c r="K14" s="314"/>
      <c r="L14" s="316">
        <f>((D14*DATA!$D$23)/1000000)+((E14*DATA!$D$24)/1000000)</f>
        <v>53.071199999999997</v>
      </c>
      <c r="M14" s="316">
        <f t="shared" si="2"/>
        <v>53.071199999999997</v>
      </c>
      <c r="N14" s="316">
        <f t="shared" ca="1" si="6"/>
        <v>-4.644007337519227</v>
      </c>
      <c r="O14" s="315">
        <f>1/(1+'[93]Asumsi I'!$C$3)^(KKF!A14)</f>
        <v>0.45234921533689343</v>
      </c>
      <c r="P14" s="316">
        <f t="shared" ca="1" si="7"/>
        <v>-2.100713075145598</v>
      </c>
      <c r="Q14" s="316">
        <f t="shared" ca="1" si="9"/>
        <v>-34.193562225473485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1.8459072228000002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57.715207337519224</v>
      </c>
      <c r="K15" s="314"/>
      <c r="L15" s="316">
        <f>((D15*DATA!$D$23)/1000000)+((E15*DATA!$D$24)/1000000)</f>
        <v>53.071199999999997</v>
      </c>
      <c r="M15" s="316">
        <f t="shared" si="2"/>
        <v>53.071199999999997</v>
      </c>
      <c r="N15" s="316">
        <f t="shared" ca="1" si="6"/>
        <v>-4.644007337519227</v>
      </c>
      <c r="O15" s="315">
        <f>1/(1+'[93]Asumsi I'!$C$3)^(KKF!A15)</f>
        <v>0.4038832279793691</v>
      </c>
      <c r="P15" s="316">
        <f t="shared" ca="1" si="7"/>
        <v>-1.8756366742371409</v>
      </c>
      <c r="Q15" s="316">
        <f t="shared" ca="1" si="9"/>
        <v>-36.069198899710628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1.8459072228000002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57.715207337519224</v>
      </c>
      <c r="K16" s="314"/>
      <c r="L16" s="316">
        <f>((D16*DATA!$D$23)/1000000)+((E16*DATA!$D$24)/1000000)</f>
        <v>53.071199999999997</v>
      </c>
      <c r="M16" s="316">
        <f t="shared" si="2"/>
        <v>53.071199999999997</v>
      </c>
      <c r="N16" s="316">
        <f t="shared" ca="1" si="6"/>
        <v>-4.644007337519227</v>
      </c>
      <c r="O16" s="315">
        <f>1/(1+'[93]Asumsi I'!$C$3)^(KKF!A16)</f>
        <v>0.36061002498157957</v>
      </c>
      <c r="P16" s="316">
        <f t="shared" ca="1" si="7"/>
        <v>-1.6746756019974474</v>
      </c>
      <c r="Q16" s="316">
        <f t="shared" ca="1" si="9"/>
        <v>-37.743874501708078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1.8459072228000002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57.715207337519224</v>
      </c>
      <c r="K17" s="314"/>
      <c r="L17" s="316">
        <f>((D17*DATA!$D$23)/1000000)+((E17*DATA!$D$24)/1000000)</f>
        <v>53.071199999999997</v>
      </c>
      <c r="M17" s="316">
        <f t="shared" si="2"/>
        <v>53.071199999999997</v>
      </c>
      <c r="N17" s="316">
        <f t="shared" ca="1" si="6"/>
        <v>-4.644007337519227</v>
      </c>
      <c r="O17" s="315">
        <f>1/(1+'[93]Asumsi I'!$C$3)^(KKF!A17)</f>
        <v>0.32197323659069599</v>
      </c>
      <c r="P17" s="316">
        <f t="shared" ca="1" si="7"/>
        <v>-1.4952460732120063</v>
      </c>
      <c r="Q17" s="316">
        <f t="shared" ca="1" si="9"/>
        <v>-39.239120574920086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1.8459072228000002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57.715207337519224</v>
      </c>
      <c r="K18" s="314"/>
      <c r="L18" s="316">
        <f>((D18*DATA!$D$23)/1000000)+((E18*DATA!$D$24)/1000000)</f>
        <v>53.071199999999997</v>
      </c>
      <c r="M18" s="316">
        <f t="shared" si="2"/>
        <v>53.071199999999997</v>
      </c>
      <c r="N18" s="316">
        <f t="shared" ca="1" si="6"/>
        <v>-4.644007337519227</v>
      </c>
      <c r="O18" s="315">
        <f>1/(1+'[93]Asumsi I'!$C$3)^(KKF!A18)</f>
        <v>0.28747610409883567</v>
      </c>
      <c r="P18" s="316">
        <f t="shared" ca="1" si="7"/>
        <v>-1.3350411367964339</v>
      </c>
      <c r="Q18" s="316">
        <f t="shared" ca="1" si="9"/>
        <v>-40.574161711716521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1.8459072228000002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57.715207337519224</v>
      </c>
      <c r="K19" s="314"/>
      <c r="L19" s="316">
        <f>((D19*DATA!$D$23)/1000000)+((E19*DATA!$D$24)/1000000)</f>
        <v>53.071199999999997</v>
      </c>
      <c r="M19" s="316">
        <f t="shared" si="2"/>
        <v>53.071199999999997</v>
      </c>
      <c r="N19" s="316">
        <f t="shared" ca="1" si="6"/>
        <v>-4.644007337519227</v>
      </c>
      <c r="O19" s="315">
        <f>1/(1+'[93]Asumsi I'!$C$3)^(KKF!A19)</f>
        <v>0.25667509294538904</v>
      </c>
      <c r="P19" s="316">
        <f t="shared" ca="1" si="7"/>
        <v>-1.1920010149968163</v>
      </c>
      <c r="Q19" s="316">
        <f t="shared" ca="1" si="9"/>
        <v>-41.76616272671334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1.8459072228000002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57.715207337519224</v>
      </c>
      <c r="K20" s="314"/>
      <c r="L20" s="316">
        <f>((D20*DATA!$D$23)/1000000)+((E20*DATA!$D$24)/1000000)</f>
        <v>53.071199999999997</v>
      </c>
      <c r="M20" s="316">
        <f t="shared" si="2"/>
        <v>53.071199999999997</v>
      </c>
      <c r="N20" s="316">
        <f t="shared" ca="1" si="6"/>
        <v>-4.644007337519227</v>
      </c>
      <c r="O20" s="315">
        <f>1/(1+'[93]Asumsi I'!$C$3)^(KKF!A20)</f>
        <v>0.22917419012981158</v>
      </c>
      <c r="P20" s="316">
        <f t="shared" ca="1" si="7"/>
        <v>-1.0642866205328714</v>
      </c>
      <c r="Q20" s="316">
        <f t="shared" ca="1" si="9"/>
        <v>-42.830449347246208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1.8459072228000002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57.715207337519224</v>
      </c>
      <c r="K21" s="314"/>
      <c r="L21" s="316">
        <f>((D21*DATA!$D$23)/1000000)+((E21*DATA!$D$24)/1000000)</f>
        <v>53.071199999999997</v>
      </c>
      <c r="M21" s="316">
        <f t="shared" si="2"/>
        <v>53.071199999999997</v>
      </c>
      <c r="N21" s="316">
        <f t="shared" ca="1" si="6"/>
        <v>-4.644007337519227</v>
      </c>
      <c r="O21" s="315">
        <f>1/(1+'[93]Asumsi I'!$C$3)^(KKF!A21)</f>
        <v>0.20461981261590317</v>
      </c>
      <c r="P21" s="316">
        <f t="shared" ca="1" si="7"/>
        <v>-0.95025591119006358</v>
      </c>
      <c r="Q21" s="316">
        <f t="shared" ca="1" si="9"/>
        <v>-43.780705258436271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1.8459072228000002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57.715207337519224</v>
      </c>
      <c r="K22" s="314"/>
      <c r="L22" s="316">
        <f>((D22*DATA!$D$23)/1000000)+((E22*DATA!$D$24)/1000000)</f>
        <v>53.071199999999997</v>
      </c>
      <c r="M22" s="316">
        <f t="shared" si="2"/>
        <v>53.071199999999997</v>
      </c>
      <c r="N22" s="316">
        <f t="shared" ca="1" si="6"/>
        <v>-4.644007337519227</v>
      </c>
      <c r="O22" s="315">
        <f>1/(1+'[93]Asumsi I'!$C$3)^(KKF!A22)</f>
        <v>0.18269626126419927</v>
      </c>
      <c r="P22" s="316">
        <f t="shared" ca="1" si="7"/>
        <v>-0.84844277784827116</v>
      </c>
      <c r="Q22" s="316">
        <f t="shared" ca="1" si="9"/>
        <v>-44.629148036284541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1.8459072228000002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57.715207337519224</v>
      </c>
      <c r="K23" s="314"/>
      <c r="L23" s="316">
        <f>((D23*DATA!$D$23)/1000000)+((E23*DATA!$D$24)/1000000)</f>
        <v>53.071199999999997</v>
      </c>
      <c r="M23" s="316">
        <f t="shared" si="2"/>
        <v>53.071199999999997</v>
      </c>
      <c r="N23" s="316">
        <f t="shared" ca="1" si="6"/>
        <v>-4.644007337519227</v>
      </c>
      <c r="O23" s="315">
        <f>1/(1+'[93]Asumsi I'!$C$3)^(KKF!A23)</f>
        <v>0.16312166184303503</v>
      </c>
      <c r="P23" s="316">
        <f t="shared" ca="1" si="7"/>
        <v>-0.7575381945073848</v>
      </c>
      <c r="Q23" s="316">
        <f t="shared" ca="1" si="9"/>
        <v>-45.386686230791923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1.8459072228000002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57.715207337519224</v>
      </c>
      <c r="K24" s="314"/>
      <c r="L24" s="316">
        <f>((D24*DATA!$D$23)/1000000)+((E24*DATA!$D$24)/1000000)</f>
        <v>53.071199999999997</v>
      </c>
      <c r="M24" s="316">
        <f t="shared" si="2"/>
        <v>53.071199999999997</v>
      </c>
      <c r="N24" s="316">
        <f t="shared" ca="1" si="6"/>
        <v>-4.644007337519227</v>
      </c>
      <c r="O24" s="315">
        <f>1/(1+'[93]Asumsi I'!$C$3)^(KKF!A24)</f>
        <v>0.14564434093128129</v>
      </c>
      <c r="P24" s="316">
        <f t="shared" ca="1" si="7"/>
        <v>-0.67637338795302215</v>
      </c>
      <c r="Q24" s="316">
        <f t="shared" ca="1" si="9"/>
        <v>-46.063059618744944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1.8459072228000002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57.715207337519224</v>
      </c>
      <c r="K25" s="314"/>
      <c r="L25" s="316">
        <f>((D25*DATA!$D$23)/1000000)+((E25*DATA!$D$24)/1000000)</f>
        <v>53.071199999999997</v>
      </c>
      <c r="M25" s="316">
        <f t="shared" si="2"/>
        <v>53.071199999999997</v>
      </c>
      <c r="N25" s="316">
        <f t="shared" ca="1" si="6"/>
        <v>-4.644007337519227</v>
      </c>
      <c r="O25" s="315">
        <f>1/(1+'[93]Asumsi I'!$C$3)^(KKF!A25)</f>
        <v>0.13003959011721541</v>
      </c>
      <c r="P25" s="316">
        <f t="shared" ca="1" si="7"/>
        <v>-0.60390481067234114</v>
      </c>
      <c r="Q25" s="316">
        <f t="shared" ca="1" si="9"/>
        <v>-46.666964429417284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1.8459072228000002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57.715207337519224</v>
      </c>
      <c r="K26" s="314"/>
      <c r="L26" s="316">
        <f>((D26*DATA!$D$23)/1000000)+((E26*DATA!$D$24)/1000000)</f>
        <v>53.071199999999997</v>
      </c>
      <c r="M26" s="316">
        <f t="shared" si="2"/>
        <v>53.071199999999997</v>
      </c>
      <c r="N26" s="316">
        <f t="shared" ca="1" si="6"/>
        <v>-4.644007337519227</v>
      </c>
      <c r="O26" s="315">
        <f>1/(1+'[93]Asumsi I'!$C$3)^(KKF!A26)</f>
        <v>0.1161067768903709</v>
      </c>
      <c r="P26" s="316">
        <f t="shared" ca="1" si="7"/>
        <v>-0.53920072381459028</v>
      </c>
      <c r="Q26" s="316">
        <f t="shared" ca="1" si="9"/>
        <v>-47.206165153231872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1.8459072228000002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57.715207337519224</v>
      </c>
      <c r="K27" s="314"/>
      <c r="L27" s="316">
        <f>((D27*DATA!$D$23)/1000000)+((E27*DATA!$D$24)/1000000)</f>
        <v>53.071199999999997</v>
      </c>
      <c r="M27" s="316">
        <f t="shared" si="2"/>
        <v>53.071199999999997</v>
      </c>
      <c r="N27" s="316">
        <f t="shared" ca="1" si="6"/>
        <v>-4.644007337519227</v>
      </c>
      <c r="O27" s="315">
        <f>1/(1+'[93]Asumsi I'!$C$3)^(KKF!A27)</f>
        <v>0.1036667650806883</v>
      </c>
      <c r="P27" s="316">
        <f t="shared" ca="1" si="7"/>
        <v>-0.48142921769159841</v>
      </c>
      <c r="Q27" s="316">
        <f t="shared" ca="1" si="9"/>
        <v>-47.68759437092347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1.8459072228000002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57.715207337519224</v>
      </c>
      <c r="K28" s="314"/>
      <c r="L28" s="316">
        <f>((D28*DATA!$D$23)/1000000)+((E28*DATA!$D$24)/1000000)</f>
        <v>53.071199999999997</v>
      </c>
      <c r="M28" s="316">
        <f t="shared" si="2"/>
        <v>53.071199999999997</v>
      </c>
      <c r="N28" s="316">
        <f t="shared" ca="1" si="6"/>
        <v>-4.644007337519227</v>
      </c>
      <c r="O28" s="315">
        <f>1/(1+'[93]Asumsi I'!$C$3)^(KKF!A28)</f>
        <v>9.2559611679185971E-2</v>
      </c>
      <c r="P28" s="316">
        <f t="shared" ca="1" si="7"/>
        <v>-0.42984751579607</v>
      </c>
      <c r="Q28" s="316">
        <f t="shared" ca="1" si="9"/>
        <v>-48.11744188671954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1.8459072228000002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57.715207337519224</v>
      </c>
      <c r="K29" s="314"/>
      <c r="L29" s="316">
        <f>((D29*DATA!$D$23)/1000000)+((E29*DATA!$D$24)/1000000)</f>
        <v>53.071199999999997</v>
      </c>
      <c r="M29" s="316">
        <f t="shared" si="2"/>
        <v>53.071199999999997</v>
      </c>
      <c r="N29" s="316">
        <f t="shared" ca="1" si="6"/>
        <v>-4.644007337519227</v>
      </c>
      <c r="O29" s="315">
        <f>1/(1+'[93]Asumsi I'!$C$3)^(KKF!A29)</f>
        <v>8.2642510427844609E-2</v>
      </c>
      <c r="P29" s="316">
        <f t="shared" ca="1" si="7"/>
        <v>-0.38379242481791959</v>
      </c>
      <c r="Q29" s="316">
        <f t="shared" ca="1" si="9"/>
        <v>-48.501234311537459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1.8459072228000002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57.715207337519224</v>
      </c>
      <c r="K30" s="314"/>
      <c r="L30" s="316">
        <f>((D30*DATA!$D$23)/1000000)+((E30*DATA!$D$24)/1000000)</f>
        <v>53.071199999999997</v>
      </c>
      <c r="M30" s="316">
        <f t="shared" si="2"/>
        <v>53.071199999999997</v>
      </c>
      <c r="N30" s="316">
        <f t="shared" ca="1" si="6"/>
        <v>-4.644007337519227</v>
      </c>
      <c r="O30" s="315">
        <f>1/(1+'[93]Asumsi I'!$C$3)^(KKF!A30)</f>
        <v>7.3787955739146982E-2</v>
      </c>
      <c r="P30" s="316">
        <f t="shared" ca="1" si="7"/>
        <v>-0.34267180787314255</v>
      </c>
      <c r="Q30" s="316">
        <f t="shared" ca="1" si="9"/>
        <v>-48.843906119410605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1.8459072228000002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57.715207337519224</v>
      </c>
      <c r="K31" s="314"/>
      <c r="L31" s="316">
        <f>((D31*DATA!$D$23)/1000000)+((E31*DATA!$D$24)/1000000)</f>
        <v>53.071199999999997</v>
      </c>
      <c r="M31" s="316">
        <f t="shared" si="2"/>
        <v>53.071199999999997</v>
      </c>
      <c r="N31" s="316">
        <f t="shared" ca="1" si="6"/>
        <v>-4.644007337519227</v>
      </c>
      <c r="O31" s="315">
        <f>1/(1+'[93]Asumsi I'!$C$3)^(KKF!A31)</f>
        <v>6.5882103338524081E-2</v>
      </c>
      <c r="P31" s="316">
        <f t="shared" ca="1" si="7"/>
        <v>-0.3059569713153058</v>
      </c>
      <c r="Q31" s="316">
        <f ca="1">Q30+P31</f>
        <v>-49.149863090725908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1.8459072228000002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57.715207337519224</v>
      </c>
      <c r="K32" s="314"/>
      <c r="L32" s="316">
        <f>((D32*DATA!$D$23)/1000000)+((E32*DATA!$D$24)/1000000)</f>
        <v>53.071199999999997</v>
      </c>
      <c r="M32" s="316">
        <f t="shared" si="2"/>
        <v>53.071199999999997</v>
      </c>
      <c r="N32" s="316">
        <f t="shared" ca="1" si="6"/>
        <v>-4.644007337519227</v>
      </c>
      <c r="O32" s="315">
        <f>1/(1+'[93]Asumsi I'!$C$3)^(KKF!A32)</f>
        <v>5.8823306552253637E-2</v>
      </c>
      <c r="P32" s="316">
        <f t="shared" ca="1" si="7"/>
        <v>-0.27317586724580872</v>
      </c>
      <c r="Q32" s="316">
        <f ca="1">Q31+P32</f>
        <v>-49.42303895797172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2" t="s">
        <v>1374</v>
      </c>
      <c r="G33" s="612"/>
      <c r="H33" s="612"/>
      <c r="I33" s="324"/>
      <c r="J33" s="325">
        <f ca="1">SUM(J7:J32)</f>
        <v>1541.67722681034</v>
      </c>
      <c r="K33" s="612" t="s">
        <v>1375</v>
      </c>
      <c r="L33" s="612"/>
      <c r="M33" s="325">
        <f>SUM(M7:M32)</f>
        <v>1412.5776000000003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-21.274092866773142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0.91626027513071528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-44.127713355331885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2"/>
  <sheetViews>
    <sheetView showGridLines="0" zoomScale="85" zoomScaleNormal="85" zoomScaleSheetLayoutView="70" workbookViewId="0">
      <pane ySplit="13" topLeftCell="A65" activePane="bottomLeft" state="frozen"/>
      <selection activeCell="H1093" sqref="H1093"/>
      <selection pane="bottomLeft" activeCell="I73" sqref="I73:K79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5" t="s">
        <v>1036</v>
      </c>
      <c r="P3" s="635"/>
      <c r="Q3" s="346"/>
      <c r="T3" s="344"/>
      <c r="U3" s="345" t="s">
        <v>1041</v>
      </c>
      <c r="V3" s="344"/>
    </row>
    <row r="4" spans="1:22" ht="15.75" customHeight="1">
      <c r="B4" s="636" t="s">
        <v>1023</v>
      </c>
      <c r="C4" s="636"/>
      <c r="D4" s="636"/>
      <c r="E4" s="636"/>
      <c r="F4" s="636"/>
      <c r="G4" s="636"/>
      <c r="H4" s="636"/>
      <c r="I4" s="636"/>
      <c r="J4" s="636"/>
      <c r="K4" s="636"/>
      <c r="O4" s="635"/>
      <c r="P4" s="63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9" t="str">
        <f>DATA!D14</f>
        <v>ANEKA JAYA JL SUTAN HADI WIJAYA</v>
      </c>
      <c r="H6" s="619"/>
      <c r="I6" s="619"/>
      <c r="J6" s="619"/>
      <c r="K6" s="61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8" t="s">
        <v>0</v>
      </c>
      <c r="C11" s="640" t="s">
        <v>1</v>
      </c>
      <c r="D11" s="629" t="s">
        <v>42</v>
      </c>
      <c r="E11" s="629" t="s">
        <v>43</v>
      </c>
      <c r="F11" s="629" t="s">
        <v>2</v>
      </c>
      <c r="G11" s="643" t="s">
        <v>41</v>
      </c>
      <c r="H11" s="629" t="s">
        <v>3</v>
      </c>
      <c r="I11" s="629"/>
      <c r="J11" s="629"/>
      <c r="K11" s="63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9"/>
      <c r="C12" s="641"/>
      <c r="D12" s="633"/>
      <c r="E12" s="633"/>
      <c r="F12" s="633"/>
      <c r="G12" s="644"/>
      <c r="H12" s="631" t="s">
        <v>46</v>
      </c>
      <c r="I12" s="631" t="s">
        <v>5</v>
      </c>
      <c r="J12" s="633" t="s">
        <v>47</v>
      </c>
      <c r="K12" s="63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9"/>
      <c r="C13" s="642"/>
      <c r="D13" s="633"/>
      <c r="E13" s="633"/>
      <c r="F13" s="633"/>
      <c r="G13" s="645"/>
      <c r="H13" s="632"/>
      <c r="I13" s="632"/>
      <c r="J13" s="633"/>
      <c r="K13" s="63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1607</v>
      </c>
      <c r="C17" s="367" t="s">
        <v>1612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0</v>
      </c>
      <c r="J18" s="361">
        <f t="shared" ref="J18" ca="1" si="10">IF(D18="JASA",G18*F18,0)</f>
        <v>0</v>
      </c>
      <c r="K18" s="362">
        <f t="shared" ref="K18" ca="1" si="11">SUM(H18:J18)</f>
        <v>0</v>
      </c>
    </row>
    <row r="19" spans="1:22">
      <c r="B19" s="366" t="s">
        <v>1608</v>
      </c>
      <c r="C19" s="367" t="s">
        <v>1614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41" ca="1" si="12">IF(OR(D19="MDU",D19="MDU-KD"),(IF($O$3="RAB NON MDU","PLN KD",G19*F19)),0)</f>
        <v>0</v>
      </c>
      <c r="I19" s="361">
        <f t="shared" ref="I19:I41" ca="1" si="13">IF(D19="HDW",G19*F19,0)</f>
        <v>0</v>
      </c>
      <c r="J19" s="361">
        <f t="shared" ref="J19:J41" ca="1" si="14">IF(D19="JASA",G19*F19,0)</f>
        <v>0</v>
      </c>
      <c r="K19" s="362">
        <f t="shared" ref="K19:K41" ca="1" si="15">SUM(H19:J19)</f>
        <v>0</v>
      </c>
    </row>
    <row r="20" spans="1:22">
      <c r="B20" s="366"/>
      <c r="C20" s="36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</row>
    <row r="21" spans="1:22">
      <c r="B21" s="505" t="s">
        <v>1035</v>
      </c>
      <c r="C21" s="506" t="s">
        <v>1615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7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</row>
    <row r="22" spans="1:22">
      <c r="B22" s="505">
        <v>1</v>
      </c>
      <c r="C22" s="109" t="s">
        <v>1458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F21*1</f>
        <v>1</v>
      </c>
      <c r="G22" s="360">
        <f ca="1">IF(ISERROR(OFFSET('HARGA SATUAN'!$I$6,MATCH(RAB!C22,'HARGA SATUAN'!$C$7:$C$1492,0),0)),0,OFFSET('HARGA SATUAN'!$I$6,MATCH(RAB!C22,'HARGA SATUAN'!$C$7:$C$1492,0),0))</f>
        <v>63057400</v>
      </c>
      <c r="H22" s="361">
        <f t="shared" ca="1" si="12"/>
        <v>63057400</v>
      </c>
      <c r="I22" s="361">
        <f t="shared" ca="1" si="13"/>
        <v>0</v>
      </c>
      <c r="J22" s="361">
        <f t="shared" ca="1" si="14"/>
        <v>0</v>
      </c>
      <c r="K22" s="362">
        <f t="shared" ca="1" si="15"/>
        <v>63057400</v>
      </c>
    </row>
    <row r="23" spans="1:22">
      <c r="B23" s="498">
        <v>2</v>
      </c>
      <c r="C23" s="507" t="s">
        <v>1616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1:22">
      <c r="B24" s="505"/>
      <c r="C24" s="507" t="s">
        <v>65</v>
      </c>
      <c r="D24" s="358" t="s">
        <v>1619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97">
        <f>F21*(3*3)</f>
        <v>9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si="12"/>
        <v>0</v>
      </c>
      <c r="I24" s="361">
        <f t="shared" si="13"/>
        <v>0</v>
      </c>
      <c r="J24" s="361">
        <f t="shared" si="14"/>
        <v>0</v>
      </c>
      <c r="K24" s="362">
        <f t="shared" si="15"/>
        <v>0</v>
      </c>
    </row>
    <row r="25" spans="1:22">
      <c r="B25" s="505"/>
      <c r="C25" s="507" t="s">
        <v>1617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97">
        <f>F21*3</f>
        <v>3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</row>
    <row r="26" spans="1:22">
      <c r="B26" s="505">
        <v>3</v>
      </c>
      <c r="C26" s="109" t="s">
        <v>559</v>
      </c>
      <c r="D26" s="358" t="s">
        <v>1619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7">
        <f>F21*3</f>
        <v>3</v>
      </c>
      <c r="G26" s="360">
        <f ca="1">IF(ISERROR(OFFSET('HARGA SATUAN'!$I$6,MATCH(RAB!C26,'HARGA SATUAN'!$C$7:$C$1492,0),0)),0,OFFSET('HARGA SATUAN'!$I$6,MATCH(RAB!C26,'HARGA SATUAN'!$C$7:$C$1492,0),0))</f>
        <v>725900</v>
      </c>
      <c r="H26" s="361">
        <f t="shared" si="12"/>
        <v>0</v>
      </c>
      <c r="I26" s="361">
        <f t="shared" si="13"/>
        <v>0</v>
      </c>
      <c r="J26" s="361">
        <f t="shared" si="14"/>
        <v>0</v>
      </c>
      <c r="K26" s="362">
        <f t="shared" si="15"/>
        <v>0</v>
      </c>
    </row>
    <row r="27" spans="1:22">
      <c r="B27" s="505">
        <v>4</v>
      </c>
      <c r="C27" s="506" t="s">
        <v>535</v>
      </c>
      <c r="D27" s="358" t="s">
        <v>1619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7">
        <f>F21*3</f>
        <v>3</v>
      </c>
      <c r="G27" s="360">
        <f ca="1">IF(ISERROR(OFFSET('HARGA SATUAN'!$I$6,MATCH(RAB!C27,'HARGA SATUAN'!$C$7:$C$1492,0),0)),0,OFFSET('HARGA SATUAN'!$I$6,MATCH(RAB!C27,'HARGA SATUAN'!$C$7:$C$1492,0),0))</f>
        <v>848250</v>
      </c>
      <c r="H27" s="361">
        <f t="shared" si="12"/>
        <v>0</v>
      </c>
      <c r="I27" s="361">
        <f t="shared" si="13"/>
        <v>0</v>
      </c>
      <c r="J27" s="361">
        <f t="shared" si="14"/>
        <v>0</v>
      </c>
      <c r="K27" s="362">
        <f t="shared" si="15"/>
        <v>0</v>
      </c>
    </row>
    <row r="28" spans="1:22">
      <c r="B28" s="505">
        <v>5</v>
      </c>
      <c r="C28" s="506" t="s">
        <v>55</v>
      </c>
      <c r="D28" s="358" t="s">
        <v>1619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7">
        <f>F21*3</f>
        <v>3</v>
      </c>
      <c r="G28" s="360">
        <f ca="1">IF(ISERROR(OFFSET('HARGA SATUAN'!$I$6,MATCH(RAB!C28,'HARGA SATUAN'!$C$7:$C$1492,0),0)),0,OFFSET('HARGA SATUAN'!$I$6,MATCH(RAB!C28,'HARGA SATUAN'!$C$7:$C$1492,0),0))</f>
        <v>18000</v>
      </c>
      <c r="H28" s="361">
        <f t="shared" si="12"/>
        <v>0</v>
      </c>
      <c r="I28" s="361">
        <f t="shared" si="13"/>
        <v>0</v>
      </c>
      <c r="J28" s="361">
        <f t="shared" si="14"/>
        <v>0</v>
      </c>
      <c r="K28" s="362">
        <f t="shared" si="15"/>
        <v>0</v>
      </c>
    </row>
    <row r="29" spans="1:22">
      <c r="B29" s="505">
        <v>6</v>
      </c>
      <c r="C29" s="506" t="s">
        <v>1618</v>
      </c>
      <c r="D29" s="358" t="s">
        <v>1619</v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497">
        <f>F21*13</f>
        <v>13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si="12"/>
        <v>0</v>
      </c>
      <c r="I29" s="361">
        <f t="shared" si="13"/>
        <v>0</v>
      </c>
      <c r="J29" s="361">
        <f t="shared" si="14"/>
        <v>0</v>
      </c>
      <c r="K29" s="362">
        <f t="shared" si="15"/>
        <v>0</v>
      </c>
    </row>
    <row r="30" spans="1:22">
      <c r="B30" s="505">
        <v>7</v>
      </c>
      <c r="C30" s="506" t="s">
        <v>163</v>
      </c>
      <c r="D30" s="358" t="s">
        <v>1619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F21*28</f>
        <v>28</v>
      </c>
      <c r="G30" s="360">
        <f ca="1">IF(ISERROR(OFFSET('HARGA SATUAN'!$I$6,MATCH(RAB!C30,'HARGA SATUAN'!$C$7:$C$1492,0),0)),0,OFFSET('HARGA SATUAN'!$I$6,MATCH(RAB!C30,'HARGA SATUAN'!$C$7:$C$1492,0),0))</f>
        <v>7938</v>
      </c>
      <c r="H30" s="361">
        <f t="shared" si="12"/>
        <v>0</v>
      </c>
      <c r="I30" s="361">
        <f t="shared" si="13"/>
        <v>0</v>
      </c>
      <c r="J30" s="361">
        <f t="shared" si="14"/>
        <v>0</v>
      </c>
      <c r="K30" s="362">
        <f t="shared" si="15"/>
        <v>0</v>
      </c>
    </row>
    <row r="31" spans="1:22">
      <c r="B31" s="505">
        <v>8</v>
      </c>
      <c r="C31" s="506" t="s">
        <v>176</v>
      </c>
      <c r="D31" s="358" t="s">
        <v>1619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7">
        <f>F21*2</f>
        <v>2</v>
      </c>
      <c r="G31" s="360">
        <f ca="1">IF(ISERROR(OFFSET('HARGA SATUAN'!$I$6,MATCH(RAB!C31,'HARGA SATUAN'!$C$7:$C$1492,0),0)),0,OFFSET('HARGA SATUAN'!$I$6,MATCH(RAB!C31,'HARGA SATUAN'!$C$7:$C$1492,0),0))</f>
        <v>404600</v>
      </c>
      <c r="H31" s="361">
        <f t="shared" si="12"/>
        <v>0</v>
      </c>
      <c r="I31" s="361">
        <f t="shared" si="13"/>
        <v>0</v>
      </c>
      <c r="J31" s="361">
        <f t="shared" si="14"/>
        <v>0</v>
      </c>
      <c r="K31" s="362">
        <f t="shared" si="15"/>
        <v>0</v>
      </c>
    </row>
    <row r="32" spans="1:22">
      <c r="B32" s="505">
        <v>9</v>
      </c>
      <c r="C32" s="506" t="s">
        <v>184</v>
      </c>
      <c r="D32" s="358" t="s">
        <v>1619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7">
        <f>F21*3</f>
        <v>3</v>
      </c>
      <c r="G32" s="360">
        <f ca="1">IF(ISERROR(OFFSET('HARGA SATUAN'!$I$6,MATCH(RAB!C32,'HARGA SATUAN'!$C$7:$C$1492,0),0)),0,OFFSET('HARGA SATUAN'!$I$6,MATCH(RAB!C32,'HARGA SATUAN'!$C$7:$C$1492,0),0))</f>
        <v>15900</v>
      </c>
      <c r="H32" s="361">
        <f t="shared" si="12"/>
        <v>0</v>
      </c>
      <c r="I32" s="361">
        <f t="shared" si="13"/>
        <v>0</v>
      </c>
      <c r="J32" s="361">
        <f t="shared" si="14"/>
        <v>0</v>
      </c>
      <c r="K32" s="362">
        <f t="shared" si="15"/>
        <v>0</v>
      </c>
    </row>
    <row r="33" spans="2:11">
      <c r="B33" s="505">
        <v>10</v>
      </c>
      <c r="C33" s="506" t="s">
        <v>593</v>
      </c>
      <c r="D33" s="358" t="s">
        <v>1619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7">
        <f>F21*5</f>
        <v>5</v>
      </c>
      <c r="G33" s="360">
        <f ca="1">IF(ISERROR(OFFSET('HARGA SATUAN'!$I$6,MATCH(RAB!C33,'HARGA SATUAN'!$C$7:$C$1492,0),0)),0,OFFSET('HARGA SATUAN'!$I$6,MATCH(RAB!C33,'HARGA SATUAN'!$C$7:$C$1492,0),0))</f>
        <v>380500</v>
      </c>
      <c r="H33" s="361">
        <f t="shared" si="12"/>
        <v>0</v>
      </c>
      <c r="I33" s="361">
        <f t="shared" si="13"/>
        <v>0</v>
      </c>
      <c r="J33" s="361">
        <f t="shared" si="14"/>
        <v>0</v>
      </c>
      <c r="K33" s="362">
        <f t="shared" si="15"/>
        <v>0</v>
      </c>
    </row>
    <row r="34" spans="2:11">
      <c r="B34" s="505">
        <v>11</v>
      </c>
      <c r="C34" s="506" t="s">
        <v>594</v>
      </c>
      <c r="D34" s="358" t="s">
        <v>1619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7">
        <f>F21*4</f>
        <v>4</v>
      </c>
      <c r="G34" s="360">
        <f ca="1">IF(ISERROR(OFFSET('HARGA SATUAN'!$I$6,MATCH(RAB!C34,'HARGA SATUAN'!$C$7:$C$1492,0),0)),0,OFFSET('HARGA SATUAN'!$I$6,MATCH(RAB!C34,'HARGA SATUAN'!$C$7:$C$1492,0),0))</f>
        <v>559200</v>
      </c>
      <c r="H34" s="361">
        <f t="shared" si="12"/>
        <v>0</v>
      </c>
      <c r="I34" s="361">
        <f t="shared" si="13"/>
        <v>0</v>
      </c>
      <c r="J34" s="361">
        <f t="shared" si="14"/>
        <v>0</v>
      </c>
      <c r="K34" s="362">
        <f t="shared" si="15"/>
        <v>0</v>
      </c>
    </row>
    <row r="35" spans="2:11">
      <c r="B35" s="505">
        <v>12</v>
      </c>
      <c r="C35" s="506" t="s">
        <v>208</v>
      </c>
      <c r="D35" s="358" t="s">
        <v>1619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7">
        <f>F21*3</f>
        <v>3</v>
      </c>
      <c r="G35" s="360">
        <f ca="1">IF(ISERROR(OFFSET('HARGA SATUAN'!$I$6,MATCH(RAB!C35,'HARGA SATUAN'!$C$7:$C$1492,0),0)),0,OFFSET('HARGA SATUAN'!$I$6,MATCH(RAB!C35,'HARGA SATUAN'!$C$7:$C$1492,0),0))</f>
        <v>173400</v>
      </c>
      <c r="H35" s="361">
        <f t="shared" si="12"/>
        <v>0</v>
      </c>
      <c r="I35" s="361">
        <f t="shared" si="13"/>
        <v>0</v>
      </c>
      <c r="J35" s="361">
        <f t="shared" si="14"/>
        <v>0</v>
      </c>
      <c r="K35" s="362">
        <f t="shared" si="15"/>
        <v>0</v>
      </c>
    </row>
    <row r="36" spans="2:11">
      <c r="B36" s="505">
        <v>13</v>
      </c>
      <c r="C36" s="506" t="s">
        <v>247</v>
      </c>
      <c r="D36" s="358" t="s">
        <v>1619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7">
        <f>F21*2</f>
        <v>2</v>
      </c>
      <c r="G36" s="360">
        <f ca="1">IF(ISERROR(OFFSET('HARGA SATUAN'!$I$6,MATCH(RAB!C36,'HARGA SATUAN'!$C$7:$C$1492,0),0)),0,OFFSET('HARGA SATUAN'!$I$6,MATCH(RAB!C36,'HARGA SATUAN'!$C$7:$C$1492,0),0))</f>
        <v>57690</v>
      </c>
      <c r="H36" s="361">
        <f t="shared" si="12"/>
        <v>0</v>
      </c>
      <c r="I36" s="361">
        <f t="shared" si="13"/>
        <v>0</v>
      </c>
      <c r="J36" s="361">
        <f t="shared" si="14"/>
        <v>0</v>
      </c>
      <c r="K36" s="362">
        <f t="shared" si="15"/>
        <v>0</v>
      </c>
    </row>
    <row r="37" spans="2:11">
      <c r="B37" s="505">
        <v>14</v>
      </c>
      <c r="C37" s="506" t="s">
        <v>248</v>
      </c>
      <c r="D37" s="358" t="s">
        <v>1619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F21*2</f>
        <v>2</v>
      </c>
      <c r="G37" s="360">
        <f ca="1">IF(ISERROR(OFFSET('HARGA SATUAN'!$I$6,MATCH(RAB!C37,'HARGA SATUAN'!$C$7:$C$1492,0),0)),0,OFFSET('HARGA SATUAN'!$I$6,MATCH(RAB!C37,'HARGA SATUAN'!$C$7:$C$1492,0),0))</f>
        <v>60300</v>
      </c>
      <c r="H37" s="361">
        <f t="shared" si="12"/>
        <v>0</v>
      </c>
      <c r="I37" s="361">
        <f t="shared" si="13"/>
        <v>0</v>
      </c>
      <c r="J37" s="361">
        <f t="shared" si="14"/>
        <v>0</v>
      </c>
      <c r="K37" s="362">
        <f t="shared" si="15"/>
        <v>0</v>
      </c>
    </row>
    <row r="38" spans="2:11">
      <c r="B38" s="505">
        <v>15</v>
      </c>
      <c r="C38" s="506" t="s">
        <v>267</v>
      </c>
      <c r="D38" s="358" t="s">
        <v>1619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7">
        <f>F21*4</f>
        <v>4</v>
      </c>
      <c r="G38" s="360">
        <f ca="1">IF(ISERROR(OFFSET('HARGA SATUAN'!$I$6,MATCH(RAB!C38,'HARGA SATUAN'!$C$7:$C$1492,0),0)),0,OFFSET('HARGA SATUAN'!$I$6,MATCH(RAB!C38,'HARGA SATUAN'!$C$7:$C$1492,0),0))</f>
        <v>129000</v>
      </c>
      <c r="H38" s="361">
        <f t="shared" si="12"/>
        <v>0</v>
      </c>
      <c r="I38" s="361">
        <f t="shared" si="13"/>
        <v>0</v>
      </c>
      <c r="J38" s="361">
        <f t="shared" si="14"/>
        <v>0</v>
      </c>
      <c r="K38" s="362">
        <f t="shared" si="15"/>
        <v>0</v>
      </c>
    </row>
    <row r="39" spans="2:11" ht="26.25">
      <c r="B39" s="505">
        <v>16</v>
      </c>
      <c r="C39" s="509" t="s">
        <v>1620</v>
      </c>
      <c r="D39" s="501" t="s">
        <v>47</v>
      </c>
      <c r="E39" s="502" t="s">
        <v>14</v>
      </c>
      <c r="F39" s="502">
        <v>1</v>
      </c>
      <c r="G39" s="503">
        <v>398500</v>
      </c>
      <c r="H39" s="361">
        <f t="shared" si="12"/>
        <v>0</v>
      </c>
      <c r="I39" s="361">
        <f t="shared" si="13"/>
        <v>0</v>
      </c>
      <c r="J39" s="361">
        <f t="shared" si="14"/>
        <v>398500</v>
      </c>
      <c r="K39" s="362">
        <f t="shared" si="15"/>
        <v>398500</v>
      </c>
    </row>
    <row r="40" spans="2:11" ht="25.5">
      <c r="B40" s="366">
        <v>17</v>
      </c>
      <c r="C40" s="510" t="s">
        <v>1621</v>
      </c>
      <c r="D40" s="501" t="s">
        <v>47</v>
      </c>
      <c r="E40" s="502" t="s">
        <v>14</v>
      </c>
      <c r="F40" s="502">
        <v>1</v>
      </c>
      <c r="G40" s="503">
        <v>560800</v>
      </c>
      <c r="H40" s="361">
        <f t="shared" si="12"/>
        <v>0</v>
      </c>
      <c r="I40" s="361">
        <f t="shared" si="13"/>
        <v>0</v>
      </c>
      <c r="J40" s="361">
        <f t="shared" si="14"/>
        <v>560800</v>
      </c>
      <c r="K40" s="362">
        <f t="shared" si="15"/>
        <v>560800</v>
      </c>
    </row>
    <row r="41" spans="2:11">
      <c r="B41" s="366"/>
      <c r="C41" s="367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493" t="s">
        <v>1609</v>
      </c>
      <c r="C42" s="496" t="s">
        <v>1611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ref="H42" ca="1" si="16">IF(OR(D42="MDU",D42="MDU-KD"),(IF($O$3="RAB NON MDU","PLN KD",G42*F42)),0)</f>
        <v>0</v>
      </c>
      <c r="I42" s="361">
        <f t="shared" ref="I42" ca="1" si="17">IF(D42="HDW",G42*F42,0)</f>
        <v>0</v>
      </c>
      <c r="J42" s="361">
        <f t="shared" ref="J42" ca="1" si="18">IF(D42="JASA",G42*F42,0)</f>
        <v>0</v>
      </c>
      <c r="K42" s="362">
        <f t="shared" ref="K42" ca="1" si="19">SUM(H42:J42)</f>
        <v>0</v>
      </c>
    </row>
    <row r="43" spans="2:11">
      <c r="B43" s="493" t="s">
        <v>1035</v>
      </c>
      <c r="C43" s="494" t="s">
        <v>1626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12">
        <v>1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ref="H43:H48" ca="1" si="20">IF(OR(D43="MDU",D43="MDU-KD"),(IF($O$3="RAB NON MDU","PLN KD",G43*F43)),0)</f>
        <v>0</v>
      </c>
      <c r="I43" s="361">
        <f t="shared" ref="I43:I48" ca="1" si="21">IF(D43="HDW",G43*F43,0)</f>
        <v>0</v>
      </c>
      <c r="J43" s="361">
        <f t="shared" ref="J43:J48" ca="1" si="22">IF(D43="JASA",G43*F43,0)</f>
        <v>0</v>
      </c>
      <c r="K43" s="362">
        <f t="shared" ref="K43:K48" ca="1" si="23">SUM(H43:J43)</f>
        <v>0</v>
      </c>
    </row>
    <row r="44" spans="2:11" ht="30">
      <c r="B44" s="517">
        <v>1</v>
      </c>
      <c r="C44" s="109" t="s">
        <v>1196</v>
      </c>
      <c r="D44" s="358" t="s">
        <v>1613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12">
        <f>F43*1</f>
        <v>1</v>
      </c>
      <c r="G44" s="360">
        <f ca="1">IF(ISERROR(OFFSET('HARGA SATUAN'!$I$6,MATCH(RAB!C44,'HARGA SATUAN'!$C$7:$C$1492,0),0)),0,OFFSET('HARGA SATUAN'!$I$6,MATCH(RAB!C44,'HARGA SATUAN'!$C$7:$C$1492,0),0))</f>
        <v>1504200</v>
      </c>
      <c r="H44" s="361">
        <f t="shared" si="20"/>
        <v>0</v>
      </c>
      <c r="I44" s="361">
        <f t="shared" si="21"/>
        <v>0</v>
      </c>
      <c r="J44" s="361">
        <f t="shared" si="22"/>
        <v>0</v>
      </c>
      <c r="K44" s="362">
        <f t="shared" si="23"/>
        <v>0</v>
      </c>
    </row>
    <row r="45" spans="2:11">
      <c r="B45" s="517">
        <v>2</v>
      </c>
      <c r="C45" s="518" t="s">
        <v>518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12">
        <f>F43*1</f>
        <v>1</v>
      </c>
      <c r="G45" s="360">
        <f ca="1">IF(ISERROR(OFFSET('HARGA SATUAN'!$I$6,MATCH(RAB!C45,'HARGA SATUAN'!$C$7:$C$1492,0),0)),0,OFFSET('HARGA SATUAN'!$I$6,MATCH(RAB!C45,'HARGA SATUAN'!$C$7:$C$1492,0),0))</f>
        <v>14217900</v>
      </c>
      <c r="H45" s="361">
        <f t="shared" ca="1" si="20"/>
        <v>14217900</v>
      </c>
      <c r="I45" s="361">
        <f t="shared" ca="1" si="21"/>
        <v>0</v>
      </c>
      <c r="J45" s="361">
        <f t="shared" ca="1" si="22"/>
        <v>0</v>
      </c>
      <c r="K45" s="362">
        <f t="shared" ca="1" si="23"/>
        <v>14217900</v>
      </c>
    </row>
    <row r="46" spans="2:11">
      <c r="B46" s="517">
        <v>3</v>
      </c>
      <c r="C46" s="518" t="s">
        <v>1142</v>
      </c>
      <c r="D46" s="358" t="s">
        <v>1613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512">
        <f>F43*1</f>
        <v>1</v>
      </c>
      <c r="G46" s="360">
        <f ca="1">IF(ISERROR(OFFSET('HARGA SATUAN'!$I$6,MATCH(RAB!C46,'HARGA SATUAN'!$C$7:$C$1492,0),0)),0,OFFSET('HARGA SATUAN'!$I$6,MATCH(RAB!C46,'HARGA SATUAN'!$C$7:$C$1492,0),0))</f>
        <v>1113900</v>
      </c>
      <c r="H46" s="361">
        <f t="shared" si="20"/>
        <v>0</v>
      </c>
      <c r="I46" s="361">
        <f t="shared" si="21"/>
        <v>0</v>
      </c>
      <c r="J46" s="361">
        <f t="shared" si="22"/>
        <v>0</v>
      </c>
      <c r="K46" s="362">
        <f t="shared" si="23"/>
        <v>0</v>
      </c>
    </row>
    <row r="47" spans="2:11">
      <c r="B47" s="517">
        <v>4</v>
      </c>
      <c r="C47" s="109" t="s">
        <v>80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12">
        <v>44</v>
      </c>
      <c r="G47" s="360">
        <f ca="1">IF(ISERROR(OFFSET('HARGA SATUAN'!$I$6,MATCH(RAB!C47,'HARGA SATUAN'!$C$7:$C$1492,0),0)),0,OFFSET('HARGA SATUAN'!$I$6,MATCH(RAB!C47,'HARGA SATUAN'!$C$7:$C$1492,0),0))</f>
        <v>94700</v>
      </c>
      <c r="H47" s="361">
        <f t="shared" ca="1" si="20"/>
        <v>4166800</v>
      </c>
      <c r="I47" s="361">
        <f t="shared" ca="1" si="21"/>
        <v>0</v>
      </c>
      <c r="J47" s="361">
        <f t="shared" ca="1" si="22"/>
        <v>0</v>
      </c>
      <c r="K47" s="362">
        <f t="shared" ca="1" si="23"/>
        <v>4166800</v>
      </c>
    </row>
    <row r="48" spans="2:11">
      <c r="B48" s="517">
        <v>5</v>
      </c>
      <c r="C48" s="518" t="s">
        <v>799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12">
        <f>F43*1</f>
        <v>1</v>
      </c>
      <c r="G48" s="360">
        <f ca="1">IF(ISERROR(OFFSET('HARGA SATUAN'!$I$6,MATCH(RAB!C48,'HARGA SATUAN'!$C$7:$C$1492,0),0)),0,OFFSET('HARGA SATUAN'!$I$6,MATCH(RAB!C48,'HARGA SATUAN'!$C$7:$C$1492,0),0))</f>
        <v>106400</v>
      </c>
      <c r="H48" s="361">
        <f t="shared" ca="1" si="20"/>
        <v>0</v>
      </c>
      <c r="I48" s="361">
        <f t="shared" ca="1" si="21"/>
        <v>0</v>
      </c>
      <c r="J48" s="361">
        <f t="shared" ca="1" si="22"/>
        <v>106400</v>
      </c>
      <c r="K48" s="362">
        <f t="shared" ca="1" si="23"/>
        <v>106400</v>
      </c>
    </row>
    <row r="49" spans="2:11">
      <c r="B49" s="505"/>
      <c r="C49" s="511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:H53" ca="1" si="24">IF(OR(D49="MDU",D49="MDU-KD"),(IF($O$3="RAB NON MDU","PLN KD",G49*F49)),0)</f>
        <v>0</v>
      </c>
      <c r="I49" s="361">
        <f t="shared" ref="I49:I53" ca="1" si="25">IF(D49="HDW",G49*F49,0)</f>
        <v>0</v>
      </c>
      <c r="J49" s="361">
        <f t="shared" ref="J49:J53" ca="1" si="26">IF(D49="JASA",G49*F49,0)</f>
        <v>0</v>
      </c>
      <c r="K49" s="362">
        <f t="shared" ref="K49:K53" ca="1" si="27">SUM(H49:J49)</f>
        <v>0</v>
      </c>
    </row>
    <row r="50" spans="2:11">
      <c r="B50" s="513" t="s">
        <v>1035</v>
      </c>
      <c r="C50" s="515" t="s">
        <v>1622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16">
        <v>1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24"/>
        <v>0</v>
      </c>
      <c r="I50" s="361">
        <f t="shared" ca="1" si="25"/>
        <v>0</v>
      </c>
      <c r="J50" s="361">
        <f t="shared" ca="1" si="26"/>
        <v>0</v>
      </c>
      <c r="K50" s="362">
        <f t="shared" ca="1" si="27"/>
        <v>0</v>
      </c>
    </row>
    <row r="51" spans="2:11">
      <c r="B51" s="513">
        <v>1</v>
      </c>
      <c r="C51" s="515" t="s">
        <v>163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6">
        <f>F50*4</f>
        <v>4</v>
      </c>
      <c r="G51" s="360">
        <f ca="1">IF(ISERROR(OFFSET('HARGA SATUAN'!$I$6,MATCH(RAB!C51,'HARGA SATUAN'!$C$7:$C$1492,0),0)),0,OFFSET('HARGA SATUAN'!$I$6,MATCH(RAB!C51,'HARGA SATUAN'!$C$7:$C$1492,0),0))</f>
        <v>7938</v>
      </c>
      <c r="H51" s="361">
        <f t="shared" ca="1" si="24"/>
        <v>0</v>
      </c>
      <c r="I51" s="361">
        <f t="shared" ca="1" si="25"/>
        <v>31752</v>
      </c>
      <c r="J51" s="361">
        <f t="shared" ca="1" si="26"/>
        <v>0</v>
      </c>
      <c r="K51" s="362">
        <f t="shared" ca="1" si="27"/>
        <v>31752</v>
      </c>
    </row>
    <row r="52" spans="2:11">
      <c r="B52" s="513">
        <v>2</v>
      </c>
      <c r="C52" s="515" t="s">
        <v>593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6">
        <f>F50*1</f>
        <v>1</v>
      </c>
      <c r="G52" s="360">
        <f ca="1">IF(ISERROR(OFFSET('HARGA SATUAN'!$I$6,MATCH(RAB!C52,'HARGA SATUAN'!$C$7:$C$1492,0),0)),0,OFFSET('HARGA SATUAN'!$I$6,MATCH(RAB!C52,'HARGA SATUAN'!$C$7:$C$1492,0),0))</f>
        <v>380500</v>
      </c>
      <c r="H52" s="361">
        <f t="shared" ca="1" si="24"/>
        <v>0</v>
      </c>
      <c r="I52" s="361">
        <f t="shared" ca="1" si="25"/>
        <v>380500</v>
      </c>
      <c r="J52" s="361">
        <f t="shared" ca="1" si="26"/>
        <v>0</v>
      </c>
      <c r="K52" s="362">
        <f t="shared" ca="1" si="27"/>
        <v>380500</v>
      </c>
    </row>
    <row r="53" spans="2:11">
      <c r="B53" s="513">
        <v>3</v>
      </c>
      <c r="C53" s="515" t="s">
        <v>248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6">
        <f>F50*2</f>
        <v>2</v>
      </c>
      <c r="G53" s="360">
        <f ca="1">IF(ISERROR(OFFSET('HARGA SATUAN'!$I$6,MATCH(RAB!C53,'HARGA SATUAN'!$C$7:$C$1492,0),0)),0,OFFSET('HARGA SATUAN'!$I$6,MATCH(RAB!C53,'HARGA SATUAN'!$C$7:$C$1492,0),0))</f>
        <v>60300</v>
      </c>
      <c r="H53" s="361">
        <f t="shared" ca="1" si="24"/>
        <v>0</v>
      </c>
      <c r="I53" s="361">
        <f t="shared" ca="1" si="25"/>
        <v>120600</v>
      </c>
      <c r="J53" s="361">
        <f t="shared" ca="1" si="26"/>
        <v>0</v>
      </c>
      <c r="K53" s="362">
        <f t="shared" ca="1" si="27"/>
        <v>120600</v>
      </c>
    </row>
    <row r="54" spans="2:11">
      <c r="B54" s="513">
        <v>4</v>
      </c>
      <c r="C54" s="514" t="s">
        <v>595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97">
        <f>F50*1</f>
        <v>1</v>
      </c>
      <c r="G54" s="360">
        <f ca="1">IF(ISERROR(OFFSET('HARGA SATUAN'!$I$6,MATCH(RAB!C54,'HARGA SATUAN'!$C$7:$C$1492,0),0)),0,OFFSET('HARGA SATUAN'!$I$6,MATCH(RAB!C54,'HARGA SATUAN'!$C$7:$C$1492,0),0))</f>
        <v>78500</v>
      </c>
      <c r="H54" s="361">
        <f t="shared" ref="H54:H60" ca="1" si="28">IF(OR(D54="MDU",D54="MDU-KD"),(IF($O$3="RAB NON MDU","PLN KD",G54*F54)),0)</f>
        <v>0</v>
      </c>
      <c r="I54" s="361">
        <f t="shared" ref="I54:I60" ca="1" si="29">IF(D54="HDW",G54*F54,0)</f>
        <v>78500</v>
      </c>
      <c r="J54" s="361">
        <f t="shared" ref="J54:J60" ca="1" si="30">IF(D54="JASA",G54*F54,0)</f>
        <v>0</v>
      </c>
      <c r="K54" s="362">
        <f t="shared" ref="K54:K60" ca="1" si="31">SUM(H54:J54)</f>
        <v>78500</v>
      </c>
    </row>
    <row r="55" spans="2:11">
      <c r="B55" s="513">
        <v>5</v>
      </c>
      <c r="C55" s="514" t="s">
        <v>229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7">
        <f>F50*1</f>
        <v>1</v>
      </c>
      <c r="G55" s="360">
        <f ca="1">IF(ISERROR(OFFSET('HARGA SATUAN'!$I$6,MATCH(RAB!C55,'HARGA SATUAN'!$C$7:$C$1492,0),0)),0,OFFSET('HARGA SATUAN'!$I$6,MATCH(RAB!C55,'HARGA SATUAN'!$C$7:$C$1492,0),0))</f>
        <v>4212</v>
      </c>
      <c r="H55" s="361">
        <f t="shared" ca="1" si="28"/>
        <v>0</v>
      </c>
      <c r="I55" s="361">
        <f t="shared" ca="1" si="29"/>
        <v>4212</v>
      </c>
      <c r="J55" s="361">
        <f t="shared" ca="1" si="30"/>
        <v>0</v>
      </c>
      <c r="K55" s="362">
        <f t="shared" ca="1" si="31"/>
        <v>4212</v>
      </c>
    </row>
    <row r="56" spans="2:11">
      <c r="B56" s="513">
        <v>6</v>
      </c>
      <c r="C56" s="514" t="s">
        <v>266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497">
        <f>F50*1</f>
        <v>1</v>
      </c>
      <c r="G56" s="360">
        <f ca="1">IF(ISERROR(OFFSET('HARGA SATUAN'!$I$6,MATCH(RAB!C56,'HARGA SATUAN'!$C$7:$C$1492,0),0)),0,OFFSET('HARGA SATUAN'!$I$6,MATCH(RAB!C56,'HARGA SATUAN'!$C$7:$C$1492,0),0))</f>
        <v>23310</v>
      </c>
      <c r="H56" s="361">
        <f t="shared" ca="1" si="28"/>
        <v>0</v>
      </c>
      <c r="I56" s="361">
        <f t="shared" ca="1" si="29"/>
        <v>23310</v>
      </c>
      <c r="J56" s="361">
        <f t="shared" ca="1" si="30"/>
        <v>0</v>
      </c>
      <c r="K56" s="362">
        <f t="shared" ca="1" si="31"/>
        <v>23310</v>
      </c>
    </row>
    <row r="57" spans="2:11">
      <c r="B57" s="513">
        <v>7</v>
      </c>
      <c r="C57" s="514" t="s">
        <v>35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7">
        <f>F50*1</f>
        <v>1</v>
      </c>
      <c r="G57" s="360">
        <f ca="1">IF(ISERROR(OFFSET('HARGA SATUAN'!$I$6,MATCH(RAB!C57,'HARGA SATUAN'!$C$7:$C$1492,0),0)),0,OFFSET('HARGA SATUAN'!$I$6,MATCH(RAB!C57,'HARGA SATUAN'!$C$7:$C$1492,0),0))</f>
        <v>2300</v>
      </c>
      <c r="H57" s="361">
        <f t="shared" ca="1" si="28"/>
        <v>0</v>
      </c>
      <c r="I57" s="361">
        <f t="shared" ca="1" si="29"/>
        <v>2300</v>
      </c>
      <c r="J57" s="361">
        <f t="shared" ca="1" si="30"/>
        <v>0</v>
      </c>
      <c r="K57" s="362">
        <f t="shared" ca="1" si="31"/>
        <v>2300</v>
      </c>
    </row>
    <row r="58" spans="2:11">
      <c r="B58" s="499"/>
      <c r="C58" s="500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368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8"/>
        <v>0</v>
      </c>
      <c r="I58" s="361">
        <f t="shared" ca="1" si="29"/>
        <v>0</v>
      </c>
      <c r="J58" s="361">
        <f t="shared" ca="1" si="30"/>
        <v>0</v>
      </c>
      <c r="K58" s="362">
        <f t="shared" ca="1" si="31"/>
        <v>0</v>
      </c>
    </row>
    <row r="59" spans="2:11">
      <c r="B59" s="366" t="s">
        <v>22</v>
      </c>
      <c r="C59" s="367" t="s">
        <v>1610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8"/>
        <v>0</v>
      </c>
      <c r="I59" s="361">
        <f t="shared" ca="1" si="29"/>
        <v>0</v>
      </c>
      <c r="J59" s="361">
        <f t="shared" ca="1" si="30"/>
        <v>0</v>
      </c>
      <c r="K59" s="362">
        <f t="shared" ca="1" si="31"/>
        <v>0</v>
      </c>
    </row>
    <row r="60" spans="2:11">
      <c r="B60" s="373"/>
      <c r="C60" s="372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8"/>
        <v>0</v>
      </c>
      <c r="I60" s="361">
        <f t="shared" ca="1" si="29"/>
        <v>0</v>
      </c>
      <c r="J60" s="361">
        <f t="shared" ca="1" si="30"/>
        <v>0</v>
      </c>
      <c r="K60" s="362">
        <f t="shared" ca="1" si="31"/>
        <v>0</v>
      </c>
    </row>
    <row r="61" spans="2:11">
      <c r="B61" s="374"/>
      <c r="C61" s="375" t="s">
        <v>475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" ca="1" si="32">IF(OR(D61="MDU",D61="MDU-KD"),(IF($O$3="RAB NON MDU","PLN KD",G61*F61)),0)</f>
        <v>0</v>
      </c>
      <c r="I61" s="361">
        <f t="shared" ref="I61" ca="1" si="33">IF(D61="HDW",G61*F61,0)</f>
        <v>0</v>
      </c>
      <c r="J61" s="361">
        <f t="shared" ref="J61" ca="1" si="34">IF(D61="JASA",G61*F61,0)</f>
        <v>0</v>
      </c>
      <c r="K61" s="362">
        <f t="shared" ref="K61" ca="1" si="35">SUM(H61:J61)</f>
        <v>0</v>
      </c>
    </row>
    <row r="62" spans="2:11">
      <c r="B62" s="377">
        <v>1</v>
      </c>
      <c r="C62" s="378" t="s">
        <v>1091</v>
      </c>
      <c r="D62" s="379" t="str">
        <f ca="1">IF(ISERROR(OFFSET('HARGA SATUAN'!$D$6,MATCH(RAB!C62,'HARGA SATUAN'!$C$7:$C$1492,0),0)),"",OFFSET('HARGA SATUAN'!$D$6,MATCH(RAB!C62,'HARGA SATUAN'!$C$7:$C$1492,0),0))</f>
        <v>JASA</v>
      </c>
      <c r="E62" s="380" t="str">
        <f ca="1">IF(ISERROR(OFFSET('HARGA SATUAN'!$E$6,MATCH(RAB!C62,'HARGA SATUAN'!$C$7:$C$1492,0),0)),"",OFFSET('HARGA SATUAN'!$E$6,MATCH(RAB!C62,'HARGA SATUAN'!$C$7:$C$1492,0),0))</f>
        <v>Lot</v>
      </c>
      <c r="F62" s="381">
        <v>1</v>
      </c>
      <c r="G62" s="382">
        <f ca="1">IF(ISERROR(OFFSET('HARGA SATUAN'!$I$6,MATCH(RAB!C62,'HARGA SATUAN'!$C$7:$C$1492,0),0)),0,OFFSET('HARGA SATUAN'!$I$6,MATCH(RAB!C62,'HARGA SATUAN'!$C$7:$C$1492,0),0))</f>
        <v>2.5000000000000001E-2</v>
      </c>
      <c r="H62" s="383"/>
      <c r="I62" s="383"/>
      <c r="J62" s="383">
        <f ca="1">SUM(K15:K17)*G62</f>
        <v>0</v>
      </c>
      <c r="K62" s="384">
        <f ca="1">SUM(H62:J62)</f>
        <v>0</v>
      </c>
    </row>
    <row r="63" spans="2:11">
      <c r="B63" s="385"/>
      <c r="C63" s="386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IF(ISERROR(OFFSET('HARGA SATUAN'!$E$6,MATCH(RAB!C63,'HARGA SATUAN'!$C$7:$C$1492,0),0)),"",OFFSET('HARGA SATUAN'!$E$6,MATCH(RAB!C63,'HARGA SATUAN'!$C$7:$C$1492,0),0))</f>
        <v/>
      </c>
      <c r="F63" s="376"/>
      <c r="G63" s="360" t="str">
        <f ca="1">IF(ISERROR(OFFSET('HARGA SATUAN'!$I$6,MATCH(RAB!C63,'HARGA SATUAN'!$C$7:$C$1492,0),0)),"",OFFSET('HARGA SATUAN'!$I$6,MATCH(RAB!C63,'HARGA SATUAN'!$C$7:$C$1492,0),0))</f>
        <v/>
      </c>
      <c r="H63" s="361">
        <f ca="1">IF(OR(D63="MDU",D63="MDU-KD"),IF(G63="PLN",0,G63*F63),0)</f>
        <v>0</v>
      </c>
      <c r="I63" s="361">
        <f ca="1">IF(D63="HDW",IF(G63="PLN",0,G63*F63),0)</f>
        <v>0</v>
      </c>
      <c r="J63" s="361">
        <f ca="1">IF(D63="JASA",IF(G63="PLN",0,G63*F63),0)</f>
        <v>0</v>
      </c>
      <c r="K63" s="362">
        <f ca="1">SUM(H63:J63)</f>
        <v>0</v>
      </c>
    </row>
    <row r="64" spans="2:11" ht="15.75" thickBot="1">
      <c r="B64" s="387"/>
      <c r="C64" s="388"/>
      <c r="D64" s="389"/>
      <c r="E64" s="390"/>
      <c r="F64" s="390"/>
      <c r="G64" s="390"/>
      <c r="H64" s="391"/>
      <c r="I64" s="391"/>
      <c r="J64" s="391"/>
      <c r="K64" s="392"/>
    </row>
    <row r="65" spans="2:13">
      <c r="B65" s="393"/>
      <c r="C65" s="637" t="s">
        <v>1008</v>
      </c>
      <c r="D65" s="637"/>
      <c r="E65" s="637"/>
      <c r="F65" s="637"/>
      <c r="G65" s="394" t="s">
        <v>9</v>
      </c>
      <c r="H65" s="395">
        <f ca="1">SUM(H14:H63)</f>
        <v>81442100</v>
      </c>
      <c r="I65" s="395">
        <f ca="1">SUM(I14:I63)</f>
        <v>641174</v>
      </c>
      <c r="J65" s="395">
        <f ca="1">SUM(J14:J63)</f>
        <v>1065700</v>
      </c>
      <c r="K65" s="395">
        <f ca="1">SUM(K14:K63)</f>
        <v>83148974</v>
      </c>
    </row>
    <row r="66" spans="2:13">
      <c r="B66" s="396"/>
      <c r="C66" s="620" t="s">
        <v>1457</v>
      </c>
      <c r="D66" s="620"/>
      <c r="E66" s="620"/>
      <c r="F66" s="620"/>
      <c r="G66" s="397" t="s">
        <v>9</v>
      </c>
      <c r="H66" s="398">
        <f ca="1">H65*0.11</f>
        <v>8958631</v>
      </c>
      <c r="I66" s="398">
        <f ca="1">I65*0.11</f>
        <v>70529.14</v>
      </c>
      <c r="J66" s="398">
        <f ca="1">J65*0.11</f>
        <v>117227</v>
      </c>
      <c r="K66" s="398">
        <f ca="1">K65*0.11</f>
        <v>9146387.1400000006</v>
      </c>
    </row>
    <row r="67" spans="2:13" ht="15.75" thickBot="1">
      <c r="B67" s="396"/>
      <c r="C67" s="618" t="s">
        <v>463</v>
      </c>
      <c r="D67" s="618"/>
      <c r="E67" s="618"/>
      <c r="F67" s="618"/>
      <c r="G67" s="399" t="s">
        <v>9</v>
      </c>
      <c r="H67" s="400">
        <f ca="1">SUM(H65:H66)</f>
        <v>90400731</v>
      </c>
      <c r="I67" s="400">
        <f ca="1">SUM(I65:I66)</f>
        <v>711703.14</v>
      </c>
      <c r="J67" s="399">
        <f ca="1">SUM(J65:J66)</f>
        <v>1182927</v>
      </c>
      <c r="K67" s="399">
        <f ca="1">SUM(K65:K66)</f>
        <v>92295361.140000001</v>
      </c>
      <c r="M67" s="482"/>
    </row>
    <row r="68" spans="2:13">
      <c r="B68" s="621" t="str">
        <f ca="1">"Terbilang : "&amp;PROPER(IF(K67=0,"nol",IF(K67&lt;0,"minus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IF(--MID(TEXT(ABS(K67),"000000000000000"),1,3)=0,"",MID(TEXT(ABS(K67),"000000000000000"),1,1)&amp;" ratus "&amp;MID(TEXT(ABS(K67),"000000000000000"),2,1)&amp;" puluh "&amp;MID(TEXT(ABS(K67),"000000000000000"),3,1)&amp;" trilyun ")&amp; IF(--MID(TEXT(ABS(K67),"000000000000000"),4,3)=0,"",MID(TEXT(ABS(K67),"000000000000000"),4,1)&amp;" ratus "&amp;MID(TEXT(ABS(K67),"000000000000000"),5,1)&amp;" puluh "&amp;MID(TEXT(ABS(K67),"000000000000000"),6,1)&amp;" milyar ")&amp; IF(--MID(TEXT(ABS(K67),"000000000000000"),7,3)=0,"",MID(TEXT(ABS(K67),"000000000000000"),7,1)&amp;" ratus "&amp;MID(TEXT(ABS(K67),"000000000000000"),8,1)&amp;" puluh "&amp;MID(TEXT(ABS(K67),"000000000000000"),9,1)&amp;" juta ")&amp; IF(--MID(TEXT(ABS(K67),"000000000000000"),10,3)=0,"",IF(--MID(TEXT(ABS(K67),"000000000000000"),10,3)=1,"*",MID(TEXT(ABS(K67),"000000000000000"),10,1)&amp;" ratus "&amp;MID(TEXT(ABS(K67),"000000000000000"),11,1)&amp;" puluh ")&amp;MID(TEXT(ABS(K67),"000000000000000"),12,1)&amp;" ribu ")&amp; IF(--MID(TEXT(ABS(K67),"000000000000000"),13,3)=0,"",MID(TEXT(ABS(K67),"000000000000000"),13,1)&amp;" ratus "&amp;MID(TEXT(ABS(K67),"000000000000000"),14,1)&amp;" puluh "&amp;MID(TEXT(ABS(K67),"000000000000000"),15,1)),1,"satu"),2,"dua"),3,"tiga"),4,"empat"),5,"lima"),6,"enam"),7,"tujuh"),8,"delapan"),9,"sembilan"),"0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Dua Juta Dua Ratus Sembilan Puluh Lima Ribu Tiga Ratus Enam Puluh Satu Rupiah</v>
      </c>
      <c r="C68" s="622"/>
      <c r="D68" s="622"/>
      <c r="E68" s="622"/>
      <c r="F68" s="622"/>
      <c r="G68" s="622"/>
      <c r="H68" s="622"/>
      <c r="I68" s="622"/>
      <c r="J68" s="622"/>
      <c r="K68" s="623"/>
    </row>
    <row r="69" spans="2:13">
      <c r="B69" s="624"/>
      <c r="C69" s="625"/>
      <c r="D69" s="625"/>
      <c r="E69" s="625"/>
      <c r="F69" s="625"/>
      <c r="G69" s="625"/>
      <c r="H69" s="625"/>
      <c r="I69" s="625"/>
      <c r="J69" s="625"/>
      <c r="K69" s="626"/>
    </row>
    <row r="70" spans="2:13" ht="15.75" thickBot="1">
      <c r="B70" s="401" t="str">
        <f>"Harga yang dipakai adalah "&amp;'HARGA SATUAN'!I5&amp;""</f>
        <v>Harga yang dipakai adalah RAB HSS 2023</v>
      </c>
      <c r="C70" s="402"/>
      <c r="D70" s="403"/>
      <c r="E70" s="403"/>
      <c r="F70" s="403"/>
      <c r="G70" s="404"/>
      <c r="H70" s="404"/>
      <c r="I70" s="404"/>
      <c r="J70" s="404"/>
      <c r="K70" s="405"/>
    </row>
    <row r="71" spans="2:13">
      <c r="C71" s="406"/>
      <c r="E71" s="408"/>
      <c r="F71" s="408"/>
      <c r="G71" s="408"/>
    </row>
    <row r="72" spans="2:13">
      <c r="C72" s="337"/>
      <c r="E72" s="408"/>
      <c r="F72" s="408"/>
      <c r="G72" s="408"/>
      <c r="H72" s="627"/>
      <c r="I72" s="627"/>
      <c r="J72" s="628"/>
      <c r="K72" s="628"/>
    </row>
    <row r="73" spans="2:13">
      <c r="C73" s="337"/>
      <c r="E73" s="408"/>
      <c r="F73" s="408"/>
      <c r="G73" s="408"/>
      <c r="H73" s="409"/>
      <c r="I73" s="617" t="s">
        <v>1631</v>
      </c>
      <c r="J73" s="617"/>
      <c r="K73" s="617"/>
    </row>
    <row r="74" spans="2:13">
      <c r="C74" s="337"/>
      <c r="E74" s="408"/>
      <c r="F74" s="408"/>
      <c r="G74" s="408"/>
      <c r="H74" s="409"/>
      <c r="I74" s="617" t="s">
        <v>1632</v>
      </c>
      <c r="J74" s="617"/>
      <c r="K74" s="617"/>
    </row>
    <row r="75" spans="2:13">
      <c r="C75" s="337"/>
      <c r="E75" s="408"/>
      <c r="F75" s="408"/>
      <c r="G75" s="408"/>
      <c r="H75" s="410"/>
      <c r="I75" s="411"/>
      <c r="J75" s="411"/>
      <c r="K75" s="411"/>
    </row>
    <row r="76" spans="2:13">
      <c r="C76" s="337"/>
      <c r="E76" s="408"/>
      <c r="F76" s="408"/>
      <c r="G76" s="408"/>
      <c r="H76" s="410"/>
      <c r="I76" s="410"/>
      <c r="J76" s="410"/>
      <c r="K76" s="410"/>
    </row>
    <row r="77" spans="2:13">
      <c r="C77" s="337"/>
      <c r="E77" s="408"/>
      <c r="F77" s="408"/>
      <c r="G77" s="408"/>
      <c r="H77" s="410"/>
      <c r="I77" s="410"/>
      <c r="J77" s="410"/>
      <c r="K77" s="410"/>
    </row>
    <row r="78" spans="2:13">
      <c r="C78" s="337"/>
      <c r="E78" s="408"/>
      <c r="F78" s="408"/>
      <c r="G78" s="408"/>
      <c r="H78" s="410"/>
      <c r="I78" s="410"/>
      <c r="J78" s="410"/>
      <c r="K78" s="410"/>
    </row>
    <row r="79" spans="2:13">
      <c r="C79" s="337"/>
      <c r="E79" s="408"/>
      <c r="F79" s="408"/>
      <c r="G79" s="408"/>
      <c r="H79" s="412"/>
      <c r="I79" s="617" t="s">
        <v>1633</v>
      </c>
      <c r="J79" s="617"/>
      <c r="K79" s="617"/>
    </row>
    <row r="80" spans="2:13">
      <c r="C80" s="406"/>
      <c r="E80" s="408"/>
      <c r="F80" s="408"/>
      <c r="G80" s="408"/>
      <c r="H80" s="410"/>
      <c r="I80" s="410"/>
      <c r="J80" s="410"/>
      <c r="K80" s="410"/>
    </row>
    <row r="81" spans="3:11">
      <c r="C81" s="406"/>
      <c r="E81" s="408"/>
      <c r="F81" s="408"/>
      <c r="G81" s="408"/>
      <c r="H81" s="410"/>
      <c r="I81" s="410"/>
      <c r="J81" s="410"/>
      <c r="K81" s="410"/>
    </row>
    <row r="82" spans="3:11">
      <c r="C82" s="406"/>
      <c r="E82" s="408"/>
      <c r="F82" s="408"/>
      <c r="G82" s="408"/>
      <c r="H82" s="410"/>
      <c r="I82" s="410"/>
      <c r="J82" s="410"/>
      <c r="K82" s="410"/>
    </row>
  </sheetData>
  <sheetProtection sort="0" autoFilter="0"/>
  <protectedRanges>
    <protectedRange sqref="B60 B43:B58" name="Range1_1"/>
    <protectedRange sqref="F41:F61 F14:F38" name="Range1_1_2_2"/>
    <protectedRange sqref="C60 C43:C46" name="Range1_1_1"/>
    <protectedRange sqref="C48:C58" name="Range1_1_3_2"/>
    <protectedRange sqref="C16" name="Range1_1_3"/>
    <protectedRange sqref="C22" name="Range1_1_3_1"/>
    <protectedRange sqref="G39" name="Range1_3_7_1"/>
    <protectedRange sqref="G40" name="Range1_3_7_2"/>
    <protectedRange sqref="C47" name="Range1_1_3_3"/>
  </protectedRanges>
  <mergeCells count="22">
    <mergeCell ref="O3:P4"/>
    <mergeCell ref="B4:K4"/>
    <mergeCell ref="C65:F65"/>
    <mergeCell ref="B11:B13"/>
    <mergeCell ref="C11:C13"/>
    <mergeCell ref="D11:D13"/>
    <mergeCell ref="E11:E13"/>
    <mergeCell ref="F11:F13"/>
    <mergeCell ref="G11:G13"/>
    <mergeCell ref="I12:I13"/>
    <mergeCell ref="I74:K74"/>
    <mergeCell ref="I79:K79"/>
    <mergeCell ref="C67:F67"/>
    <mergeCell ref="G6:K6"/>
    <mergeCell ref="I73:K73"/>
    <mergeCell ref="C66:F66"/>
    <mergeCell ref="B68:K69"/>
    <mergeCell ref="H72:K72"/>
    <mergeCell ref="H11:K11"/>
    <mergeCell ref="H12:H13"/>
    <mergeCell ref="J12:J13"/>
    <mergeCell ref="K12:K13"/>
  </mergeCells>
  <phoneticPr fontId="138" type="noConversion"/>
  <conditionalFormatting sqref="C15:C17 C19:C20">
    <cfRule type="cellIs" dxfId="12" priority="44" operator="equal">
      <formula>0</formula>
    </cfRule>
  </conditionalFormatting>
  <conditionalFormatting sqref="C22">
    <cfRule type="cellIs" dxfId="11" priority="22" operator="equal">
      <formula>0</formula>
    </cfRule>
  </conditionalFormatting>
  <conditionalFormatting sqref="C26">
    <cfRule type="cellIs" dxfId="10" priority="24" operator="equal">
      <formula>0</formula>
    </cfRule>
  </conditionalFormatting>
  <conditionalFormatting sqref="C41">
    <cfRule type="cellIs" dxfId="9" priority="132" operator="equal">
      <formula>0</formula>
    </cfRule>
  </conditionalFormatting>
  <conditionalFormatting sqref="C59">
    <cfRule type="cellIs" dxfId="8" priority="38" operator="equal">
      <formula>0</formula>
    </cfRule>
  </conditionalFormatting>
  <conditionalFormatting sqref="C39:G40">
    <cfRule type="cellIs" dxfId="7" priority="18" operator="equal">
      <formula>0</formula>
    </cfRule>
  </conditionalFormatting>
  <conditionalFormatting sqref="E1:E3 G1:G13 E5:E13 H12:I12 O13 E62:G62 H62:K64 E63:H63 E64:F64 E14:K38">
    <cfRule type="cellIs" dxfId="6" priority="1087" stopIfTrue="1" operator="equal">
      <formula>0</formula>
    </cfRule>
  </conditionalFormatting>
  <conditionalFormatting sqref="E41:K61">
    <cfRule type="cellIs" dxfId="5" priority="3" stopIfTrue="1" operator="equal">
      <formula>0</formula>
    </cfRule>
  </conditionalFormatting>
  <conditionalFormatting sqref="G63:G65529 E68:E65529">
    <cfRule type="cellIs" dxfId="4" priority="221" stopIfTrue="1" operator="equal">
      <formula>0</formula>
    </cfRule>
  </conditionalFormatting>
  <conditionalFormatting sqref="H39:K40">
    <cfRule type="cellIs" dxfId="3" priority="26" stopIfTrue="1" operator="equal">
      <formula>0</formula>
    </cfRule>
  </conditionalFormatting>
  <conditionalFormatting sqref="S14:V17">
    <cfRule type="cellIs" dxfId="2" priority="17" stopIfTrue="1" operator="equal">
      <formula>0</formula>
    </cfRule>
  </conditionalFormatting>
  <conditionalFormatting sqref="C44">
    <cfRule type="cellIs" dxfId="1" priority="2" operator="equal">
      <formula>0</formula>
    </cfRule>
  </conditionalFormatting>
  <conditionalFormatting sqref="C47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21:F38 C23:C25 F54:F57 H14:K6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39:D40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J40" zoomScale="175" zoomScaleNormal="115" zoomScaleSheetLayoutView="17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0" t="s">
        <v>1439</v>
      </c>
      <c r="X2" s="701"/>
      <c r="Y2" s="701"/>
      <c r="Z2" s="701"/>
      <c r="AA2" s="701"/>
      <c r="AB2" s="701"/>
      <c r="AC2" s="701"/>
      <c r="AD2" s="702"/>
    </row>
    <row r="3" spans="3:30">
      <c r="C3" s="238"/>
      <c r="W3" s="703"/>
      <c r="X3" s="704"/>
      <c r="Y3" s="704"/>
      <c r="Z3" s="704"/>
      <c r="AA3" s="704"/>
      <c r="AB3" s="704"/>
      <c r="AC3" s="704"/>
      <c r="AD3" s="70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238"/>
      <c r="W6" s="241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238"/>
      <c r="E7" s="488" t="s">
        <v>1625</v>
      </c>
      <c r="W7" s="241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238"/>
      <c r="W8" s="241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238"/>
      <c r="W9" s="241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238"/>
      <c r="W10" s="241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238"/>
      <c r="W11" s="241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238"/>
      <c r="W12" s="241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238"/>
      <c r="W13" s="241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238"/>
      <c r="W14" s="241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238"/>
      <c r="W15" s="241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238"/>
      <c r="W16" s="241">
        <v>11</v>
      </c>
      <c r="X16" s="649" t="s">
        <v>1455</v>
      </c>
      <c r="Y16" s="649"/>
      <c r="Z16" s="649"/>
      <c r="AA16" s="649"/>
      <c r="AB16" s="649"/>
      <c r="AC16" s="649"/>
      <c r="AD16" s="650"/>
    </row>
    <row r="17" spans="3:30">
      <c r="C17" s="238"/>
      <c r="S17" s="242"/>
      <c r="W17" s="241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243"/>
      <c r="D18" s="244"/>
      <c r="E18" s="244"/>
      <c r="W18" s="241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238"/>
      <c r="W19" s="245"/>
      <c r="X19" s="698"/>
      <c r="Y19" s="698"/>
      <c r="Z19" s="698"/>
      <c r="AA19" s="698"/>
      <c r="AB19" s="698"/>
      <c r="AC19" s="698"/>
      <c r="AD19" s="699"/>
    </row>
    <row r="20" spans="3:30">
      <c r="C20" s="238"/>
      <c r="W20" s="685" t="s">
        <v>992</v>
      </c>
      <c r="X20" s="686"/>
      <c r="Y20" s="686"/>
      <c r="Z20" s="686"/>
      <c r="AA20" s="686"/>
      <c r="AB20" s="686"/>
      <c r="AC20" s="686"/>
      <c r="AD20" s="687"/>
    </row>
    <row r="21" spans="3:30">
      <c r="C21" s="238"/>
      <c r="W21" s="688" t="s">
        <v>985</v>
      </c>
      <c r="X21" s="689"/>
      <c r="Y21" s="689"/>
      <c r="Z21" s="690"/>
      <c r="AA21" s="691" t="s">
        <v>986</v>
      </c>
      <c r="AB21" s="692"/>
      <c r="AC21" s="692"/>
      <c r="AD21" s="693"/>
    </row>
    <row r="22" spans="3:30">
      <c r="C22" s="238"/>
      <c r="W22" s="694"/>
      <c r="X22" s="695"/>
      <c r="Y22" s="490"/>
      <c r="Z22" s="491"/>
      <c r="AA22" s="696"/>
      <c r="AB22" s="697"/>
      <c r="AC22" s="248"/>
      <c r="AD22" s="249"/>
    </row>
    <row r="23" spans="3:30">
      <c r="C23" s="238"/>
      <c r="W23" s="694"/>
      <c r="X23" s="695"/>
      <c r="Y23" s="490"/>
      <c r="Z23" s="491"/>
      <c r="AA23" s="683"/>
      <c r="AB23" s="684"/>
      <c r="AC23" s="248"/>
      <c r="AD23" s="249"/>
    </row>
    <row r="24" spans="3:30">
      <c r="C24" s="238"/>
      <c r="W24" s="678"/>
      <c r="X24" s="680"/>
      <c r="Y24" s="246"/>
      <c r="Z24" s="247"/>
      <c r="AA24" s="681"/>
      <c r="AB24" s="682"/>
      <c r="AC24" s="248"/>
      <c r="AD24" s="249"/>
    </row>
    <row r="25" spans="3:30">
      <c r="C25" s="238"/>
      <c r="W25" s="678"/>
      <c r="X25" s="680"/>
      <c r="Y25" s="246"/>
      <c r="Z25" s="247"/>
      <c r="AA25" s="683"/>
      <c r="AB25" s="684"/>
      <c r="AC25" s="248"/>
      <c r="AD25" s="249"/>
    </row>
    <row r="26" spans="3:30">
      <c r="C26" s="238"/>
      <c r="W26" s="478"/>
      <c r="X26" s="479"/>
      <c r="Y26" s="246"/>
      <c r="Z26" s="247"/>
      <c r="AA26" s="683"/>
      <c r="AB26" s="684"/>
      <c r="AC26" s="248"/>
      <c r="AD26" s="249"/>
    </row>
    <row r="27" spans="3:30">
      <c r="C27" s="238"/>
      <c r="W27" s="478"/>
      <c r="X27" s="479"/>
      <c r="Y27" s="246"/>
      <c r="Z27" s="247"/>
      <c r="AA27" s="677"/>
      <c r="AB27" s="672"/>
      <c r="AC27" s="248"/>
      <c r="AD27" s="249"/>
    </row>
    <row r="28" spans="3:30">
      <c r="C28" s="238"/>
      <c r="W28" s="478"/>
      <c r="X28" s="479"/>
      <c r="Y28" s="246"/>
      <c r="Z28" s="247"/>
      <c r="AA28" s="677"/>
      <c r="AB28" s="672"/>
      <c r="AC28" s="248"/>
      <c r="AD28" s="249"/>
    </row>
    <row r="29" spans="3:30">
      <c r="C29" s="238"/>
      <c r="W29" s="478"/>
      <c r="X29" s="479"/>
      <c r="Y29" s="246"/>
      <c r="Z29" s="247"/>
      <c r="AA29" s="677"/>
      <c r="AB29" s="672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7"/>
      <c r="AB30" s="672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7"/>
      <c r="AB31" s="672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7"/>
      <c r="AB32" s="672"/>
      <c r="AC32" s="248"/>
      <c r="AD32" s="249"/>
    </row>
    <row r="33" spans="3:30">
      <c r="C33" s="238"/>
      <c r="W33" s="478"/>
      <c r="X33" s="479"/>
      <c r="Y33" s="246"/>
      <c r="Z33" s="247"/>
      <c r="AA33" s="677"/>
      <c r="AB33" s="672"/>
      <c r="AC33" s="248"/>
      <c r="AD33" s="249"/>
    </row>
    <row r="34" spans="3:30">
      <c r="C34" s="238"/>
      <c r="W34" s="478"/>
      <c r="X34" s="479"/>
      <c r="Y34" s="246"/>
      <c r="Z34" s="247"/>
      <c r="AA34" s="677"/>
      <c r="AB34" s="672"/>
      <c r="AC34" s="248"/>
      <c r="AD34" s="249"/>
    </row>
    <row r="35" spans="3:30">
      <c r="C35" s="238"/>
      <c r="W35" s="678"/>
      <c r="X35" s="679"/>
      <c r="Y35" s="246"/>
      <c r="Z35" s="247"/>
      <c r="AA35" s="677"/>
      <c r="AB35" s="672"/>
      <c r="AC35" s="248"/>
      <c r="AD35" s="249"/>
    </row>
    <row r="36" spans="3:30">
      <c r="C36" s="238"/>
      <c r="J36" s="504"/>
      <c r="W36" s="669"/>
      <c r="X36" s="670"/>
      <c r="Y36" s="246"/>
      <c r="Z36" s="251"/>
      <c r="AA36" s="671"/>
      <c r="AB36" s="672"/>
      <c r="AC36" s="248"/>
      <c r="AD36" s="249"/>
    </row>
    <row r="37" spans="3:30" ht="12.75" customHeight="1">
      <c r="C37" s="238"/>
      <c r="I37" s="235" t="s">
        <v>1627</v>
      </c>
      <c r="J37" s="504"/>
      <c r="W37" s="673"/>
      <c r="X37" s="674"/>
      <c r="Y37" s="246"/>
      <c r="Z37" s="251"/>
      <c r="AA37" s="675"/>
      <c r="AB37" s="676"/>
      <c r="AC37" s="252"/>
      <c r="AD37" s="253"/>
    </row>
    <row r="38" spans="3:30" ht="12.75" customHeight="1">
      <c r="C38" s="238"/>
      <c r="I38" s="235" t="s">
        <v>1628</v>
      </c>
      <c r="J38" s="504"/>
      <c r="W38" s="673"/>
      <c r="X38" s="674"/>
      <c r="Y38" s="254"/>
      <c r="Z38" s="251"/>
      <c r="AA38" s="255"/>
      <c r="AB38" s="256"/>
      <c r="AC38" s="252"/>
      <c r="AD38" s="253"/>
    </row>
    <row r="39" spans="3:30" ht="12" customHeight="1">
      <c r="C39" s="238"/>
      <c r="I39" s="235" t="s">
        <v>1629</v>
      </c>
      <c r="J39" s="504"/>
      <c r="W39" s="673"/>
      <c r="X39" s="674"/>
      <c r="Y39" s="254"/>
      <c r="Z39" s="257"/>
      <c r="AA39" s="665"/>
      <c r="AB39" s="666"/>
      <c r="AC39" s="252"/>
      <c r="AD39" s="253"/>
    </row>
    <row r="40" spans="3:30" ht="12" customHeight="1">
      <c r="C40" s="238"/>
      <c r="I40" s="235" t="s">
        <v>1630</v>
      </c>
      <c r="J40" s="504"/>
      <c r="W40" s="661"/>
      <c r="X40" s="662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3"/>
      <c r="X41" s="664"/>
      <c r="Y41" s="260"/>
      <c r="Z41" s="261"/>
      <c r="AA41" s="665"/>
      <c r="AB41" s="666"/>
      <c r="AC41" s="252"/>
      <c r="AD41" s="253"/>
    </row>
    <row r="42" spans="3:30" ht="12" customHeight="1">
      <c r="C42" s="238"/>
      <c r="W42" s="667" t="s">
        <v>1456</v>
      </c>
      <c r="X42" s="668"/>
      <c r="Y42" s="668"/>
      <c r="Z42" s="668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6" t="s">
        <v>11</v>
      </c>
      <c r="X44" s="647"/>
      <c r="Y44" s="649"/>
      <c r="Z44" s="649"/>
      <c r="AA44" s="649"/>
      <c r="AB44" s="649"/>
      <c r="AC44" s="649"/>
      <c r="AD44" s="65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6" t="s">
        <v>984</v>
      </c>
      <c r="X45" s="647"/>
      <c r="Y45" s="649">
        <v>1</v>
      </c>
      <c r="Z45" s="649"/>
      <c r="AA45" s="649"/>
      <c r="AB45" s="649" t="s">
        <v>12</v>
      </c>
      <c r="AC45" s="64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6" t="s">
        <v>15</v>
      </c>
      <c r="X46" s="647"/>
      <c r="Y46" s="660"/>
      <c r="Z46" s="660"/>
      <c r="AA46" s="660"/>
      <c r="AB46" s="649" t="s">
        <v>16</v>
      </c>
      <c r="AC46" s="64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4" t="s">
        <v>17</v>
      </c>
      <c r="X47" s="654"/>
      <c r="Y47" s="654"/>
      <c r="Z47" s="654"/>
      <c r="AA47" s="654"/>
      <c r="AB47" s="654"/>
      <c r="AC47" s="654"/>
      <c r="AD47" s="65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6" t="str">
        <f>RAB!G6</f>
        <v>ANEKA JAYA JL SUTAN HADI WIJAYA</v>
      </c>
      <c r="X48" s="656"/>
      <c r="Y48" s="656"/>
      <c r="Z48" s="656"/>
      <c r="AA48" s="656"/>
      <c r="AB48" s="656"/>
      <c r="AC48" s="656"/>
      <c r="AD48" s="65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6"/>
      <c r="X49" s="656"/>
      <c r="Y49" s="656"/>
      <c r="Z49" s="656"/>
      <c r="AA49" s="656"/>
      <c r="AB49" s="656"/>
      <c r="AC49" s="656"/>
      <c r="AD49" s="65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6"/>
      <c r="X50" s="656"/>
      <c r="Y50" s="656"/>
      <c r="Z50" s="656"/>
      <c r="AA50" s="656"/>
      <c r="AB50" s="656"/>
      <c r="AC50" s="656"/>
      <c r="AD50" s="65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8"/>
      <c r="X51" s="658"/>
      <c r="Y51" s="658"/>
      <c r="Z51" s="658"/>
      <c r="AA51" s="658"/>
      <c r="AB51" s="658"/>
      <c r="AC51" s="658"/>
      <c r="AD51" s="65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6" t="s">
        <v>18</v>
      </c>
      <c r="X52" s="647"/>
      <c r="Y52" s="649" t="s">
        <v>1634</v>
      </c>
      <c r="Z52" s="649"/>
      <c r="AA52" s="649"/>
      <c r="AB52" s="649"/>
      <c r="AC52" s="649"/>
      <c r="AD52" s="65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6" t="s">
        <v>19</v>
      </c>
      <c r="X53" s="647"/>
      <c r="Y53" s="649" t="s">
        <v>1635</v>
      </c>
      <c r="Z53" s="649"/>
      <c r="AA53" s="649"/>
      <c r="AB53" s="649"/>
      <c r="AC53" s="649"/>
      <c r="AD53" s="65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6" t="s">
        <v>20</v>
      </c>
      <c r="X54" s="647"/>
      <c r="Y54" s="648" t="s">
        <v>1636</v>
      </c>
      <c r="Z54" s="648"/>
      <c r="AA54" s="648"/>
      <c r="AB54" s="649"/>
      <c r="AC54" s="649"/>
      <c r="AD54" s="65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1" t="s">
        <v>21</v>
      </c>
      <c r="X55" s="652"/>
      <c r="Y55" s="648" t="s">
        <v>1637</v>
      </c>
      <c r="Z55" s="648"/>
      <c r="AA55" s="648"/>
      <c r="AB55" s="648"/>
      <c r="AC55" s="648"/>
      <c r="AD55" s="653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6" t="s">
        <v>1528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217"/>
      <c r="AE4" s="216"/>
      <c r="AF4" s="216"/>
    </row>
    <row r="5" spans="2:32" ht="13.5" customHeight="1">
      <c r="B5" s="215"/>
      <c r="C5" s="215"/>
      <c r="D5" s="709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1"/>
      <c r="AD5" s="217"/>
      <c r="AE5" s="216"/>
      <c r="AF5" s="216"/>
    </row>
    <row r="6" spans="2:32" ht="12.75" customHeight="1">
      <c r="B6" s="215"/>
      <c r="C6" s="215"/>
      <c r="D6" s="709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1"/>
      <c r="AE6" s="216"/>
      <c r="AF6" s="216"/>
    </row>
    <row r="7" spans="2:32" ht="12.75" customHeight="1" thickBot="1">
      <c r="B7" s="215"/>
      <c r="C7" s="215"/>
      <c r="D7" s="712"/>
      <c r="E7" s="713"/>
      <c r="F7" s="713"/>
      <c r="G7" s="713"/>
      <c r="H7" s="713"/>
      <c r="I7" s="713"/>
      <c r="J7" s="713"/>
      <c r="K7" s="713"/>
      <c r="L7" s="713"/>
      <c r="M7" s="713"/>
      <c r="N7" s="713"/>
      <c r="O7" s="713"/>
      <c r="P7" s="713"/>
      <c r="Q7" s="713"/>
      <c r="R7" s="713"/>
      <c r="S7" s="713"/>
      <c r="T7" s="713"/>
      <c r="U7" s="713"/>
      <c r="V7" s="713"/>
      <c r="W7" s="713"/>
      <c r="X7" s="713"/>
      <c r="Y7" s="713"/>
      <c r="Z7" s="713"/>
      <c r="AA7" s="713"/>
      <c r="AB7" s="713"/>
      <c r="AC7" s="71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C6" sqref="C6:M7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0" t="s">
        <v>1527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5" t="str">
        <f>GAMBAR!E7</f>
        <v>KOORDINAT : -6.891263, 110.629430</v>
      </c>
      <c r="D6" s="715"/>
      <c r="E6" s="715"/>
      <c r="F6" s="715"/>
      <c r="G6" s="715"/>
      <c r="H6" s="715"/>
      <c r="I6" s="715"/>
      <c r="J6" s="715"/>
      <c r="K6" s="715"/>
      <c r="L6" s="715"/>
      <c r="M6" s="715"/>
      <c r="W6" s="182"/>
      <c r="Y6" s="426"/>
      <c r="Z6" s="426"/>
      <c r="AA6" s="426"/>
      <c r="AB6" s="427"/>
      <c r="AC6" s="427"/>
    </row>
    <row r="7" spans="1:29" ht="18" customHeight="1">
      <c r="A7" s="181"/>
      <c r="C7" s="715"/>
      <c r="D7" s="715"/>
      <c r="E7" s="715"/>
      <c r="F7" s="715"/>
      <c r="G7" s="715"/>
      <c r="H7" s="715"/>
      <c r="I7" s="715"/>
      <c r="J7" s="715"/>
      <c r="K7" s="715"/>
      <c r="L7" s="715"/>
      <c r="M7" s="715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2024-01-31T09:29:27Z</dcterms:modified>
</cp:coreProperties>
</file>